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2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開発\健康管理システム\backend\WebService\App_Data\"/>
    </mc:Choice>
  </mc:AlternateContent>
  <xr:revisionPtr revIDLastSave="0" documentId="13_ncr:1_{055CA4F0-2316-4E35-ACD7-980A2FEE626F}" xr6:coauthVersionLast="47" xr6:coauthVersionMax="47" xr10:uidLastSave="{00000000-0000-0000-0000-000000000000}"/>
  <bookViews>
    <workbookView xWindow="8920" yWindow="2300" windowWidth="21260" windowHeight="17320" firstSheet="1" activeTab="1" xr2:uid="{00000000-000D-0000-FFFF-FFFF00000000}"/>
  </bookViews>
  <sheets>
    <sheet name="健康診断個人結果票（封書）" sheetId="4" r:id="rId1"/>
    <sheet name="健康診断個人結果票" sheetId="1" r:id="rId2"/>
    <sheet name="一覧表" sheetId="6" state="veryHidden" r:id="rId3"/>
    <sheet name="一覧表2" sheetId="10" state="veryHidden" r:id="rId4"/>
    <sheet name="一覧表4" sheetId="13" state="veryHidden" r:id="rId5"/>
    <sheet name="項目" sheetId="7" state="veryHidden" r:id="rId6"/>
    <sheet name="条件" sheetId="14" r:id="rId7"/>
    <sheet name="一覧表5" sheetId="17" state="veryHidden" r:id="rId8"/>
    <sheet name="健康診断個人結果票(VBReport)" sheetId="8" state="hidden" r:id="rId9"/>
    <sheet name="健康診断個人結果票（血液・形態）(VBReport)" sheetId="9" state="hidden" r:id="rId10"/>
    <sheet name="健康診断個人結果票（総括）(VBReport)" sheetId="12" state="hidden" r:id="rId11"/>
    <sheet name="健康診断個人結果票（血液・形態）_bak" sheetId="15" state="hidden" r:id="rId12"/>
  </sheets>
  <definedNames>
    <definedName name="CD_020_0100200000_1">項目!$B$154</definedName>
    <definedName name="CD_020_0100200000_2">項目!$B$156</definedName>
    <definedName name="CD_020_0100200000_3">項目!$B$158</definedName>
    <definedName name="CD_020_0100200000_4">項目!$B$160</definedName>
    <definedName name="CD_020_0100200000_5">項目!$B$162</definedName>
    <definedName name="CD_020_0100200000_S">項目!$B$707</definedName>
    <definedName name="CD_020_0100300000_S">項目!$B$708</definedName>
    <definedName name="CD_020_0100400000_S">項目!$B$705</definedName>
    <definedName name="CD_020_0100500000_S">項目!$B$706</definedName>
    <definedName name="CD_020_0100600000_S">項目!$B$709</definedName>
    <definedName name="CD_020_IJO0100200000_1">項目!$B$153</definedName>
    <definedName name="CD_020_IJO0100200000_2">項目!$B$155</definedName>
    <definedName name="CD_020_IJO0100200000_3">項目!$B$157</definedName>
    <definedName name="CD_020_IJO0100200000_4">項目!$B$159</definedName>
    <definedName name="CD_020_IJO0100200000_5">項目!$B$161</definedName>
    <definedName name="CD_020_IJO0100200000_S">項目!$B$713</definedName>
    <definedName name="CD_020_IJO0100400000_S">項目!$B$712</definedName>
    <definedName name="CD_070_0100300000_1">項目!$B$798</definedName>
    <definedName name="CD_070_0100300000_2">項目!$B$799</definedName>
    <definedName name="CD_070_0100300000_3">項目!$B$800</definedName>
    <definedName name="CD_070_0100300000_4">項目!$B$801</definedName>
    <definedName name="CD_070_0100300000_5">項目!$B$802</definedName>
    <definedName name="CD_100_0100100000_1">項目!$B$593</definedName>
    <definedName name="CD_100_0100100000_2">項目!$B$594</definedName>
    <definedName name="CD_100_0100100000_3">項目!$B$595</definedName>
    <definedName name="CD_100_0100100000_4">項目!$B$596</definedName>
    <definedName name="CD_100_0100100000_5">項目!$B$597</definedName>
    <definedName name="CD_100_0100200000_1">項目!$B$598</definedName>
    <definedName name="CD_100_0100200000_2">項目!$B$599</definedName>
    <definedName name="CD_100_0100200000_3">項目!$B$600</definedName>
    <definedName name="CD_100_0100200000_4">項目!$B$601</definedName>
    <definedName name="CD_100_0100200000_5">項目!$B$602</definedName>
    <definedName name="CD_100_0100300000_1">項目!$B$788</definedName>
    <definedName name="CD_100_0100300000_2">項目!$B$789</definedName>
    <definedName name="CD_100_0100300000_3">項目!$B$790</definedName>
    <definedName name="CD_100_0100300000_4">項目!$B$791</definedName>
    <definedName name="CD_100_0100300000_5">項目!$B$792</definedName>
    <definedName name="CD_1A01000000_1">項目!$B$464</definedName>
    <definedName name="CD_1A01000000_2">項目!$B$466</definedName>
    <definedName name="CD_1A01000000_3">項目!$B$468</definedName>
    <definedName name="CD_1A01000000_4">項目!$B$470</definedName>
    <definedName name="CD_1A01000000_5">項目!$B$472</definedName>
    <definedName name="CD_1A02000000_1">項目!$B$454</definedName>
    <definedName name="CD_1A02000000_2">項目!$B$456</definedName>
    <definedName name="CD_1A02000000_3">項目!$B$458</definedName>
    <definedName name="CD_1A02000000_4">項目!$B$460</definedName>
    <definedName name="CD_1A02000000_5">項目!$B$462</definedName>
    <definedName name="CD_1A10000000_1">項目!$B$474</definedName>
    <definedName name="CD_1A10000000_2">項目!$B$476</definedName>
    <definedName name="CD_1A10000000_3">項目!$B$478</definedName>
    <definedName name="CD_1A10000000_4">項目!$B$480</definedName>
    <definedName name="CD_1A10000000_5">項目!$B$482</definedName>
    <definedName name="CD_2A01000000_1">項目!$B$364</definedName>
    <definedName name="CD_2A01000000_2">項目!$B$366</definedName>
    <definedName name="CD_2A01000000_3">項目!$B$368</definedName>
    <definedName name="CD_2A01000000_4">項目!$B$370</definedName>
    <definedName name="CD_2A01000000_5">項目!$B$372</definedName>
    <definedName name="CD_2A02000000_1">項目!$B$374</definedName>
    <definedName name="CD_2A02000000_2">項目!$B$376</definedName>
    <definedName name="CD_2A02000000_3">項目!$B$378</definedName>
    <definedName name="CD_2A02000000_4">項目!$B$380</definedName>
    <definedName name="CD_2A02000000_5">項目!$B$382</definedName>
    <definedName name="CD_2A03000000_1">項目!$B$384</definedName>
    <definedName name="CD_2A03000000_2">項目!$B$386</definedName>
    <definedName name="CD_2A03000000_3">項目!$B$388</definedName>
    <definedName name="CD_2A03000000_4">項目!$B$390</definedName>
    <definedName name="CD_2A03000000_5">項目!$B$392</definedName>
    <definedName name="CD_2A04000000_1">項目!$B$394</definedName>
    <definedName name="CD_2A04000000_2">項目!$B$396</definedName>
    <definedName name="CD_2A04000000_3">項目!$B$398</definedName>
    <definedName name="CD_2A04000000_4">項目!$B$400</definedName>
    <definedName name="CD_2A04000000_5">項目!$B$402</definedName>
    <definedName name="CD_2A05000000_1">項目!$B$444</definedName>
    <definedName name="CD_2A05000000_2">項目!$B$446</definedName>
    <definedName name="CD_2A05000000_3">項目!$B$448</definedName>
    <definedName name="CD_2A05000000_4">項目!$B$450</definedName>
    <definedName name="CD_2A05000000_5">項目!$B$452</definedName>
    <definedName name="CD_3A01000000_1">項目!$B$29</definedName>
    <definedName name="CD_3A01000000_2">項目!$B$31</definedName>
    <definedName name="CD_3A01000000_3">項目!$B$33</definedName>
    <definedName name="CD_3A01000000_4">項目!$B$35</definedName>
    <definedName name="CD_3A01000000_5">項目!$B$37</definedName>
    <definedName name="CD_3A01500000_1">項目!$B$39</definedName>
    <definedName name="CD_3A01500000_2">項目!$B$41</definedName>
    <definedName name="CD_3A01500000_3">項目!$B$43</definedName>
    <definedName name="CD_3A01500000_4">項目!$B$45</definedName>
    <definedName name="CD_3A01500000_5">項目!$B$47</definedName>
    <definedName name="CD_3A01600000_1">項目!$B$49</definedName>
    <definedName name="CD_3A01600000_2">項目!$B$51</definedName>
    <definedName name="CD_3A01600000_3">項目!$B$53</definedName>
    <definedName name="CD_3A01600000_4">項目!$B$55</definedName>
    <definedName name="CD_3A01600000_5">項目!$B$57</definedName>
    <definedName name="CD_3B03500000_1">項目!$B$79</definedName>
    <definedName name="CD_3B03500000_2">項目!$B$81</definedName>
    <definedName name="CD_3B03500000_3">項目!$B$83</definedName>
    <definedName name="CD_3B03500000_4">項目!$B$85</definedName>
    <definedName name="CD_3B03500000_5">項目!$B$87</definedName>
    <definedName name="CD_3B04500000_1">項目!$B$89</definedName>
    <definedName name="CD_3B04500000_2">項目!$B$91</definedName>
    <definedName name="CD_3B04500000_3">項目!$B$93</definedName>
    <definedName name="CD_3B04500000_4">項目!$B$95</definedName>
    <definedName name="CD_3B04500000_5">項目!$B$97</definedName>
    <definedName name="CD_3B07000000_1">項目!$B$99</definedName>
    <definedName name="CD_3B07000000_2">項目!$B$101</definedName>
    <definedName name="CD_3B07000000_3">項目!$B$103</definedName>
    <definedName name="CD_3B07000000_4">項目!$B$105</definedName>
    <definedName name="CD_3B07000000_5">項目!$B$107</definedName>
    <definedName name="CD_3B09000000_1">項目!$B$119</definedName>
    <definedName name="CD_3B09000000_2">項目!$B$121</definedName>
    <definedName name="CD_3B09000000_3">項目!$B$123</definedName>
    <definedName name="CD_3B09000000_4">項目!$B$125</definedName>
    <definedName name="CD_3B09000000_5">項目!$B$127</definedName>
    <definedName name="CD_3C01500000_1">項目!$B$234</definedName>
    <definedName name="CD_3C01500000_2">項目!$B$236</definedName>
    <definedName name="CD_3C01500000_3">項目!$B$238</definedName>
    <definedName name="CD_3C01500000_4">項目!$B$240</definedName>
    <definedName name="CD_3C01500000_5">項目!$B$242</definedName>
    <definedName name="CD_3C02000000_1">項目!$B$214</definedName>
    <definedName name="CD_3C02000000_2">項目!$B$216</definedName>
    <definedName name="CD_3C02000000_3">項目!$B$218</definedName>
    <definedName name="CD_3C02000000_4">項目!$B$220</definedName>
    <definedName name="CD_3C02000000_5">項目!$B$222</definedName>
    <definedName name="CD_3D01000000_1">項目!$B$304</definedName>
    <definedName name="CD_3D01000000_2">項目!$B$306</definedName>
    <definedName name="CD_3D01000000_3">項目!$B$308</definedName>
    <definedName name="CD_3D01000000_4">項目!$B$310</definedName>
    <definedName name="CD_3D01000000_5">項目!$B$312</definedName>
    <definedName name="CD_3D04500000_1">項目!$B$294</definedName>
    <definedName name="CD_3D04500000_2">項目!$B$296</definedName>
    <definedName name="CD_3D04500000_3">項目!$B$298</definedName>
    <definedName name="CD_3D04500000_4">項目!$B$300</definedName>
    <definedName name="CD_3D04500000_5">項目!$B$302</definedName>
    <definedName name="CD_3F01500000_1">項目!$B$184</definedName>
    <definedName name="CD_3F01500000_2">項目!$B$186</definedName>
    <definedName name="CD_3F01500000_3">項目!$B$188</definedName>
    <definedName name="CD_3F01500000_4">項目!$B$190</definedName>
    <definedName name="CD_3F01500000_5">項目!$B$192</definedName>
    <definedName name="CD_3F05000000_1">項目!$B$174</definedName>
    <definedName name="CD_3F05000000_2">項目!$B$176</definedName>
    <definedName name="CD_3F05000000_3">項目!$B$178</definedName>
    <definedName name="CD_3F05000000_4">項目!$B$180</definedName>
    <definedName name="CD_3F05000000_5">項目!$B$182</definedName>
    <definedName name="CD_3F07000000_1">項目!$B$194</definedName>
    <definedName name="CD_3F07000000_2">項目!$B$196</definedName>
    <definedName name="CD_3F07000000_3">項目!$B$198</definedName>
    <definedName name="CD_3F07000000_4">項目!$B$200</definedName>
    <definedName name="CD_3F07000000_5">項目!$B$202</definedName>
    <definedName name="CD_3F07700000_1">項目!$B$204</definedName>
    <definedName name="CD_3F07700000_2">項目!$B$206</definedName>
    <definedName name="CD_3F07700000_3">項目!$B$208</definedName>
    <definedName name="CD_3F07700000_4">項目!$B$210</definedName>
    <definedName name="CD_3F07700000_5">項目!$B$212</definedName>
    <definedName name="CD_3J01000000_1">項目!$B$139</definedName>
    <definedName name="CD_3J01000000_2">項目!$B$141</definedName>
    <definedName name="CD_3J01000000_3">項目!$B$143</definedName>
    <definedName name="CD_3J01000000_4">項目!$B$145</definedName>
    <definedName name="CD_3J01000000_5">項目!$B$147</definedName>
    <definedName name="CD_8A06500000_1">項目!$B$870</definedName>
    <definedName name="CD_8A06500000_2">項目!$B$872</definedName>
    <definedName name="CD_8A06500000_3">項目!$B$874</definedName>
    <definedName name="CD_8A06500000_4">項目!$B$876</definedName>
    <definedName name="CD_8A06500000_5">項目!$B$878</definedName>
    <definedName name="CD_9A75100000_1">項目!$B$504</definedName>
    <definedName name="CD_9A75100000_2">項目!$B$506</definedName>
    <definedName name="CD_9A75100000_3">項目!$B$508</definedName>
    <definedName name="CD_9A75100000_4">項目!$B$510</definedName>
    <definedName name="CD_9A75100000_5">項目!$B$512</definedName>
    <definedName name="CD_9A76100000_1">項目!$B$514</definedName>
    <definedName name="CD_9A76100000_2">項目!$B$516</definedName>
    <definedName name="CD_9A76100000_3">項目!$B$518</definedName>
    <definedName name="CD_9A76100000_4">項目!$B$520</definedName>
    <definedName name="CD_9A76100000_5">項目!$B$522</definedName>
    <definedName name="CD_9N00100000_1">項目!$B$534</definedName>
    <definedName name="CD_9N00100000_2">項目!$B$536</definedName>
    <definedName name="CD_9N00100000_3">項目!$B$538</definedName>
    <definedName name="CD_9N00100000_4">項目!$B$540</definedName>
    <definedName name="CD_9N00100000_5">項目!$B$542</definedName>
    <definedName name="CD_9N00600000_1">項目!$B$544</definedName>
    <definedName name="CD_9N00600000_2">項目!$B$546</definedName>
    <definedName name="CD_9N00600000_3">項目!$B$548</definedName>
    <definedName name="CD_9N00600000_4">項目!$B$550</definedName>
    <definedName name="CD_9N00600000_5">項目!$B$552</definedName>
    <definedName name="CD_9N01100000_1">項目!$B$564</definedName>
    <definedName name="CD_9N01100000_2">項目!$B$566</definedName>
    <definedName name="CD_9N01100000_3">項目!$B$568</definedName>
    <definedName name="CD_9N01100000_4">項目!$B$570</definedName>
    <definedName name="CD_9N01100000_5">項目!$B$572</definedName>
    <definedName name="CD_9N01616010_1">項目!$B$604</definedName>
    <definedName name="CD_9N01616010_2">項目!$B$606</definedName>
    <definedName name="CD_9N01616010_3">項目!$B$608</definedName>
    <definedName name="CD_9N01616010_4">項目!$B$610</definedName>
    <definedName name="CD_9N01616010_5">項目!$B$612</definedName>
    <definedName name="CD_9N02600000_1">項目!$B$574</definedName>
    <definedName name="CD_9N02600000_2">項目!$B$576</definedName>
    <definedName name="CD_9N02600000_3">項目!$B$578</definedName>
    <definedName name="CD_9N02600000_4">項目!$B$580</definedName>
    <definedName name="CD_9N02600000_5">項目!$B$582</definedName>
    <definedName name="CD_IJO1A01000000_1">項目!$B$463</definedName>
    <definedName name="CD_IJO1A01000000_2">項目!$B$465</definedName>
    <definedName name="CD_IJO1A01000000_3">項目!$B$467</definedName>
    <definedName name="CD_IJO1A01000000_4">項目!$B$469</definedName>
    <definedName name="CD_IJO1A01000000_5">項目!$B$471</definedName>
    <definedName name="CD_IJO1A02000000_1">項目!$B$453</definedName>
    <definedName name="CD_IJO1A02000000_2">項目!$B$455</definedName>
    <definedName name="CD_IJO1A02000000_3">項目!$B$457</definedName>
    <definedName name="CD_IJO1A02000000_4">項目!$B$459</definedName>
    <definedName name="CD_IJO1A02000000_5">項目!$B$461</definedName>
    <definedName name="CD_IJO1A10000000_1">項目!$B$473</definedName>
    <definedName name="CD_IJO1A10000000_2">項目!$B$475</definedName>
    <definedName name="CD_IJO1A10000000_3">項目!$B$477</definedName>
    <definedName name="CD_IJO1A10000000_4">項目!$B$479</definedName>
    <definedName name="CD_IJO1A10000000_5">項目!$B$481</definedName>
    <definedName name="CD_IJO2A01000000_1">項目!$B$363</definedName>
    <definedName name="CD_IJO2A01000000_2">項目!$B$365</definedName>
    <definedName name="CD_IJO2A01000000_3">項目!$B$367</definedName>
    <definedName name="CD_IJO2A01000000_4">項目!$B$369</definedName>
    <definedName name="CD_IJO2A01000000_5">項目!$B$371</definedName>
    <definedName name="CD_IJO2A02000000_1">項目!$B$373</definedName>
    <definedName name="CD_IJO2A02000000_2">項目!$B$375</definedName>
    <definedName name="CD_IJO2A02000000_3">項目!$B$377</definedName>
    <definedName name="CD_IJO2A02000000_4">項目!$B$379</definedName>
    <definedName name="CD_IJO2A02000000_5">項目!$B$381</definedName>
    <definedName name="CD_IJO2A03000000_1">項目!$B$383</definedName>
    <definedName name="CD_IJO2A03000000_2">項目!$B$385</definedName>
    <definedName name="CD_IJO2A03000000_3">項目!$B$387</definedName>
    <definedName name="CD_IJO2A03000000_4">項目!$B$389</definedName>
    <definedName name="CD_IJO2A03000000_5">項目!$B$391</definedName>
    <definedName name="CD_IJO2A04000000_1">項目!$B$393</definedName>
    <definedName name="CD_IJO2A04000000_2">項目!$B$395</definedName>
    <definedName name="CD_IJO2A04000000_3">項目!$B$397</definedName>
    <definedName name="CD_IJO2A04000000_4">項目!$B$399</definedName>
    <definedName name="CD_IJO2A04000000_5">項目!$B$401</definedName>
    <definedName name="CD_IJO2A05000000_1">項目!$B$443</definedName>
    <definedName name="CD_IJO2A05000000_2">項目!$B$445</definedName>
    <definedName name="CD_IJO2A05000000_3">項目!$B$447</definedName>
    <definedName name="CD_IJO2A05000000_4">項目!$B$449</definedName>
    <definedName name="CD_IJO2A05000000_5">項目!$B$451</definedName>
    <definedName name="CD_IJO3A01000000_1">項目!$B$28</definedName>
    <definedName name="CD_IJO3A01000000_2">項目!$B$30</definedName>
    <definedName name="CD_IJO3A01000000_3">項目!$B$32</definedName>
    <definedName name="CD_IJO3A01000000_4">項目!$B$34</definedName>
    <definedName name="CD_IJO3A01000000_5">項目!$B$36</definedName>
    <definedName name="CD_IJO3A01500000_1">項目!$B$38</definedName>
    <definedName name="CD_IJO3A01500000_2">項目!$B$40</definedName>
    <definedName name="CD_IJO3A01500000_3">項目!$B$42</definedName>
    <definedName name="CD_IJO3A01500000_4">項目!$B$44</definedName>
    <definedName name="CD_IJO3A01500000_5">項目!$B$46</definedName>
    <definedName name="CD_IJO3A01600000_1">項目!$B$48</definedName>
    <definedName name="CD_IJO3A01600000_2">項目!$B$50</definedName>
    <definedName name="CD_IJO3A01600000_3">項目!$B$52</definedName>
    <definedName name="CD_IJO3A01600000_4">項目!$B$54</definedName>
    <definedName name="CD_IJO3A01600000_5">項目!$B$56</definedName>
    <definedName name="CD_IJO3B03500000_1">項目!$B$78</definedName>
    <definedName name="CD_IJO3B03500000_2">項目!$B$80</definedName>
    <definedName name="CD_IJO3B03500000_3">項目!$B$82</definedName>
    <definedName name="CD_IJO3B03500000_4">項目!$B$84</definedName>
    <definedName name="CD_IJO3B03500000_5">項目!$B$86</definedName>
    <definedName name="CD_IJO3B04500000_1">項目!$B$88</definedName>
    <definedName name="CD_IJO3B04500000_2">項目!$B$90</definedName>
    <definedName name="CD_IJO3B04500000_3">項目!$B$92</definedName>
    <definedName name="CD_IJO3B04500000_4">項目!$B$94</definedName>
    <definedName name="CD_IJO3B04500000_5">項目!$B$96</definedName>
    <definedName name="CD_IJO3B07000000_1">項目!$B$98</definedName>
    <definedName name="CD_IJO3B07000000_2">項目!$B$100</definedName>
    <definedName name="CD_IJO3B07000000_3">項目!$B$102</definedName>
    <definedName name="CD_IJO3B07000000_4">項目!$B$104</definedName>
    <definedName name="CD_IJO3B07000000_5">項目!$B$106</definedName>
    <definedName name="CD_IJO3B09000000_1">項目!$B$118</definedName>
    <definedName name="CD_IJO3B09000000_2">項目!$B$120</definedName>
    <definedName name="CD_IJO3B09000000_3">項目!$B$122</definedName>
    <definedName name="CD_IJO3B09000000_4">項目!$B$124</definedName>
    <definedName name="CD_IJO3B09000000_5">項目!$B$126</definedName>
    <definedName name="CD_IJO3C01500000_1">項目!$B$233</definedName>
    <definedName name="CD_IJO3C01500000_2">項目!$B$235</definedName>
    <definedName name="CD_IJO3C01500000_3">項目!$B$237</definedName>
    <definedName name="CD_IJO3C01500000_4">項目!$B$239</definedName>
    <definedName name="CD_IJO3C01500000_5">項目!$B$241</definedName>
    <definedName name="CD_IJO3C02000000_1">項目!$B$213</definedName>
    <definedName name="CD_IJO3C02000000_2">項目!$B$215</definedName>
    <definedName name="CD_IJO3C02000000_3">項目!$B$217</definedName>
    <definedName name="CD_IJO3C02000000_4">項目!$B$219</definedName>
    <definedName name="CD_IJO3C02000000_5">項目!$B$221</definedName>
    <definedName name="CD_IJO3D01000000_1">項目!$B$303</definedName>
    <definedName name="CD_IJO3D01000000_2">項目!$B$305</definedName>
    <definedName name="CD_IJO3D01000000_3">項目!$B$307</definedName>
    <definedName name="CD_IJO3D01000000_4">項目!$B$309</definedName>
    <definedName name="CD_IJO3D01000000_5">項目!$B$311</definedName>
    <definedName name="CD_IJO3D04500000_1">項目!$B$293</definedName>
    <definedName name="CD_IJO3D04500000_2">項目!$B$295</definedName>
    <definedName name="CD_IJO3D04500000_3">項目!$B$297</definedName>
    <definedName name="CD_IJO3D04500000_4">項目!$B$299</definedName>
    <definedName name="CD_IJO3D04500000_5">項目!$B$301</definedName>
    <definedName name="CD_IJO3F01500000_1">項目!$B$183</definedName>
    <definedName name="CD_IJO3F01500000_2">項目!$B$185</definedName>
    <definedName name="CD_IJO3F01500000_3">項目!$B$187</definedName>
    <definedName name="CD_IJO3F01500000_4">項目!$B$189</definedName>
    <definedName name="CD_IJO3F01500000_5">項目!$B$191</definedName>
    <definedName name="CD_IJO3F05000000_1">項目!$B$173</definedName>
    <definedName name="CD_IJO3F05000000_2">項目!$B$175</definedName>
    <definedName name="CD_IJO3F05000000_3">項目!$B$177</definedName>
    <definedName name="CD_IJO3F05000000_4">項目!$B$179</definedName>
    <definedName name="CD_IJO3F05000000_5">項目!$B$181</definedName>
    <definedName name="CD_IJO3F07000000_1">項目!$B$193</definedName>
    <definedName name="CD_IJO3F07000000_2">項目!$B$195</definedName>
    <definedName name="CD_IJO3F07000000_3">項目!$B$197</definedName>
    <definedName name="CD_IJO3F07000000_4">項目!$B$199</definedName>
    <definedName name="CD_IJO3F07000000_5">項目!$B$201</definedName>
    <definedName name="CD_IJO3F07700000_1">項目!$B$203</definedName>
    <definedName name="CD_IJO3F07700000_2">項目!$B$205</definedName>
    <definedName name="CD_IJO3F07700000_3">項目!$B$207</definedName>
    <definedName name="CD_IJO3F07700000_4">項目!$B$209</definedName>
    <definedName name="CD_IJO3F07700000_5">項目!$B$211</definedName>
    <definedName name="CD_IJO3J01000000_1">項目!$B$138</definedName>
    <definedName name="CD_IJO3J01000000_2">項目!$B$140</definedName>
    <definedName name="CD_IJO3J01000000_3">項目!$B$142</definedName>
    <definedName name="CD_IJO3J01000000_4">項目!$B$144</definedName>
    <definedName name="CD_IJO3J01000000_5">項目!$B$146</definedName>
    <definedName name="CD_IJO8A06500000_1">項目!$B$869</definedName>
    <definedName name="CD_IJO8A06500000_2">項目!$B$871</definedName>
    <definedName name="CD_IJO8A06500000_3">項目!$B$873</definedName>
    <definedName name="CD_IJO8A06500000_4">項目!$B$875</definedName>
    <definedName name="CD_IJO8A06500000_5">項目!$B$877</definedName>
    <definedName name="CD_IJO9A75100000_1">項目!$B$503</definedName>
    <definedName name="CD_IJO9A75100000_2">項目!$B$505</definedName>
    <definedName name="CD_IJO9A75100000_3">項目!$B$507</definedName>
    <definedName name="CD_IJO9A75100000_4">項目!$B$509</definedName>
    <definedName name="CD_IJO9A75100000_5">項目!$B$511</definedName>
    <definedName name="CD_IJO9A76100000_1">項目!$B$513</definedName>
    <definedName name="CD_IJO9A76100000_2">項目!$B$515</definedName>
    <definedName name="CD_IJO9A76100000_3">項目!$B$517</definedName>
    <definedName name="CD_IJO9A76100000_4">項目!$B$519</definedName>
    <definedName name="CD_IJO9A76100000_5">項目!$B$521</definedName>
    <definedName name="CD_IJO9N00100000_1">項目!$B$533</definedName>
    <definedName name="CD_IJO9N00100000_2">項目!$B$535</definedName>
    <definedName name="CD_IJO9N00100000_3">項目!$B$537</definedName>
    <definedName name="CD_IJO9N00100000_4">項目!$B$539</definedName>
    <definedName name="CD_IJO9N00100000_5">項目!$B$541</definedName>
    <definedName name="CD_IJO9N00600000_1">項目!$B$543</definedName>
    <definedName name="CD_IJO9N00600000_2">項目!$B$545</definedName>
    <definedName name="CD_IJO9N00600000_3">項目!$B$547</definedName>
    <definedName name="CD_IJO9N00600000_4">項目!$B$549</definedName>
    <definedName name="CD_IJO9N00600000_5">項目!$B$551</definedName>
    <definedName name="CD_IJO9N01100000_1">項目!$B$563</definedName>
    <definedName name="CD_IJO9N01100000_2">項目!$B$565</definedName>
    <definedName name="CD_IJO9N01100000_3">項目!$B$567</definedName>
    <definedName name="CD_IJO9N01100000_4">項目!$B$569</definedName>
    <definedName name="CD_IJO9N01100000_5">項目!$B$571</definedName>
    <definedName name="CD_IJO9N01616010_1">項目!$B$603</definedName>
    <definedName name="CD_IJO9N01616010_2">項目!$B$605</definedName>
    <definedName name="CD_IJO9N01616010_3">項目!$B$607</definedName>
    <definedName name="CD_IJO9N01616010_4">項目!$B$609</definedName>
    <definedName name="CD_IJO9N01616010_5">項目!$B$611</definedName>
    <definedName name="CD_IJO9N02600000_1">項目!$B$573</definedName>
    <definedName name="CD_IJO9N02600000_2">項目!$B$575</definedName>
    <definedName name="CD_IJO9N02600000_3">項目!$B$577</definedName>
    <definedName name="CD_IJO9N02600000_4">項目!$B$579</definedName>
    <definedName name="CD_IJO9N02600000_5">項目!$B$581</definedName>
    <definedName name="CD_IJOZ000200000_1">項目!$B$553</definedName>
    <definedName name="CD_IJOZ000200000_2">項目!$B$555</definedName>
    <definedName name="CD_IJOZ000200000_3">項目!$B$557</definedName>
    <definedName name="CD_IJOZ000200000_4">項目!$B$559</definedName>
    <definedName name="CD_IJOZ000200000_5">項目!$B$561</definedName>
    <definedName name="CD_IJOZ000300000_1">項目!$B$583</definedName>
    <definedName name="CD_IJOZ000300000_2">項目!$B$585</definedName>
    <definedName name="CD_IJOZ000300000_3">項目!$B$587</definedName>
    <definedName name="CD_IJOZ000300000_4">項目!$B$589</definedName>
    <definedName name="CD_IJOZ000300000_5">項目!$B$591</definedName>
    <definedName name="CD_IJOZ000400000_1">項目!$B$523</definedName>
    <definedName name="CD_IJOZ000400000_2">項目!$B$525</definedName>
    <definedName name="CD_IJOZ000400000_3">項目!$B$527</definedName>
    <definedName name="CD_IJOZ000400000_4">項目!$B$529</definedName>
    <definedName name="CD_IJOZ000400000_5">項目!$B$531</definedName>
    <definedName name="CD_IJOZ000800000_1">項目!$B$613</definedName>
    <definedName name="CD_IJOZ000800000_2">項目!$B$615</definedName>
    <definedName name="CD_IJOZ000800000_3">項目!$B$617</definedName>
    <definedName name="CD_IJOZ000800000_4">項目!$B$619</definedName>
    <definedName name="CD_IJOZ000800000_5">項目!$B$621</definedName>
    <definedName name="CD_IJOZ001000000_1">項目!$B$483</definedName>
    <definedName name="CD_IJOZ001000000_2">項目!$B$485</definedName>
    <definedName name="CD_IJOZ001000000_3">項目!$B$487</definedName>
    <definedName name="CD_IJOZ001000000_4">項目!$B$489</definedName>
    <definedName name="CD_IJOZ001000000_5">項目!$B$491</definedName>
    <definedName name="CD_IJOZ001100000_1">項目!$B$68</definedName>
    <definedName name="CD_IJOZ001100000_2">項目!$B$70</definedName>
    <definedName name="CD_IJOZ001100000_3">項目!$B$72</definedName>
    <definedName name="CD_IJOZ001100000_4">項目!$B$74</definedName>
    <definedName name="CD_IJOZ001100000_5">項目!$B$76</definedName>
    <definedName name="CD_IJOZ001200000_1">項目!$B$58</definedName>
    <definedName name="CD_IJOZ001200000_2">項目!$B$60</definedName>
    <definedName name="CD_IJOZ001200000_3">項目!$B$62</definedName>
    <definedName name="CD_IJOZ001200000_4">項目!$B$64</definedName>
    <definedName name="CD_IJOZ001200000_5">項目!$B$66</definedName>
    <definedName name="CD_IJOZ001300000_1">項目!$B$108</definedName>
    <definedName name="CD_IJOZ001300000_2">項目!$B$110</definedName>
    <definedName name="CD_IJOZ001300000_3">項目!$B$112</definedName>
    <definedName name="CD_IJOZ001300000_4">項目!$B$114</definedName>
    <definedName name="CD_IJOZ001300000_5">項目!$B$116</definedName>
    <definedName name="CD_IJOZ001400000_1">項目!$B$128</definedName>
    <definedName name="CD_IJOZ001400000_2">項目!$B$130</definedName>
    <definedName name="CD_IJOZ001400000_3">項目!$B$132</definedName>
    <definedName name="CD_IJOZ001400000_4">項目!$B$134</definedName>
    <definedName name="CD_IJOZ001400000_5">項目!$B$136</definedName>
    <definedName name="CD_IJOZ001600000_1">項目!$B$163</definedName>
    <definedName name="CD_IJOZ001600000_2">項目!$B$165</definedName>
    <definedName name="CD_IJOZ001600000_3">項目!$B$167</definedName>
    <definedName name="CD_IJOZ001600000_4">項目!$B$169</definedName>
    <definedName name="CD_IJOZ001600000_5">項目!$B$171</definedName>
    <definedName name="CD_IJOZ001800000_1">項目!$B$223</definedName>
    <definedName name="CD_IJOZ001800000_2">項目!$B$225</definedName>
    <definedName name="CD_IJOZ001800000_3">項目!$B$227</definedName>
    <definedName name="CD_IJOZ001800000_4">項目!$B$229</definedName>
    <definedName name="CD_IJOZ001800000_5">項目!$B$231</definedName>
    <definedName name="CD_IJOZ001900000_1">項目!$B$263</definedName>
    <definedName name="CD_IJOZ001900000_2">項目!$B$265</definedName>
    <definedName name="CD_IJOZ001900000_3">項目!$B$267</definedName>
    <definedName name="CD_IJOZ001900000_4">項目!$B$269</definedName>
    <definedName name="CD_IJOZ001900000_5">項目!$B$271</definedName>
    <definedName name="CD_IJOZ002000000_1">項目!$B$243</definedName>
    <definedName name="CD_IJOZ002000000_2">項目!$B$245</definedName>
    <definedName name="CD_IJOZ002000000_3">項目!$B$247</definedName>
    <definedName name="CD_IJOZ002000000_4">項目!$B$249</definedName>
    <definedName name="CD_IJOZ002000000_5">項目!$B$251</definedName>
    <definedName name="CD_IJOZ002100000_1">項目!$B$253</definedName>
    <definedName name="CD_IJOZ002100000_2">項目!$B$255</definedName>
    <definedName name="CD_IJOZ002100000_3">項目!$B$257</definedName>
    <definedName name="CD_IJOZ002100000_4">項目!$B$259</definedName>
    <definedName name="CD_IJOZ002100000_5">項目!$B$261</definedName>
    <definedName name="CD_IJOZ002300000_1">項目!$B$273</definedName>
    <definedName name="CD_IJOZ002300000_2">項目!$B$275</definedName>
    <definedName name="CD_IJOZ002300000_3">項目!$B$277</definedName>
    <definedName name="CD_IJOZ002300000_4">項目!$B$279</definedName>
    <definedName name="CD_IJOZ002300000_5">項目!$B$281</definedName>
    <definedName name="CD_IJOZ002400000_1">項目!$B$283</definedName>
    <definedName name="CD_IJOZ002400000_2">項目!$B$285</definedName>
    <definedName name="CD_IJOZ002400000_3">項目!$B$287</definedName>
    <definedName name="CD_IJOZ002400000_4">項目!$B$289</definedName>
    <definedName name="CD_IJOZ002400000_5">項目!$B$291</definedName>
    <definedName name="CD_IJOZ002500000_1">項目!$B$313</definedName>
    <definedName name="CD_IJOZ002500000_2">項目!$B$315</definedName>
    <definedName name="CD_IJOZ002500000_3">項目!$B$317</definedName>
    <definedName name="CD_IJOZ002500000_4">項目!$B$319</definedName>
    <definedName name="CD_IJOZ002500000_5">項目!$B$321</definedName>
    <definedName name="CD_IJOZ002800000_1">項目!$B$323</definedName>
    <definedName name="CD_IJOZ002800000_2">項目!$B$325</definedName>
    <definedName name="CD_IJOZ002800000_3">項目!$B$327</definedName>
    <definedName name="CD_IJOZ002800000_4">項目!$B$329</definedName>
    <definedName name="CD_IJOZ002800000_5">項目!$B$331</definedName>
    <definedName name="CD_IJOZ002900000_1">項目!$B$333</definedName>
    <definedName name="CD_IJOZ002900000_2">項目!$B$335</definedName>
    <definedName name="CD_IJOZ002900000_3">項目!$B$337</definedName>
    <definedName name="CD_IJOZ002900000_4">項目!$B$339</definedName>
    <definedName name="CD_IJOZ002900000_5">項目!$B$341</definedName>
    <definedName name="CD_IJOZ003000000_1">項目!$B$343</definedName>
    <definedName name="CD_IJOZ003000000_2">項目!$B$345</definedName>
    <definedName name="CD_IJOZ003000000_3">項目!$B$347</definedName>
    <definedName name="CD_IJOZ003000000_4">項目!$B$349</definedName>
    <definedName name="CD_IJOZ003000000_5">項目!$B$351</definedName>
    <definedName name="CD_IJOZ003300000_1">項目!$B$353</definedName>
    <definedName name="CD_IJOZ003300000_2">項目!$B$355</definedName>
    <definedName name="CD_IJOZ003300000_3">項目!$B$357</definedName>
    <definedName name="CD_IJOZ003300000_4">項目!$B$359</definedName>
    <definedName name="CD_IJOZ003300000_5">項目!$B$361</definedName>
    <definedName name="CD_IJOZ003500000_1">項目!$B$493</definedName>
    <definedName name="CD_IJOZ003500000_2">項目!$B$495</definedName>
    <definedName name="CD_IJOZ003500000_3">項目!$B$497</definedName>
    <definedName name="CD_IJOZ003500000_4">項目!$B$499</definedName>
    <definedName name="CD_IJOZ003500000_5">項目!$B$501</definedName>
    <definedName name="CD_IJOZ006800000_1">項目!$B$403</definedName>
    <definedName name="CD_IJOZ006800000_2">項目!$B$405</definedName>
    <definedName name="CD_IJOZ006800000_3">項目!$B$407</definedName>
    <definedName name="CD_IJOZ006800000_4">項目!$B$409</definedName>
    <definedName name="CD_IJOZ006800000_5">項目!$B$411</definedName>
    <definedName name="CD_IJOZ006900000_1">項目!$B$413</definedName>
    <definedName name="CD_IJOZ006900000_2">項目!$B$415</definedName>
    <definedName name="CD_IJOZ006900000_3">項目!$B$417</definedName>
    <definedName name="CD_IJOZ006900000_4">項目!$B$419</definedName>
    <definedName name="CD_IJOZ006900000_5">項目!$B$421</definedName>
    <definedName name="CD_IJOZ007000000_1">項目!$B$423</definedName>
    <definedName name="CD_IJOZ007000000_2">項目!$B$425</definedName>
    <definedName name="CD_IJOZ007000000_3">項目!$B$427</definedName>
    <definedName name="CD_IJOZ007000000_4">項目!$B$429</definedName>
    <definedName name="CD_IJOZ007000000_5">項目!$B$431</definedName>
    <definedName name="CD_IJOZ029700000_1">項目!$B$433</definedName>
    <definedName name="CD_IJOZ029700000_2">項目!$B$435</definedName>
    <definedName name="CD_IJOZ029700000_3">項目!$B$437</definedName>
    <definedName name="CD_IJOZ029700000_4">項目!$B$439</definedName>
    <definedName name="CD_IJOZ029700000_5">項目!$B$441</definedName>
    <definedName name="CD_Z000200000_1">項目!$B$554</definedName>
    <definedName name="CD_Z000200000_2">項目!$B$556</definedName>
    <definedName name="CD_Z000200000_3">項目!$B$558</definedName>
    <definedName name="CD_Z000200000_4">項目!$B$560</definedName>
    <definedName name="CD_Z000200000_5">項目!$B$562</definedName>
    <definedName name="CD_Z000300000_1">項目!$B$584</definedName>
    <definedName name="CD_Z000300000_2">項目!$B$586</definedName>
    <definedName name="CD_Z000300000_3">項目!$B$588</definedName>
    <definedName name="CD_Z000300000_4">項目!$B$590</definedName>
    <definedName name="CD_Z000300000_5">項目!$B$592</definedName>
    <definedName name="CD_Z000400000_1">項目!$B$524</definedName>
    <definedName name="CD_Z000400000_2">項目!$B$526</definedName>
    <definedName name="CD_Z000400000_3">項目!$B$528</definedName>
    <definedName name="CD_Z000400000_4">項目!$B$530</definedName>
    <definedName name="CD_Z000400000_5">項目!$B$532</definedName>
    <definedName name="CD_Z000800000_1">項目!$B$614</definedName>
    <definedName name="CD_Z000800000_2">項目!$B$616</definedName>
    <definedName name="CD_Z000800000_3">項目!$B$618</definedName>
    <definedName name="CD_Z000800000_4">項目!$B$620</definedName>
    <definedName name="CD_Z000800000_5">項目!$B$622</definedName>
    <definedName name="CD_Z001000000_1">項目!$B$484</definedName>
    <definedName name="CD_Z001000000_2">項目!$B$486</definedName>
    <definedName name="CD_Z001000000_3">項目!$B$488</definedName>
    <definedName name="CD_Z001000000_4">項目!$B$490</definedName>
    <definedName name="CD_Z001000000_5">項目!$B$492</definedName>
    <definedName name="CD_Z001100000_1">項目!$B$69</definedName>
    <definedName name="CD_Z001100000_2">項目!$B$71</definedName>
    <definedName name="CD_Z001100000_3">項目!$B$73</definedName>
    <definedName name="CD_Z001100000_4">項目!$B$75</definedName>
    <definedName name="CD_Z001100000_5">項目!$B$77</definedName>
    <definedName name="CD_Z001200000_1">項目!$B$59</definedName>
    <definedName name="CD_Z001200000_2">項目!$B$61</definedName>
    <definedName name="CD_Z001200000_3">項目!$B$63</definedName>
    <definedName name="CD_Z001200000_4">項目!$B$65</definedName>
    <definedName name="CD_Z001200000_5">項目!$B$67</definedName>
    <definedName name="CD_Z001300000_1">項目!$B$109</definedName>
    <definedName name="CD_Z001300000_2">項目!$B$111</definedName>
    <definedName name="CD_Z001300000_3">項目!$B$113</definedName>
    <definedName name="CD_Z001300000_4">項目!$B$115</definedName>
    <definedName name="CD_Z001300000_5">項目!$B$117</definedName>
    <definedName name="CD_Z001400000_1">項目!$B$129</definedName>
    <definedName name="CD_Z001400000_2">項目!$B$131</definedName>
    <definedName name="CD_Z001400000_3">項目!$B$133</definedName>
    <definedName name="CD_Z001400000_4">項目!$B$135</definedName>
    <definedName name="CD_Z001400000_5">項目!$B$137</definedName>
    <definedName name="CD_Z001600000_1">項目!$B$164</definedName>
    <definedName name="CD_Z001600000_2">項目!$B$166</definedName>
    <definedName name="CD_Z001600000_3">項目!$B$168</definedName>
    <definedName name="CD_Z001600000_4">項目!$B$170</definedName>
    <definedName name="CD_Z001600000_5">項目!$B$172</definedName>
    <definedName name="CD_Z001800000_1">項目!$B$224</definedName>
    <definedName name="CD_Z001800000_2">項目!$B$226</definedName>
    <definedName name="CD_Z001800000_3">項目!$B$228</definedName>
    <definedName name="CD_Z001800000_4">項目!$B$230</definedName>
    <definedName name="CD_Z001800000_5">項目!$B$232</definedName>
    <definedName name="CD_Z001900000_1">項目!$B$264</definedName>
    <definedName name="CD_Z001900000_2">項目!$B$266</definedName>
    <definedName name="CD_Z001900000_3">項目!$B$268</definedName>
    <definedName name="CD_Z001900000_4">項目!$B$270</definedName>
    <definedName name="CD_Z001900000_5">項目!$B$272</definedName>
    <definedName name="CD_Z002000000_1">項目!$B$244</definedName>
    <definedName name="CD_Z002000000_2">項目!$B$246</definedName>
    <definedName name="CD_Z002000000_3">項目!$B$248</definedName>
    <definedName name="CD_Z002000000_4">項目!$B$250</definedName>
    <definedName name="CD_Z002000000_5">項目!$B$252</definedName>
    <definedName name="CD_Z002100000_1">項目!$B$254</definedName>
    <definedName name="CD_Z002100000_2">項目!$B$256</definedName>
    <definedName name="CD_Z002100000_3">項目!$B$258</definedName>
    <definedName name="CD_Z002100000_4">項目!$B$260</definedName>
    <definedName name="CD_Z002100000_5">項目!$B$262</definedName>
    <definedName name="CD_Z002300000_1">項目!$B$274</definedName>
    <definedName name="CD_Z002300000_2">項目!$B$276</definedName>
    <definedName name="CD_Z002300000_3">項目!$B$278</definedName>
    <definedName name="CD_Z002300000_4">項目!$B$280</definedName>
    <definedName name="CD_Z002300000_5">項目!$B$282</definedName>
    <definedName name="CD_Z002400000_1">項目!$B$284</definedName>
    <definedName name="CD_Z002400000_2">項目!$B$286</definedName>
    <definedName name="CD_Z002400000_3">項目!$B$288</definedName>
    <definedName name="CD_Z002400000_4">項目!$B$290</definedName>
    <definedName name="CD_Z002400000_5">項目!$B$292</definedName>
    <definedName name="CD_Z002500000_1">項目!$B$314</definedName>
    <definedName name="CD_Z002500000_2">項目!$B$316</definedName>
    <definedName name="CD_Z002500000_3">項目!$B$318</definedName>
    <definedName name="CD_Z002500000_4">項目!$B$320</definedName>
    <definedName name="CD_Z002500000_5">項目!$B$322</definedName>
    <definedName name="CD_Z002800000_1">項目!$B$324</definedName>
    <definedName name="CD_Z002800000_2">項目!$B$326</definedName>
    <definedName name="CD_Z002800000_3">項目!$B$328</definedName>
    <definedName name="CD_Z002800000_4">項目!$B$330</definedName>
    <definedName name="CD_Z002800000_5">項目!$B$332</definedName>
    <definedName name="CD_Z002900000_1">項目!$B$334</definedName>
    <definedName name="CD_Z002900000_2">項目!$B$336</definedName>
    <definedName name="CD_Z002900000_3">項目!$B$338</definedName>
    <definedName name="CD_Z002900000_4">項目!$B$340</definedName>
    <definedName name="CD_Z002900000_5">項目!$B$342</definedName>
    <definedName name="CD_Z003000000_1">項目!$B$344</definedName>
    <definedName name="CD_Z003000000_2">項目!$B$346</definedName>
    <definedName name="CD_Z003000000_3">項目!$B$348</definedName>
    <definedName name="CD_Z003000000_4">項目!$B$350</definedName>
    <definedName name="CD_Z003000000_5">項目!$B$352</definedName>
    <definedName name="CD_Z003300000_1">項目!$B$354</definedName>
    <definedName name="CD_Z003300000_2">項目!$B$356</definedName>
    <definedName name="CD_Z003300000_3">項目!$B$358</definedName>
    <definedName name="CD_Z003300000_4">項目!$B$360</definedName>
    <definedName name="CD_Z003300000_5">項目!$B$362</definedName>
    <definedName name="CD_Z003500000_1">項目!$B$494</definedName>
    <definedName name="CD_Z003500000_2">項目!$B$496</definedName>
    <definedName name="CD_Z003500000_3">項目!$B$498</definedName>
    <definedName name="CD_Z003500000_4">項目!$B$500</definedName>
    <definedName name="CD_Z003500000_5">項目!$B$502</definedName>
    <definedName name="CD_Z006800000_1">項目!$B$404</definedName>
    <definedName name="CD_Z006800000_2">項目!$B$406</definedName>
    <definedName name="CD_Z006800000_3">項目!$B$408</definedName>
    <definedName name="CD_Z006800000_4">項目!$B$410</definedName>
    <definedName name="CD_Z006800000_5">項目!$B$412</definedName>
    <definedName name="CD_Z006900000_1">項目!$B$414</definedName>
    <definedName name="CD_Z006900000_2">項目!$B$416</definedName>
    <definedName name="CD_Z006900000_3">項目!$B$418</definedName>
    <definedName name="CD_Z006900000_4">項目!$B$420</definedName>
    <definedName name="CD_Z006900000_5">項目!$B$422</definedName>
    <definedName name="CD_Z007000000_1">項目!$B$424</definedName>
    <definedName name="CD_Z007000000_2">項目!$B$426</definedName>
    <definedName name="CD_Z007000000_3">項目!$B$428</definedName>
    <definedName name="CD_Z007000000_4">項目!$B$430</definedName>
    <definedName name="CD_Z007000000_5">項目!$B$432</definedName>
    <definedName name="CD_Z029700000_1">項目!$B$434</definedName>
    <definedName name="CD_Z029700000_2">項目!$B$436</definedName>
    <definedName name="CD_Z029700000_3">項目!$B$438</definedName>
    <definedName name="CD_Z029700000_4">項目!$B$440</definedName>
    <definedName name="CD_Z029700000_5">項目!$B$442</definedName>
    <definedName name="CD_肝炎結果B1">項目!$B$148</definedName>
    <definedName name="CD_肝炎結果B2">項目!$B$149</definedName>
    <definedName name="CD_肝炎結果B3">項目!$B$150</definedName>
    <definedName name="CD_肝炎結果B4">項目!$B$151</definedName>
    <definedName name="CD_肝炎結果B5">項目!$B$152</definedName>
    <definedName name="_xlnm.Print_Area" localSheetId="1">健康診断個人結果票!$A$1:$L$66</definedName>
    <definedName name="_xlnm.Print_Area" localSheetId="8">'健康診断個人結果票(VBReport)'!$A$1:$AD$8</definedName>
    <definedName name="_xlnm.Print_Area" localSheetId="11">'健康診断個人結果票（血液・形態）_bak'!$A$4:$L$120</definedName>
    <definedName name="_xlnm.Print_Area" localSheetId="0">'健康診断個人結果票（封書）'!$A$4:$BI$63</definedName>
    <definedName name="その他症状">項目!$B$745</definedName>
    <definedName name="タイトル">項目!$B$824</definedName>
    <definedName name="タイトル1_健診閲覧コード">項目!$B$893</definedName>
    <definedName name="タイトル2_健診閲覧コード">項目!$B$894</definedName>
    <definedName name="メタボ判定">項目!$B$711</definedName>
    <definedName name="メタボ判定2">項目!$B$808</definedName>
    <definedName name="メタボ判定3">項目!$B$809</definedName>
    <definedName name="メタボ判定4">項目!$B$810</definedName>
    <definedName name="メタボ判定5">項目!$B$811</definedName>
    <definedName name="胃機関">項目!$B$699</definedName>
    <definedName name="胃結果1">項目!$B$653</definedName>
    <definedName name="胃結果2">項目!$B$654</definedName>
    <definedName name="胃結果3">項目!$B$655</definedName>
    <definedName name="胃結果4">項目!$B$656</definedName>
    <definedName name="胃結果5">項目!$B$657</definedName>
    <definedName name="胃検査方法1">項目!$B$906</definedName>
    <definedName name="胃検査方法2">項目!$B$907</definedName>
    <definedName name="胃検査方法3">項目!$B$908</definedName>
    <definedName name="胃検査方法4">項目!$B$909</definedName>
    <definedName name="胃検査方法5">項目!$B$910</definedName>
    <definedName name="胃受診日1">項目!$B$643</definedName>
    <definedName name="胃受診日2">項目!$B$644</definedName>
    <definedName name="胃受診日3">項目!$B$645</definedName>
    <definedName name="胃受診日4">項目!$B$646</definedName>
    <definedName name="胃受診日5">項目!$B$647</definedName>
    <definedName name="胃番号1">項目!$B$648</definedName>
    <definedName name="胃番号2">項目!$B$649</definedName>
    <definedName name="胃番号3">項目!$B$650</definedName>
    <definedName name="胃番号4">項目!$B$651</definedName>
    <definedName name="胃番号5">項目!$B$652</definedName>
    <definedName name="肝炎結果B">項目!$B$704</definedName>
    <definedName name="肝炎結果C">項目!$B$710</definedName>
    <definedName name="肝炎受診日">項目!$B$703</definedName>
    <definedName name="結果1">項目!$B$718</definedName>
    <definedName name="結果10">項目!$B$736</definedName>
    <definedName name="結果11">項目!$B$738</definedName>
    <definedName name="結果12">項目!$B$740</definedName>
    <definedName name="結果13">項目!$B$742</definedName>
    <definedName name="結果14">項目!$B$744</definedName>
    <definedName name="結果2">項目!$B$720</definedName>
    <definedName name="結果3">項目!$B$722</definedName>
    <definedName name="結果4">項目!$B$724</definedName>
    <definedName name="結果5">項目!$B$726</definedName>
    <definedName name="結果6">項目!$B$728</definedName>
    <definedName name="結果7">項目!$B$730</definedName>
    <definedName name="結果8">項目!$B$732</definedName>
    <definedName name="結果9">項目!$B$734</definedName>
    <definedName name="健診閲覧コード_健診閲覧コード">項目!$B$892</definedName>
    <definedName name="検診日">項目!$B$716</definedName>
    <definedName name="行政区">項目!$B$22</definedName>
    <definedName name="行政区_健診閲覧コード">項目!$B$891</definedName>
    <definedName name="行政区CD">項目!$B$21</definedName>
    <definedName name="行政区CD_健診閲覧コード">項目!$B$890</definedName>
    <definedName name="項目1">項目!$B$748</definedName>
    <definedName name="項目10">項目!$B$766</definedName>
    <definedName name="項目11">項目!$B$768</definedName>
    <definedName name="項目12">項目!$B$770</definedName>
    <definedName name="項目13">項目!$B$772</definedName>
    <definedName name="項目14">項目!$B$774</definedName>
    <definedName name="項目15">項目!$B$776</definedName>
    <definedName name="項目16">項目!$B$778</definedName>
    <definedName name="項目17">項目!$B$780</definedName>
    <definedName name="項目18">項目!$B$782</definedName>
    <definedName name="項目19">項目!$B$784</definedName>
    <definedName name="項目2">項目!$B$750</definedName>
    <definedName name="項目20">項目!$B$786</definedName>
    <definedName name="項目3">項目!$B$752</definedName>
    <definedName name="項目4">項目!$B$754</definedName>
    <definedName name="項目5">項目!$B$756</definedName>
    <definedName name="項目6">項目!$B$758</definedName>
    <definedName name="項目7">項目!$B$760</definedName>
    <definedName name="項目8">項目!$B$762</definedName>
    <definedName name="項目9">項目!$B$764</definedName>
    <definedName name="子宮機関">項目!$B$701</definedName>
    <definedName name="子宮結果1">項目!$B$683</definedName>
    <definedName name="子宮結果2">項目!$B$684</definedName>
    <definedName name="子宮結果3">項目!$B$685</definedName>
    <definedName name="子宮結果4">項目!$B$686</definedName>
    <definedName name="子宮結果5">項目!$B$687</definedName>
    <definedName name="子宮受診日1">項目!$B$678</definedName>
    <definedName name="子宮受診日2">項目!$B$679</definedName>
    <definedName name="子宮受診日3">項目!$B$680</definedName>
    <definedName name="子宮受診日4">項目!$B$681</definedName>
    <definedName name="子宮受診日5">項目!$B$682</definedName>
    <definedName name="指導及び意見1">項目!$B$749</definedName>
    <definedName name="指導及び意見10">項目!$B$767</definedName>
    <definedName name="指導及び意見11">項目!$B$769</definedName>
    <definedName name="指導及び意見12">項目!$B$771</definedName>
    <definedName name="指導及び意見13">項目!$B$773</definedName>
    <definedName name="指導及び意見14">項目!$B$775</definedName>
    <definedName name="指導及び意見15">項目!$B$777</definedName>
    <definedName name="指導及び意見16">項目!$B$779</definedName>
    <definedName name="指導及び意見17">項目!$B$781</definedName>
    <definedName name="指導及び意見18">項目!$B$783</definedName>
    <definedName name="指導及び意見19">項目!$B$785</definedName>
    <definedName name="指導及び意見2">項目!$B$751</definedName>
    <definedName name="指導及び意見20">項目!$B$787</definedName>
    <definedName name="指導及び意見3">項目!$B$753</definedName>
    <definedName name="指導及び意見4">項目!$B$755</definedName>
    <definedName name="指導及び意見5">項目!$B$757</definedName>
    <definedName name="指導及び意見6">項目!$B$759</definedName>
    <definedName name="指導及び意見7">項目!$B$761</definedName>
    <definedName name="指導及び意見8">項目!$B$763</definedName>
    <definedName name="指導及び意見9">項目!$B$765</definedName>
    <definedName name="氏名">項目!$B$14</definedName>
    <definedName name="氏名_健診閲覧コード">項目!$B$883</definedName>
    <definedName name="受診日1">項目!$B$23</definedName>
    <definedName name="受診日2">項目!$B$24</definedName>
    <definedName name="受診日3">項目!$B$25</definedName>
    <definedName name="受診日4">項目!$B$26</definedName>
    <definedName name="受診日5">項目!$B$27</definedName>
    <definedName name="受診番号">項目!$B$18</definedName>
    <definedName name="受診番号_健診閲覧コード">項目!$B$887</definedName>
    <definedName name="住所">項目!$B$12</definedName>
    <definedName name="住所_健診閲覧コード">項目!$B$881</definedName>
    <definedName name="心電図所見1">項目!$B$746</definedName>
    <definedName name="心電図所見2">項目!$B$747</definedName>
    <definedName name="診断名1">項目!$B$717</definedName>
    <definedName name="診断名10">項目!$B$735</definedName>
    <definedName name="診断名11">項目!$B$737</definedName>
    <definedName name="診断名12">項目!$B$739</definedName>
    <definedName name="診断名13">項目!$B$741</definedName>
    <definedName name="診断名14">項目!$B$743</definedName>
    <definedName name="診断名2">項目!$B$719</definedName>
    <definedName name="診断名3">項目!$B$721</definedName>
    <definedName name="診断名4">項目!$B$723</definedName>
    <definedName name="診断名5">項目!$B$725</definedName>
    <definedName name="診断名6">項目!$B$727</definedName>
    <definedName name="診断名7">項目!$B$729</definedName>
    <definedName name="診断名8">項目!$B$731</definedName>
    <definedName name="診断名9">項目!$B$733</definedName>
    <definedName name="世帯主氏名">項目!$B$20</definedName>
    <definedName name="世帯主氏名_健診閲覧コード">項目!$B$889</definedName>
    <definedName name="性別">項目!$B$17</definedName>
    <definedName name="性別_健診閲覧コード">項目!$B$886</definedName>
    <definedName name="整理番号">項目!$B$10</definedName>
    <definedName name="整理番号_健診閲覧コード">項目!$B$879</definedName>
    <definedName name="生年月日">項目!$B$15</definedName>
    <definedName name="生年月日_健診閲覧コード">項目!$B$884</definedName>
    <definedName name="前立腺結果1">項目!$B$803</definedName>
    <definedName name="前立腺結果2">項目!$B$804</definedName>
    <definedName name="前立腺結果3">項目!$B$805</definedName>
    <definedName name="前立腺結果4">項目!$B$806</definedName>
    <definedName name="前立腺結果5">項目!$B$807</definedName>
    <definedName name="前立腺受診日1">項目!$B$793</definedName>
    <definedName name="前立腺受診日2">項目!$B$794</definedName>
    <definedName name="前立腺受診日3">項目!$B$795</definedName>
    <definedName name="前立腺受診日4">項目!$B$796</definedName>
    <definedName name="前立腺受診日5">項目!$B$797</definedName>
    <definedName name="組合名">項目!$B$19</definedName>
    <definedName name="組合名_健診閲覧コード">項目!$B$888</definedName>
    <definedName name="大腸機関">項目!$B$700</definedName>
    <definedName name="大腸結果1">項目!$B$673</definedName>
    <definedName name="大腸結果2">項目!$B$674</definedName>
    <definedName name="大腸結果3">項目!$B$675</definedName>
    <definedName name="大腸結果4">項目!$B$676</definedName>
    <definedName name="大腸結果5">項目!$B$677</definedName>
    <definedName name="大腸受診日1">項目!$B$658</definedName>
    <definedName name="大腸受診日2">項目!$B$659</definedName>
    <definedName name="大腸受診日3">項目!$B$660</definedName>
    <definedName name="大腸受診日4">項目!$B$661</definedName>
    <definedName name="大腸受診日5">項目!$B$662</definedName>
    <definedName name="大腸所見11">項目!$B$663</definedName>
    <definedName name="大腸所見12">項目!$B$664</definedName>
    <definedName name="大腸所見13">項目!$B$665</definedName>
    <definedName name="大腸所見14">項目!$B$666</definedName>
    <definedName name="大腸所見15">項目!$B$667</definedName>
    <definedName name="大腸所見21">項目!$B$668</definedName>
    <definedName name="大腸所見22">項目!$B$669</definedName>
    <definedName name="大腸所見23">項目!$B$670</definedName>
    <definedName name="大腸所見24">項目!$B$671</definedName>
    <definedName name="大腸所見25">項目!$B$672</definedName>
    <definedName name="担当医師">項目!$B$714</definedName>
    <definedName name="乳機関">項目!$B$702</definedName>
    <definedName name="乳結果1">項目!$B$693</definedName>
    <definedName name="乳結果2">項目!$B$694</definedName>
    <definedName name="乳結果3">項目!$B$695</definedName>
    <definedName name="乳結果4">項目!$B$696</definedName>
    <definedName name="乳結果5">項目!$B$697</definedName>
    <definedName name="乳受診日1">項目!$B$688</definedName>
    <definedName name="乳受診日2">項目!$B$689</definedName>
    <definedName name="乳受診日3">項目!$B$690</definedName>
    <definedName name="乳受診日4">項目!$B$691</definedName>
    <definedName name="乳受診日5">項目!$B$692</definedName>
    <definedName name="年度">項目!$B$822</definedName>
    <definedName name="年度1">項目!$B$623</definedName>
    <definedName name="年度2">項目!$B$624</definedName>
    <definedName name="年度3">項目!$B$625</definedName>
    <definedName name="年度4">項目!$B$626</definedName>
    <definedName name="年度5">項目!$B$627</definedName>
    <definedName name="年齢">項目!$B$16</definedName>
    <definedName name="年齢_健診閲覧コード">項目!$B$885</definedName>
    <definedName name="肺機関">項目!$B$698</definedName>
    <definedName name="肺結果1">項目!$B$638</definedName>
    <definedName name="肺結果2">項目!$B$639</definedName>
    <definedName name="肺結果3">項目!$B$640</definedName>
    <definedName name="肺結果4">項目!$B$641</definedName>
    <definedName name="肺結果5">項目!$B$642</definedName>
    <definedName name="肺受診日1">項目!$B$628</definedName>
    <definedName name="肺受診日2">項目!$B$629</definedName>
    <definedName name="肺受診日3">項目!$B$630</definedName>
    <definedName name="肺受診日4">項目!$B$631</definedName>
    <definedName name="肺受診日5">項目!$B$632</definedName>
    <definedName name="肺番号1">項目!$B$633</definedName>
    <definedName name="肺番号2">項目!$B$634</definedName>
    <definedName name="肺番号3">項目!$B$635</definedName>
    <definedName name="肺番号4">項目!$B$636</definedName>
    <definedName name="肺番号5">項目!$B$637</definedName>
    <definedName name="発行年月日">項目!$B$823</definedName>
    <definedName name="番号">項目!$B$715</definedName>
    <definedName name="文章1">項目!$B$825</definedName>
    <definedName name="文章1_健診閲覧コード">項目!$B$895</definedName>
    <definedName name="文章10">項目!$B$834</definedName>
    <definedName name="文章10_健診閲覧コード">項目!$B$904</definedName>
    <definedName name="文章11">項目!$B$835</definedName>
    <definedName name="文章11_健診閲覧コード">項目!$B$905</definedName>
    <definedName name="文章12">項目!$B$836</definedName>
    <definedName name="文章13">項目!$B$837</definedName>
    <definedName name="文章14">項目!$B$838</definedName>
    <definedName name="文章15">項目!$B$839</definedName>
    <definedName name="文章16">項目!$B$840</definedName>
    <definedName name="文章17">項目!$B$841</definedName>
    <definedName name="文章18">項目!$B$842</definedName>
    <definedName name="文章19">項目!$B$843</definedName>
    <definedName name="文章2">項目!$B$826</definedName>
    <definedName name="文章2_健診閲覧コード">項目!$B$896</definedName>
    <definedName name="文章20">項目!$B$844</definedName>
    <definedName name="文章21">項目!$B$845</definedName>
    <definedName name="文章22">項目!$B$846</definedName>
    <definedName name="文章23">項目!$B$847</definedName>
    <definedName name="文章24">項目!$B$848</definedName>
    <definedName name="文章25">項目!$B$849</definedName>
    <definedName name="文章26">項目!$B$850</definedName>
    <definedName name="文章27">項目!$B$851</definedName>
    <definedName name="文章28">項目!$B$852</definedName>
    <definedName name="文章29">項目!$B$853</definedName>
    <definedName name="文章3">項目!$B$827</definedName>
    <definedName name="文章3_健診閲覧コード">項目!$B$897</definedName>
    <definedName name="文章30">項目!$B$854</definedName>
    <definedName name="文章31">項目!$B$855</definedName>
    <definedName name="文章32">項目!$B$856</definedName>
    <definedName name="文章33">項目!$B$857</definedName>
    <definedName name="文章34">項目!$B$858</definedName>
    <definedName name="文章35">項目!$B$859</definedName>
    <definedName name="文章36">項目!$B$860</definedName>
    <definedName name="文章37">項目!$B$861</definedName>
    <definedName name="文章38">項目!$B$862</definedName>
    <definedName name="文章39">項目!$B$863</definedName>
    <definedName name="文章4">項目!$B$828</definedName>
    <definedName name="文章4_健診閲覧コード">項目!$B$898</definedName>
    <definedName name="文章40">項目!$B$864</definedName>
    <definedName name="文章41">項目!$B$865</definedName>
    <definedName name="文章42">項目!$B$866</definedName>
    <definedName name="文章43">項目!$B$867</definedName>
    <definedName name="文章44">項目!$B$868</definedName>
    <definedName name="文章5">項目!$B$829</definedName>
    <definedName name="文章5_健診閲覧コード">項目!$B$899</definedName>
    <definedName name="文章6">項目!$B$830</definedName>
    <definedName name="文章6_健診閲覧コード">項目!$B$900</definedName>
    <definedName name="文章7">項目!$B$831</definedName>
    <definedName name="文章7_健診閲覧コード">項目!$B$901</definedName>
    <definedName name="文章8">項目!$B$832</definedName>
    <definedName name="文章8_健診閲覧コード">項目!$B$902</definedName>
    <definedName name="文章9">項目!$B$833</definedName>
    <definedName name="文章9_健診閲覧コード">項目!$B$903</definedName>
    <definedName name="方書">項目!$B$13</definedName>
    <definedName name="方書_健診閲覧コード">項目!$B$882</definedName>
    <definedName name="郵便番号">項目!$B$11</definedName>
    <definedName name="郵便番号_健診閲覧コード">項目!$B$880</definedName>
    <definedName name="喀痰結果1">項目!$B$817</definedName>
    <definedName name="喀痰結果2">項目!$B$818</definedName>
    <definedName name="喀痰結果3">項目!$B$819</definedName>
    <definedName name="喀痰結果4">項目!$B$820</definedName>
    <definedName name="喀痰結果5">項目!$B$821</definedName>
    <definedName name="喀痰受診日1">項目!$B$812</definedName>
    <definedName name="喀痰受診日2">項目!$B$813</definedName>
    <definedName name="喀痰受診日3">項目!$B$814</definedName>
    <definedName name="喀痰受診日4">項目!$B$815</definedName>
    <definedName name="喀痰受診日5">項目!$B$816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4" i="15" l="1"/>
  <c r="L88" i="15"/>
  <c r="J88" i="15"/>
  <c r="H88" i="15"/>
  <c r="F88" i="15"/>
  <c r="D88" i="15"/>
  <c r="L87" i="15"/>
  <c r="K87" i="15"/>
  <c r="J87" i="15"/>
  <c r="I87" i="15"/>
  <c r="H87" i="15"/>
  <c r="G87" i="15"/>
  <c r="F87" i="15"/>
  <c r="E87" i="15"/>
  <c r="D87" i="15"/>
  <c r="C87" i="15"/>
  <c r="L86" i="15"/>
  <c r="K86" i="15"/>
  <c r="J86" i="15"/>
  <c r="I86" i="15"/>
  <c r="H86" i="15"/>
  <c r="G86" i="15"/>
  <c r="F86" i="15"/>
  <c r="E86" i="15"/>
  <c r="D86" i="15"/>
  <c r="C86" i="15"/>
  <c r="L85" i="15"/>
  <c r="K85" i="15"/>
  <c r="J85" i="15"/>
  <c r="I85" i="15"/>
  <c r="H85" i="15"/>
  <c r="G85" i="15"/>
  <c r="F85" i="15"/>
  <c r="E85" i="15"/>
  <c r="D85" i="15"/>
  <c r="C85" i="15"/>
  <c r="L84" i="15"/>
  <c r="K84" i="15"/>
  <c r="J84" i="15"/>
  <c r="I84" i="15"/>
  <c r="H84" i="15"/>
  <c r="G84" i="15"/>
  <c r="F84" i="15"/>
  <c r="E84" i="15"/>
  <c r="D84" i="15"/>
  <c r="C84" i="15"/>
  <c r="L83" i="15"/>
  <c r="K83" i="15"/>
  <c r="J83" i="15"/>
  <c r="I83" i="15"/>
  <c r="H83" i="15"/>
  <c r="G83" i="15"/>
  <c r="F83" i="15"/>
  <c r="E83" i="15"/>
  <c r="D83" i="15"/>
  <c r="C83" i="15"/>
  <c r="L82" i="15"/>
  <c r="K82" i="15"/>
  <c r="J82" i="15"/>
  <c r="I82" i="15"/>
  <c r="H82" i="15"/>
  <c r="G82" i="15"/>
  <c r="F82" i="15"/>
  <c r="E82" i="15"/>
  <c r="D82" i="15"/>
  <c r="C82" i="15"/>
  <c r="L81" i="15"/>
  <c r="K81" i="15"/>
  <c r="J81" i="15"/>
  <c r="I81" i="15"/>
  <c r="H81" i="15"/>
  <c r="G81" i="15"/>
  <c r="F81" i="15"/>
  <c r="E81" i="15"/>
  <c r="D81" i="15"/>
  <c r="C81" i="15"/>
  <c r="L80" i="15"/>
  <c r="K80" i="15"/>
  <c r="J80" i="15"/>
  <c r="I80" i="15"/>
  <c r="H80" i="15"/>
  <c r="G80" i="15"/>
  <c r="F80" i="15"/>
  <c r="E80" i="15"/>
  <c r="D80" i="15"/>
  <c r="C80" i="15"/>
  <c r="L79" i="15"/>
  <c r="K79" i="15"/>
  <c r="J79" i="15"/>
  <c r="I79" i="15"/>
  <c r="H79" i="15"/>
  <c r="G79" i="15"/>
  <c r="F79" i="15"/>
  <c r="E79" i="15"/>
  <c r="D79" i="15"/>
  <c r="C79" i="15"/>
  <c r="L70" i="15"/>
  <c r="K70" i="15"/>
  <c r="J70" i="15"/>
  <c r="I70" i="15"/>
  <c r="G70" i="15"/>
  <c r="E70" i="15"/>
  <c r="C70" i="15"/>
  <c r="K69" i="15"/>
  <c r="I69" i="15"/>
  <c r="G69" i="15"/>
  <c r="E69" i="15"/>
  <c r="C69" i="15"/>
  <c r="K68" i="15"/>
  <c r="I68" i="15"/>
  <c r="G68" i="15"/>
  <c r="E68" i="15"/>
  <c r="C68" i="15"/>
  <c r="K67" i="15"/>
  <c r="I67" i="15"/>
  <c r="G67" i="15"/>
  <c r="E67" i="15"/>
  <c r="C67" i="15"/>
  <c r="K65" i="15"/>
  <c r="I65" i="15"/>
  <c r="G65" i="15"/>
  <c r="E65" i="15"/>
  <c r="E116" i="15"/>
  <c r="K115" i="15"/>
  <c r="F115" i="15"/>
  <c r="E115" i="15"/>
  <c r="K114" i="15"/>
  <c r="L91" i="15"/>
  <c r="K91" i="15"/>
  <c r="J91" i="15"/>
  <c r="I91" i="15"/>
  <c r="H91" i="15"/>
  <c r="G91" i="15"/>
  <c r="F91" i="15"/>
  <c r="E91" i="15"/>
  <c r="D91" i="15"/>
  <c r="C91" i="15"/>
  <c r="L90" i="15"/>
  <c r="K90" i="15"/>
  <c r="J90" i="15"/>
  <c r="I90" i="15"/>
  <c r="H90" i="15"/>
  <c r="G90" i="15"/>
  <c r="F90" i="15"/>
  <c r="E90" i="15"/>
  <c r="D90" i="15"/>
  <c r="C90" i="15"/>
  <c r="H70" i="15"/>
  <c r="F70" i="15"/>
  <c r="D70" i="15"/>
  <c r="L69" i="15"/>
  <c r="J69" i="15"/>
  <c r="H69" i="15"/>
  <c r="F69" i="15"/>
  <c r="D69" i="15"/>
  <c r="L68" i="15"/>
  <c r="J68" i="15"/>
  <c r="H68" i="15"/>
  <c r="F68" i="15"/>
  <c r="D68" i="15"/>
  <c r="L67" i="15"/>
  <c r="J67" i="15"/>
  <c r="H67" i="15"/>
  <c r="F67" i="15"/>
  <c r="D67" i="15"/>
  <c r="L65" i="15"/>
  <c r="J65" i="15"/>
  <c r="H65" i="15"/>
  <c r="F65" i="15"/>
  <c r="D65" i="15"/>
  <c r="C65" i="15"/>
  <c r="L64" i="15"/>
  <c r="K64" i="15"/>
  <c r="J64" i="15"/>
  <c r="I64" i="15"/>
  <c r="H64" i="15"/>
  <c r="G64" i="15"/>
  <c r="F64" i="15"/>
  <c r="E64" i="15"/>
  <c r="D64" i="15"/>
  <c r="C64" i="15"/>
  <c r="L62" i="15"/>
  <c r="K62" i="15"/>
  <c r="J62" i="15"/>
  <c r="I62" i="15"/>
  <c r="H62" i="15"/>
  <c r="G62" i="15"/>
  <c r="F62" i="15"/>
  <c r="E62" i="15"/>
  <c r="D62" i="15"/>
  <c r="C62" i="15"/>
  <c r="L60" i="15"/>
  <c r="K60" i="15"/>
  <c r="J60" i="15"/>
  <c r="I60" i="15"/>
  <c r="H60" i="15"/>
  <c r="G60" i="15"/>
  <c r="F60" i="15"/>
  <c r="E60" i="15"/>
  <c r="D60" i="15"/>
  <c r="C60" i="15"/>
  <c r="L58" i="15"/>
  <c r="K58" i="15"/>
  <c r="J58" i="15"/>
  <c r="I58" i="15"/>
  <c r="H58" i="15"/>
  <c r="G58" i="15"/>
  <c r="F58" i="15"/>
  <c r="E58" i="15"/>
  <c r="D58" i="15"/>
  <c r="C58" i="15"/>
  <c r="L56" i="15"/>
  <c r="K56" i="15"/>
  <c r="J56" i="15"/>
  <c r="I56" i="15"/>
  <c r="H56" i="15"/>
  <c r="G56" i="15"/>
  <c r="F56" i="15"/>
  <c r="E56" i="15"/>
  <c r="D56" i="15"/>
  <c r="C56" i="15"/>
  <c r="L54" i="15"/>
  <c r="K54" i="15"/>
  <c r="J54" i="15"/>
  <c r="I54" i="15"/>
  <c r="H54" i="15"/>
  <c r="G54" i="15"/>
  <c r="F54" i="15"/>
  <c r="E54" i="15"/>
  <c r="D54" i="15"/>
  <c r="C54" i="15"/>
  <c r="L53" i="15"/>
  <c r="K53" i="15"/>
  <c r="J53" i="15"/>
  <c r="I53" i="15"/>
  <c r="H53" i="15"/>
  <c r="G53" i="15"/>
  <c r="F53" i="15"/>
  <c r="E53" i="15"/>
  <c r="D53" i="15"/>
  <c r="C53" i="15"/>
  <c r="L52" i="15"/>
  <c r="K52" i="15"/>
  <c r="J52" i="15"/>
  <c r="I52" i="15"/>
  <c r="H52" i="15"/>
  <c r="G52" i="15"/>
  <c r="F52" i="15"/>
  <c r="E52" i="15"/>
  <c r="D52" i="15"/>
  <c r="C52" i="15"/>
  <c r="L50" i="15"/>
  <c r="K50" i="15"/>
  <c r="J50" i="15"/>
  <c r="I50" i="15"/>
  <c r="H50" i="15"/>
  <c r="G50" i="15"/>
  <c r="F50" i="15"/>
  <c r="E50" i="15"/>
  <c r="D50" i="15"/>
  <c r="C50" i="15"/>
  <c r="L48" i="15"/>
  <c r="K48" i="15"/>
  <c r="J48" i="15"/>
  <c r="I48" i="15"/>
  <c r="H48" i="15"/>
  <c r="G48" i="15"/>
  <c r="E48" i="15"/>
  <c r="C48" i="15"/>
  <c r="K47" i="15"/>
  <c r="I47" i="15"/>
  <c r="G47" i="15"/>
  <c r="E47" i="15"/>
  <c r="C47" i="15"/>
  <c r="L45" i="15"/>
  <c r="J45" i="15"/>
  <c r="H45" i="15"/>
  <c r="F45" i="15"/>
  <c r="D45" i="15"/>
  <c r="L44" i="15"/>
  <c r="J44" i="15"/>
  <c r="H44" i="15"/>
  <c r="F44" i="15"/>
  <c r="D44" i="15"/>
  <c r="L42" i="15"/>
  <c r="J42" i="15"/>
  <c r="H42" i="15"/>
  <c r="F42" i="15"/>
  <c r="D42" i="15"/>
  <c r="L41" i="15"/>
  <c r="J41" i="15"/>
  <c r="H41" i="15"/>
  <c r="F41" i="15"/>
  <c r="D41" i="15"/>
  <c r="L40" i="15"/>
  <c r="J40" i="15"/>
  <c r="H40" i="15"/>
  <c r="F40" i="15"/>
  <c r="F48" i="15"/>
  <c r="D48" i="15"/>
  <c r="L47" i="15"/>
  <c r="J47" i="15"/>
  <c r="H47" i="15"/>
  <c r="F47" i="15"/>
  <c r="D47" i="15"/>
  <c r="K45" i="15"/>
  <c r="I45" i="15"/>
  <c r="G45" i="15"/>
  <c r="E45" i="15"/>
  <c r="C45" i="15"/>
  <c r="K44" i="15"/>
  <c r="I44" i="15"/>
  <c r="G44" i="15"/>
  <c r="E44" i="15"/>
  <c r="C44" i="15"/>
  <c r="K42" i="15"/>
  <c r="I42" i="15"/>
  <c r="G42" i="15"/>
  <c r="E42" i="15"/>
  <c r="C42" i="15"/>
  <c r="K41" i="15"/>
  <c r="I41" i="15"/>
  <c r="G41" i="15"/>
  <c r="E41" i="15"/>
  <c r="C41" i="15"/>
  <c r="K40" i="15"/>
  <c r="I40" i="15"/>
  <c r="G40" i="15"/>
  <c r="E40" i="15"/>
  <c r="G29" i="15"/>
  <c r="E29" i="15"/>
  <c r="C29" i="15"/>
  <c r="K27" i="15"/>
  <c r="I27" i="15"/>
  <c r="G27" i="15"/>
  <c r="E27" i="15"/>
  <c r="C27" i="15"/>
  <c r="K24" i="15"/>
  <c r="I24" i="15"/>
  <c r="G24" i="15"/>
  <c r="E24" i="15"/>
  <c r="C24" i="15"/>
  <c r="L22" i="15"/>
  <c r="J22" i="15"/>
  <c r="H22" i="15"/>
  <c r="F22" i="15"/>
  <c r="D22" i="15"/>
  <c r="L21" i="15"/>
  <c r="J21" i="15"/>
  <c r="H21" i="15"/>
  <c r="F21" i="15"/>
  <c r="D21" i="15"/>
  <c r="D40" i="15"/>
  <c r="C40" i="15"/>
  <c r="L39" i="15"/>
  <c r="K39" i="15"/>
  <c r="J39" i="15"/>
  <c r="I39" i="15"/>
  <c r="H39" i="15"/>
  <c r="G39" i="15"/>
  <c r="F39" i="15"/>
  <c r="E39" i="15"/>
  <c r="D39" i="15"/>
  <c r="C39" i="15"/>
  <c r="L38" i="15"/>
  <c r="K38" i="15"/>
  <c r="J38" i="15"/>
  <c r="I38" i="15"/>
  <c r="H38" i="15"/>
  <c r="G38" i="15"/>
  <c r="F38" i="15"/>
  <c r="E38" i="15"/>
  <c r="D38" i="15"/>
  <c r="C38" i="15"/>
  <c r="L37" i="15"/>
  <c r="K37" i="15"/>
  <c r="J37" i="15"/>
  <c r="I37" i="15"/>
  <c r="H37" i="15"/>
  <c r="G37" i="15"/>
  <c r="F37" i="15"/>
  <c r="E37" i="15"/>
  <c r="D37" i="15"/>
  <c r="C37" i="15"/>
  <c r="L36" i="15"/>
  <c r="K36" i="15"/>
  <c r="J36" i="15"/>
  <c r="I36" i="15"/>
  <c r="H36" i="15"/>
  <c r="G36" i="15"/>
  <c r="F36" i="15"/>
  <c r="E36" i="15"/>
  <c r="D36" i="15"/>
  <c r="C36" i="15"/>
  <c r="L34" i="15"/>
  <c r="K34" i="15"/>
  <c r="J34" i="15"/>
  <c r="I34" i="15"/>
  <c r="H34" i="15"/>
  <c r="G34" i="15"/>
  <c r="F34" i="15"/>
  <c r="E34" i="15"/>
  <c r="D34" i="15"/>
  <c r="C34" i="15"/>
  <c r="L32" i="15"/>
  <c r="K32" i="15"/>
  <c r="J32" i="15"/>
  <c r="I32" i="15"/>
  <c r="H32" i="15"/>
  <c r="G32" i="15"/>
  <c r="F32" i="15"/>
  <c r="E32" i="15"/>
  <c r="D32" i="15"/>
  <c r="C32" i="15"/>
  <c r="L31" i="15"/>
  <c r="K31" i="15"/>
  <c r="J31" i="15"/>
  <c r="I31" i="15"/>
  <c r="H31" i="15"/>
  <c r="G31" i="15"/>
  <c r="F31" i="15"/>
  <c r="E31" i="15"/>
  <c r="D31" i="15"/>
  <c r="C31" i="15"/>
  <c r="L30" i="15"/>
  <c r="K30" i="15"/>
  <c r="J30" i="15"/>
  <c r="I30" i="15"/>
  <c r="H30" i="15"/>
  <c r="G30" i="15"/>
  <c r="F30" i="15"/>
  <c r="E30" i="15"/>
  <c r="D30" i="15"/>
  <c r="C30" i="15"/>
  <c r="L29" i="15"/>
  <c r="K29" i="15"/>
  <c r="J29" i="15"/>
  <c r="I29" i="15"/>
  <c r="H29" i="15"/>
  <c r="F29" i="15"/>
  <c r="D29" i="15"/>
  <c r="L27" i="15"/>
  <c r="J27" i="15"/>
  <c r="H27" i="15"/>
  <c r="F27" i="15"/>
  <c r="D27" i="15"/>
  <c r="L24" i="15"/>
  <c r="J24" i="15"/>
  <c r="H24" i="15"/>
  <c r="F24" i="15"/>
  <c r="D24" i="15"/>
  <c r="K22" i="15"/>
  <c r="I22" i="15"/>
  <c r="G22" i="15"/>
  <c r="E22" i="15"/>
  <c r="C22" i="15"/>
  <c r="K21" i="15"/>
  <c r="I21" i="15"/>
  <c r="G21" i="15"/>
  <c r="E21" i="15"/>
  <c r="C21" i="15"/>
  <c r="L20" i="15"/>
  <c r="K20" i="15"/>
  <c r="J20" i="15"/>
  <c r="I20" i="15"/>
  <c r="H20" i="15"/>
  <c r="G20" i="15"/>
  <c r="F20" i="15"/>
  <c r="E20" i="15"/>
  <c r="D20" i="15"/>
  <c r="C20" i="15"/>
  <c r="L19" i="15"/>
  <c r="K19" i="15"/>
  <c r="J19" i="15"/>
  <c r="I19" i="15"/>
  <c r="H19" i="15"/>
  <c r="G19" i="15"/>
  <c r="F19" i="15"/>
  <c r="E19" i="15"/>
  <c r="D19" i="15"/>
  <c r="C19" i="15"/>
  <c r="L18" i="15"/>
  <c r="K18" i="15"/>
  <c r="J18" i="15"/>
  <c r="I18" i="15"/>
  <c r="H18" i="15"/>
  <c r="G18" i="15"/>
  <c r="F18" i="15"/>
  <c r="E18" i="15"/>
  <c r="D18" i="15"/>
  <c r="C18" i="15"/>
  <c r="L17" i="15"/>
  <c r="K17" i="15"/>
  <c r="J17" i="15"/>
  <c r="I17" i="15"/>
  <c r="H17" i="15"/>
  <c r="G17" i="15"/>
  <c r="F17" i="15"/>
  <c r="E17" i="15"/>
  <c r="D17" i="15"/>
  <c r="C17" i="15"/>
  <c r="L16" i="15"/>
  <c r="K16" i="15"/>
  <c r="J16" i="15"/>
  <c r="I16" i="15"/>
  <c r="H16" i="15"/>
  <c r="G16" i="15"/>
  <c r="F16" i="15"/>
  <c r="E16" i="15"/>
  <c r="D16" i="15"/>
  <c r="C16" i="15"/>
  <c r="L15" i="15"/>
  <c r="K15" i="15"/>
  <c r="J15" i="15"/>
  <c r="I15" i="15"/>
  <c r="H15" i="15"/>
  <c r="G15" i="15"/>
  <c r="F15" i="15"/>
  <c r="E15" i="15"/>
  <c r="D15" i="15"/>
  <c r="C15" i="15"/>
  <c r="L14" i="15"/>
  <c r="K14" i="15"/>
  <c r="J14" i="15"/>
  <c r="I14" i="15"/>
  <c r="H14" i="15"/>
  <c r="G14" i="15"/>
  <c r="F14" i="15"/>
  <c r="E14" i="15"/>
  <c r="D14" i="15"/>
  <c r="C14" i="15"/>
  <c r="L13" i="15"/>
  <c r="K13" i="15"/>
  <c r="J13" i="15"/>
  <c r="I13" i="15"/>
  <c r="H13" i="15"/>
  <c r="G13" i="15"/>
  <c r="F13" i="15"/>
  <c r="E13" i="15"/>
  <c r="D13" i="15"/>
  <c r="C13" i="15"/>
  <c r="L12" i="15"/>
  <c r="K12" i="15"/>
  <c r="J12" i="15"/>
  <c r="I12" i="15"/>
  <c r="H12" i="15"/>
  <c r="G12" i="15"/>
  <c r="F12" i="15"/>
  <c r="E12" i="15"/>
  <c r="D12" i="15"/>
  <c r="C12" i="15"/>
  <c r="L11" i="15"/>
  <c r="K11" i="15"/>
  <c r="J11" i="15"/>
  <c r="I11" i="15"/>
  <c r="H11" i="15"/>
  <c r="G11" i="15"/>
  <c r="F11" i="15"/>
  <c r="E11" i="15"/>
  <c r="D11" i="15"/>
  <c r="C11" i="15"/>
  <c r="C46" i="15"/>
  <c r="D46" i="15"/>
  <c r="E46" i="15"/>
  <c r="F46" i="15"/>
  <c r="G46" i="15"/>
  <c r="H46" i="15"/>
  <c r="I46" i="15"/>
  <c r="J46" i="15"/>
  <c r="K46" i="15"/>
  <c r="L46" i="15"/>
  <c r="C49" i="15"/>
  <c r="D49" i="15"/>
  <c r="E49" i="15"/>
  <c r="F49" i="15"/>
  <c r="G49" i="15"/>
  <c r="H49" i="15"/>
  <c r="I49" i="15"/>
  <c r="J49" i="15"/>
  <c r="K49" i="15"/>
  <c r="L49" i="15"/>
  <c r="F114" i="15"/>
  <c r="D89" i="15"/>
  <c r="F89" i="15"/>
  <c r="H89" i="15"/>
  <c r="J89" i="15"/>
  <c r="L89" i="15"/>
  <c r="B909" i="7"/>
  <c r="B770" i="7"/>
  <c r="B811" i="7"/>
  <c r="B880" i="7"/>
  <c r="B751" i="7"/>
  <c r="B902" i="7"/>
  <c r="B810" i="7"/>
  <c r="B750" i="7"/>
  <c r="B813" i="7"/>
  <c r="B767" i="7"/>
  <c r="B874" i="7"/>
  <c r="B894" i="7"/>
  <c r="B765" i="7"/>
  <c r="B756" i="7"/>
  <c r="B890" i="7"/>
  <c r="B889" i="7"/>
  <c r="B904" i="7"/>
  <c r="B785" i="7"/>
  <c r="B896" i="7"/>
  <c r="B755" i="7"/>
  <c r="B761" i="7"/>
  <c r="B908" i="7"/>
  <c r="B899" i="7"/>
  <c r="B808" i="7"/>
  <c r="B764" i="7"/>
  <c r="B903" i="7"/>
  <c r="B905" i="7"/>
  <c r="B758" i="7"/>
  <c r="B749" i="7"/>
  <c r="B818" i="7"/>
  <c r="B872" i="7"/>
  <c r="B747" i="7"/>
  <c r="B900" i="7"/>
  <c r="B782" i="7"/>
  <c r="B780" i="7"/>
  <c r="B901" i="7"/>
  <c r="B752" i="7"/>
  <c r="B910" i="7"/>
  <c r="B893" i="7"/>
  <c r="B746" i="7"/>
  <c r="B775" i="7"/>
  <c r="B907" i="7"/>
  <c r="B883" i="7"/>
  <c r="B772" i="7"/>
  <c r="B876" i="7"/>
  <c r="B887" i="7"/>
  <c r="B873" i="7"/>
  <c r="B875" i="7"/>
  <c r="B783" i="7"/>
  <c r="B809" i="7"/>
  <c r="B819" i="7"/>
  <c r="B776" i="7"/>
  <c r="B884" i="7"/>
  <c r="B820" i="7"/>
  <c r="B745" i="7"/>
  <c r="B885" i="7"/>
  <c r="B784" i="7"/>
  <c r="B771" i="7"/>
  <c r="B781" i="7"/>
  <c r="B759" i="7"/>
  <c r="B786" i="7"/>
  <c r="B906" i="7"/>
  <c r="B821" i="7"/>
  <c r="B892" i="7"/>
  <c r="B812" i="7"/>
  <c r="B898" i="7"/>
  <c r="B886" i="7"/>
  <c r="B760" i="7"/>
  <c r="B777" i="7"/>
  <c r="B778" i="7"/>
  <c r="B754" i="7"/>
  <c r="B878" i="7"/>
  <c r="B814" i="7"/>
  <c r="B753" i="7"/>
  <c r="B815" i="7"/>
  <c r="B869" i="7"/>
  <c r="B766" i="7"/>
  <c r="B774" i="7"/>
  <c r="B787" i="7"/>
  <c r="B871" i="7"/>
  <c r="B773" i="7"/>
  <c r="B816" i="7"/>
  <c r="B757" i="7"/>
  <c r="B870" i="7"/>
  <c r="B881" i="7"/>
  <c r="B882" i="7"/>
  <c r="B779" i="7"/>
  <c r="B891" i="7"/>
  <c r="B769" i="7"/>
  <c r="B762" i="7"/>
  <c r="B763" i="7"/>
  <c r="B768" i="7"/>
  <c r="B28" i="7"/>
  <c r="B897" i="7"/>
  <c r="B895" i="7"/>
  <c r="B877" i="7"/>
  <c r="B817" i="7"/>
  <c r="B748" i="7"/>
  <c r="B888" i="7"/>
  <c r="B879" i="7"/>
  <c r="B661" i="7" l="1"/>
  <c r="B65" i="7"/>
  <c r="B386" i="7"/>
  <c r="B316" i="7"/>
  <c r="B465" i="7"/>
  <c r="B308" i="7"/>
  <c r="B184" i="7"/>
  <c r="B248" i="7"/>
  <c r="B664" i="7"/>
  <c r="B501" i="7"/>
  <c r="B116" i="7"/>
  <c r="B823" i="7"/>
  <c r="B856" i="7"/>
  <c r="B602" i="7"/>
  <c r="B437" i="7"/>
  <c r="B53" i="7"/>
  <c r="B341" i="7"/>
  <c r="B443" i="7"/>
  <c r="B629" i="7"/>
  <c r="B444" i="7"/>
  <c r="B115" i="7"/>
  <c r="B226" i="7"/>
  <c r="B31" i="7"/>
  <c r="B549" i="7"/>
  <c r="B635" i="7"/>
  <c r="B360" i="7"/>
  <c r="B91" i="7"/>
  <c r="B522" i="7"/>
  <c r="B266" i="7"/>
  <c r="B284" i="7"/>
  <c r="B281" i="7"/>
  <c r="B113" i="7"/>
  <c r="B639" i="7"/>
  <c r="B454" i="7"/>
  <c r="B361" i="7"/>
  <c r="B611" i="7"/>
  <c r="B244" i="7"/>
  <c r="B807" i="7"/>
  <c r="B264" i="7"/>
  <c r="B270" i="7"/>
  <c r="B445" i="7"/>
  <c r="B20" i="7"/>
  <c r="B263" i="7"/>
  <c r="B151" i="7"/>
  <c r="B540" i="7"/>
  <c r="B546" i="7"/>
  <c r="B302" i="7"/>
  <c r="B832" i="7"/>
  <c r="B644" i="7"/>
  <c r="B219" i="7"/>
  <c r="B259" i="7"/>
  <c r="B468" i="7"/>
  <c r="B837" i="7"/>
  <c r="B110" i="7"/>
  <c r="B216" i="7"/>
  <c r="B364" i="7"/>
  <c r="B222" i="7"/>
  <c r="B147" i="7"/>
  <c r="B301" i="7"/>
  <c r="B649" i="7"/>
  <c r="B850" i="7"/>
  <c r="B694" i="7"/>
  <c r="B209" i="7"/>
  <c r="B397" i="7"/>
  <c r="B495" i="7"/>
  <c r="B345" i="7"/>
  <c r="B15" i="7"/>
  <c r="B486" i="7"/>
  <c r="B107" i="7"/>
  <c r="B377" i="7"/>
  <c r="B296" i="7"/>
  <c r="B847" i="7"/>
  <c r="B726" i="7"/>
  <c r="B702" i="7"/>
  <c r="B262" i="7"/>
  <c r="B395" i="7"/>
  <c r="B672" i="7"/>
  <c r="B568" i="7"/>
  <c r="B114" i="7"/>
  <c r="B704" i="7"/>
  <c r="B618" i="7"/>
  <c r="B402" i="7"/>
  <c r="B420" i="7"/>
  <c r="B166" i="7"/>
  <c r="B355" i="7"/>
  <c r="B864" i="7"/>
  <c r="B508" i="7"/>
  <c r="B793" i="7"/>
  <c r="B596" i="7"/>
  <c r="B80" i="7"/>
  <c r="B165" i="7"/>
  <c r="B328" i="7"/>
  <c r="B41" i="7"/>
  <c r="B439" i="7"/>
  <c r="B104" i="7"/>
  <c r="B347" i="7"/>
  <c r="B803" i="7"/>
  <c r="B789" i="7"/>
  <c r="B743" i="7"/>
  <c r="B790" i="7"/>
  <c r="B578" i="7"/>
  <c r="B829" i="7"/>
  <c r="B193" i="7"/>
  <c r="B179" i="7"/>
  <c r="B840" i="7"/>
  <c r="B533" i="7"/>
  <c r="B788" i="7"/>
  <c r="B502" i="7"/>
  <c r="B97" i="7"/>
  <c r="B792" i="7"/>
  <c r="B149" i="7"/>
  <c r="B293" i="7"/>
  <c r="B45" i="7"/>
  <c r="B218" i="7"/>
  <c r="B383" i="7"/>
  <c r="B679" i="7"/>
  <c r="B260" i="7"/>
  <c r="B589" i="7"/>
  <c r="B314" i="7"/>
  <c r="B452" i="7"/>
  <c r="B627" i="7"/>
  <c r="B54" i="7"/>
  <c r="B122" i="7"/>
  <c r="B698" i="7"/>
  <c r="B432" i="7"/>
  <c r="B271" i="7"/>
  <c r="B634" i="7"/>
  <c r="B342" i="7"/>
  <c r="B335" i="7"/>
  <c r="B199" i="7"/>
  <c r="B592" i="7"/>
  <c r="B154" i="7"/>
  <c r="B423" i="7"/>
  <c r="B825" i="7"/>
  <c r="B861" i="7"/>
  <c r="B71" i="7"/>
  <c r="B276" i="7"/>
  <c r="B603" i="7"/>
  <c r="B632" i="7"/>
  <c r="B724" i="7"/>
  <c r="B297" i="7"/>
  <c r="B86" i="7"/>
  <c r="B622" i="7"/>
  <c r="B415" i="7"/>
  <c r="B126" i="7"/>
  <c r="B123" i="7"/>
  <c r="B569" i="7"/>
  <c r="B163" i="7"/>
  <c r="B637" i="7"/>
  <c r="B716" i="7"/>
  <c r="B620" i="7"/>
  <c r="B708" i="7"/>
  <c r="B329" i="7"/>
  <c r="B256" i="7"/>
  <c r="B155" i="7"/>
  <c r="B211" i="7"/>
  <c r="B419" i="7"/>
  <c r="B648" i="7"/>
  <c r="B318" i="7"/>
  <c r="B294" i="7"/>
  <c r="B617" i="7"/>
  <c r="B159" i="7"/>
  <c r="B485" i="7"/>
  <c r="B392" i="7"/>
  <c r="B177" i="7"/>
  <c r="B597" i="7"/>
  <c r="B407" i="7"/>
  <c r="B139" i="7"/>
  <c r="B305" i="7"/>
  <c r="B359" i="7"/>
  <c r="B363" i="7"/>
  <c r="B866" i="7"/>
  <c r="B598" i="7"/>
  <c r="B731" i="7"/>
  <c r="B656" i="7"/>
  <c r="B373" i="7"/>
  <c r="B275" i="7"/>
  <c r="B640" i="7"/>
  <c r="B409" i="7"/>
  <c r="B625" i="7"/>
  <c r="B691" i="7"/>
  <c r="B351" i="7"/>
  <c r="B654" i="7"/>
  <c r="B621" i="7"/>
  <c r="B594" i="7"/>
  <c r="B559" i="7"/>
  <c r="B491" i="7"/>
  <c r="B687" i="7"/>
  <c r="B833" i="7"/>
  <c r="B605" i="7"/>
  <c r="B479" i="7"/>
  <c r="B12" i="7"/>
  <c r="B234" i="7"/>
  <c r="B108" i="7"/>
  <c r="B695" i="7"/>
  <c r="B396" i="7"/>
  <c r="B273" i="7"/>
  <c r="B298" i="7"/>
  <c r="B709" i="7"/>
  <c r="B27" i="7"/>
  <c r="B343" i="7"/>
  <c r="B77" i="7"/>
  <c r="B354" i="7"/>
  <c r="B289" i="7"/>
  <c r="B684" i="7"/>
  <c r="B531" i="7"/>
  <c r="B146" i="7"/>
  <c r="B427" i="7"/>
  <c r="B507" i="7"/>
  <c r="B182" i="7"/>
  <c r="B170" i="7"/>
  <c r="B42" i="7"/>
  <c r="B607" i="7"/>
  <c r="B49" i="7"/>
  <c r="B70" i="7"/>
  <c r="B562" i="7"/>
  <c r="B389" i="7"/>
  <c r="B19" i="7"/>
  <c r="B553" i="7"/>
  <c r="B801" i="7"/>
  <c r="B365" i="7"/>
  <c r="B680" i="7"/>
  <c r="B220" i="7"/>
  <c r="B274" i="7"/>
  <c r="B78" i="7"/>
  <c r="B626" i="7"/>
  <c r="B304" i="7"/>
  <c r="B650" i="7"/>
  <c r="B412" i="7"/>
  <c r="B10" i="7"/>
  <c r="B43" i="7"/>
  <c r="B824" i="7"/>
  <c r="B279" i="7"/>
  <c r="B173" i="7"/>
  <c r="B322" i="7"/>
  <c r="B172" i="7"/>
  <c r="B48" i="7"/>
  <c r="B133" i="7"/>
  <c r="B459" i="7"/>
  <c r="B210" i="7"/>
  <c r="B717" i="7"/>
  <c r="B682" i="7"/>
  <c r="B567" i="7"/>
  <c r="B255" i="7"/>
  <c r="B539" i="7"/>
  <c r="B404" i="7"/>
  <c r="B827" i="7"/>
  <c r="B79" i="7"/>
  <c r="B349" i="7"/>
  <c r="B713" i="7"/>
  <c r="B321" i="7"/>
  <c r="B560" i="7"/>
  <c r="B422" i="7"/>
  <c r="B215" i="7"/>
  <c r="B81" i="7"/>
  <c r="B152" i="7"/>
  <c r="B254" i="7"/>
  <c r="B261" i="7"/>
  <c r="B585" i="7"/>
  <c r="B865" i="7"/>
  <c r="B852" i="7"/>
  <c r="B524" i="7"/>
  <c r="B384" i="7"/>
  <c r="B434" i="7"/>
  <c r="B857" i="7"/>
  <c r="B652" i="7"/>
  <c r="B252" i="7"/>
  <c r="B141" i="7"/>
  <c r="B835" i="7"/>
  <c r="B666" i="7"/>
  <c r="B543" i="7"/>
  <c r="B11" i="7"/>
  <c r="B75" i="7"/>
  <c r="B545" i="7"/>
  <c r="B332" i="7"/>
  <c r="B734" i="7"/>
  <c r="B723" i="7"/>
  <c r="B148" i="7"/>
  <c r="B564" i="7"/>
  <c r="B565" i="7"/>
  <c r="B854" i="7"/>
  <c r="B410" i="7"/>
  <c r="B551" i="7"/>
  <c r="B99" i="7"/>
  <c r="B541" i="7"/>
  <c r="B624" i="7"/>
  <c r="B506" i="7"/>
  <c r="B566" i="7"/>
  <c r="B162" i="7"/>
  <c r="B326" i="7"/>
  <c r="B535" i="7"/>
  <c r="B125" i="7"/>
  <c r="B206" i="7"/>
  <c r="B350" i="7"/>
  <c r="B579" i="7"/>
  <c r="B17" i="7"/>
  <c r="B379" i="7"/>
  <c r="B714" i="7"/>
  <c r="B826" i="7"/>
  <c r="B140" i="7"/>
  <c r="B571" i="7"/>
  <c r="B428" i="7"/>
  <c r="B161" i="7"/>
  <c r="B516" i="7"/>
  <c r="B290" i="7"/>
  <c r="B554" i="7"/>
  <c r="B411" i="7"/>
  <c r="B346" i="7"/>
  <c r="B240" i="7"/>
  <c r="B534" i="7"/>
  <c r="B171" i="7"/>
  <c r="B372" i="7"/>
  <c r="B337" i="7"/>
  <c r="B583" i="7"/>
  <c r="B575" i="7"/>
  <c r="B705" i="7"/>
  <c r="B842" i="7"/>
  <c r="B668" i="7"/>
  <c r="B697" i="7"/>
  <c r="B235" i="7"/>
  <c r="B109" i="7"/>
  <c r="B24" i="7"/>
  <c r="B636" i="7"/>
  <c r="B836" i="7"/>
  <c r="B76" i="7"/>
  <c r="B50" i="7"/>
  <c r="B231" i="7"/>
  <c r="B194" i="7"/>
  <c r="B238" i="7"/>
  <c r="B22" i="7"/>
  <c r="B557" i="7"/>
  <c r="B323" i="7"/>
  <c r="B482" i="7"/>
  <c r="B601" i="7"/>
  <c r="B689" i="7"/>
  <c r="B303" i="7"/>
  <c r="B380" i="7"/>
  <c r="B526" i="7"/>
  <c r="B390" i="7"/>
  <c r="B40" i="7"/>
  <c r="B130" i="7"/>
  <c r="B58" i="7"/>
  <c r="B174" i="7"/>
  <c r="B548" i="7"/>
  <c r="B320" i="7"/>
  <c r="B424" i="7"/>
  <c r="B527" i="7"/>
  <c r="B471" i="7"/>
  <c r="B675" i="7"/>
  <c r="B35" i="7"/>
  <c r="B500" i="7"/>
  <c r="B591" i="7"/>
  <c r="B90" i="7"/>
  <c r="B510" i="7"/>
  <c r="B494" i="7"/>
  <c r="B325" i="7"/>
  <c r="B530" i="7"/>
  <c r="B570" i="7"/>
  <c r="B797" i="7"/>
  <c r="B582" i="7"/>
  <c r="B63" i="7"/>
  <c r="B542" i="7"/>
  <c r="B715" i="7"/>
  <c r="B247" i="7"/>
  <c r="B106" i="7"/>
  <c r="B387" i="7"/>
  <c r="B846" i="7"/>
  <c r="B521" i="7"/>
  <c r="B802" i="7"/>
  <c r="B669" i="7"/>
  <c r="B676" i="7"/>
  <c r="B62" i="7"/>
  <c r="B481" i="7"/>
  <c r="B528" i="7"/>
  <c r="B201" i="7"/>
  <c r="B418" i="7"/>
  <c r="B744" i="7"/>
  <c r="B366" i="7"/>
  <c r="B85" i="7"/>
  <c r="B25" i="7"/>
  <c r="B224" i="7"/>
  <c r="B101" i="7"/>
  <c r="B711" i="7"/>
  <c r="B253" i="7"/>
  <c r="B127" i="7"/>
  <c r="B37" i="7"/>
  <c r="B447" i="7"/>
  <c r="B505" i="7"/>
  <c r="B643" i="7"/>
  <c r="B143" i="7"/>
  <c r="B368" i="7"/>
  <c r="B138" i="7"/>
  <c r="B514" i="7"/>
  <c r="B228" i="7"/>
  <c r="B277" i="7"/>
  <c r="B203" i="7"/>
  <c r="B733" i="7"/>
  <c r="B858" i="7"/>
  <c r="B153" i="7"/>
  <c r="B136" i="7"/>
  <c r="B699" i="7"/>
  <c r="B357" i="7"/>
  <c r="B558" i="7"/>
  <c r="B237" i="7"/>
  <c r="B105" i="7"/>
  <c r="B462" i="7"/>
  <c r="B499" i="7"/>
  <c r="B190" i="7"/>
  <c r="B498" i="7"/>
  <c r="B66" i="7"/>
  <c r="B449" i="7"/>
  <c r="B205" i="7"/>
  <c r="B83" i="7"/>
  <c r="B356" i="7"/>
  <c r="B340" i="7"/>
  <c r="B334" i="7"/>
  <c r="B843" i="7"/>
  <c r="B61" i="7"/>
  <c r="B257" i="7"/>
  <c r="B283" i="7"/>
  <c r="B187" i="7"/>
  <c r="B581" i="7"/>
  <c r="B433" i="7"/>
  <c r="B732" i="7"/>
  <c r="B475" i="7"/>
  <c r="B135" i="7"/>
  <c r="B712" i="7"/>
  <c r="B839" i="7"/>
  <c r="B69" i="7"/>
  <c r="B737" i="7"/>
  <c r="B796" i="7"/>
  <c r="B111" i="7"/>
  <c r="B574" i="7"/>
  <c r="B103" i="7"/>
  <c r="B609" i="7"/>
  <c r="B718" i="7"/>
  <c r="B167" i="7"/>
  <c r="B662" i="7"/>
  <c r="B416" i="7"/>
  <c r="B645" i="7"/>
  <c r="B692" i="7"/>
  <c r="B806" i="7"/>
  <c r="B630" i="7"/>
  <c r="B401" i="7"/>
  <c r="B128" i="7"/>
  <c r="B556" i="7"/>
  <c r="B352" i="7"/>
  <c r="B181" i="7"/>
  <c r="B828" i="7"/>
  <c r="B642" i="7"/>
  <c r="B21" i="7"/>
  <c r="B313" i="7"/>
  <c r="B306" i="7"/>
  <c r="B324" i="7"/>
  <c r="B573" i="7"/>
  <c r="B480" i="7"/>
  <c r="B370" i="7"/>
  <c r="B667" i="7"/>
  <c r="B178" i="7"/>
  <c r="B586" i="7"/>
  <c r="B518" i="7"/>
  <c r="B191" i="7"/>
  <c r="B176" i="7"/>
  <c r="B217" i="7"/>
  <c r="B678" i="7"/>
  <c r="B134" i="7"/>
  <c r="B26" i="7"/>
  <c r="B647" i="7"/>
  <c r="B681" i="7"/>
  <c r="B868" i="7"/>
  <c r="B674" i="7"/>
  <c r="B478" i="7"/>
  <c r="B436" i="7"/>
  <c r="B348" i="7"/>
  <c r="B658" i="7"/>
  <c r="B175" i="7"/>
  <c r="B23" i="7"/>
  <c r="B580" i="7"/>
  <c r="B509" i="7"/>
  <c r="B831" i="7"/>
  <c r="B655" i="7"/>
  <c r="B121" i="7"/>
  <c r="B855" i="7"/>
  <c r="B93" i="7"/>
  <c r="B487" i="7"/>
  <c r="B333" i="7"/>
  <c r="B719" i="7"/>
  <c r="B358" i="7"/>
  <c r="B239" i="7"/>
  <c r="B706" i="7"/>
  <c r="B59" i="7"/>
  <c r="B344" i="7"/>
  <c r="B145" i="7"/>
  <c r="B608" i="7"/>
  <c r="B186" i="7"/>
  <c r="B287" i="7"/>
  <c r="B197" i="7"/>
  <c r="B742" i="7"/>
  <c r="B300" i="7"/>
  <c r="B44" i="7"/>
  <c r="B57" i="7"/>
  <c r="B98" i="7"/>
  <c r="B267" i="7"/>
  <c r="B739" i="7"/>
  <c r="B665" i="7"/>
  <c r="B47" i="7"/>
  <c r="B628" i="7"/>
  <c r="B14" i="7"/>
  <c r="B150" i="7"/>
  <c r="B461" i="7"/>
  <c r="B686" i="7"/>
  <c r="B30" i="7"/>
  <c r="B721" i="7"/>
  <c r="B606" i="7"/>
  <c r="B246" i="7"/>
  <c r="B245" i="7"/>
  <c r="B327" i="7"/>
  <c r="B291" i="7"/>
  <c r="B388" i="7"/>
  <c r="B393" i="7"/>
  <c r="B631" i="7"/>
  <c r="B369" i="7"/>
  <c r="B663" i="7"/>
  <c r="B38" i="7"/>
  <c r="B95" i="7"/>
  <c r="B315" i="7"/>
  <c r="B492" i="7"/>
  <c r="B794" i="7"/>
  <c r="B214" i="7"/>
  <c r="B195" i="7"/>
  <c r="B223" i="7"/>
  <c r="B430" i="7"/>
  <c r="B375" i="7"/>
  <c r="B735" i="7"/>
  <c r="B442" i="7"/>
  <c r="B863" i="7"/>
  <c r="B728" i="7"/>
  <c r="B212" i="7"/>
  <c r="B722" i="7"/>
  <c r="B68" i="7"/>
  <c r="B604" i="7"/>
  <c r="B738" i="7"/>
  <c r="B703" i="7"/>
  <c r="B693" i="7"/>
  <c r="B169" i="7"/>
  <c r="B208" i="7"/>
  <c r="B595" i="7"/>
  <c r="B118" i="7"/>
  <c r="B476" i="7"/>
  <c r="B307" i="7"/>
  <c r="B512" i="7"/>
  <c r="B249" i="7"/>
  <c r="B100" i="7"/>
  <c r="B466" i="7"/>
  <c r="B112" i="7"/>
  <c r="B572" i="7"/>
  <c r="B160" i="7"/>
  <c r="B677" i="7"/>
  <c r="B429" i="7"/>
  <c r="B696" i="7"/>
  <c r="B473" i="7"/>
  <c r="B544" i="7"/>
  <c r="B142" i="7"/>
  <c r="B470" i="7"/>
  <c r="B600" i="7"/>
  <c r="B651" i="7"/>
  <c r="B657" i="7"/>
  <c r="B221" i="7"/>
  <c r="B310" i="7"/>
  <c r="B614" i="7"/>
  <c r="B417" i="7"/>
  <c r="B367" i="7"/>
  <c r="B391" i="7"/>
  <c r="B590" i="7"/>
  <c r="B725" i="7"/>
  <c r="B319" i="7"/>
  <c r="B376" i="7"/>
  <c r="B523" i="7"/>
  <c r="B400" i="7"/>
  <c r="B381" i="7"/>
  <c r="B496" i="7"/>
  <c r="B838" i="7"/>
  <c r="B309" i="7"/>
  <c r="B517" i="7"/>
  <c r="B688" i="7"/>
  <c r="B241" i="7"/>
  <c r="B13" i="7"/>
  <c r="B225" i="7"/>
  <c r="B156" i="7"/>
  <c r="B653" i="7"/>
  <c r="B394" i="7"/>
  <c r="B730" i="7"/>
  <c r="B805" i="7"/>
  <c r="B451" i="7"/>
  <c r="B552" i="7"/>
  <c r="B701" i="7"/>
  <c r="B102" i="7"/>
  <c r="B860" i="7"/>
  <c r="B633" i="7"/>
  <c r="B529" i="7"/>
  <c r="B378" i="7"/>
  <c r="B16" i="7"/>
  <c r="B185" i="7"/>
  <c r="B489" i="7"/>
  <c r="B515" i="7"/>
  <c r="B729" i="7"/>
  <c r="B538" i="7"/>
  <c r="B588" i="7"/>
  <c r="B89" i="7"/>
  <c r="B457" i="7"/>
  <c r="B425" i="7"/>
  <c r="B385" i="7"/>
  <c r="B619" i="7"/>
  <c r="B374" i="7"/>
  <c r="B504" i="7"/>
  <c r="B236" i="7"/>
  <c r="B710" i="7"/>
  <c r="B233" i="7"/>
  <c r="B32" i="7"/>
  <c r="B232" i="7"/>
  <c r="B229" i="7"/>
  <c r="B29" i="7"/>
  <c r="B88" i="7"/>
  <c r="B503" i="7"/>
  <c r="B525" i="7"/>
  <c r="B584" i="7"/>
  <c r="B243" i="7"/>
  <c r="B670" i="7"/>
  <c r="B55" i="7"/>
  <c r="B183" i="7"/>
  <c r="B576" i="7"/>
  <c r="B82" i="7"/>
  <c r="B18" i="7"/>
  <c r="B822" i="7"/>
  <c r="B547" i="7"/>
  <c r="B460" i="7"/>
  <c r="B741" i="7"/>
  <c r="B258" i="7"/>
  <c r="B791" i="7"/>
  <c r="B483" i="7"/>
  <c r="B84" i="7"/>
  <c r="B117" i="7"/>
  <c r="B168" i="7"/>
  <c r="B448" i="7"/>
  <c r="B200" i="7"/>
  <c r="B853" i="7"/>
  <c r="B338" i="7"/>
  <c r="B488" i="7"/>
  <c r="B490" i="7"/>
  <c r="B599" i="7"/>
  <c r="B497" i="7"/>
  <c r="B862" i="7"/>
  <c r="B56" i="7"/>
  <c r="B550" i="7"/>
  <c r="B265" i="7"/>
  <c r="B207" i="7"/>
  <c r="B382" i="7"/>
  <c r="B157" i="7"/>
  <c r="B87" i="7"/>
  <c r="B403" i="7"/>
  <c r="B830" i="7"/>
  <c r="B120" i="7"/>
  <c r="B685" i="7"/>
  <c r="B317" i="7"/>
  <c r="B438" i="7"/>
  <c r="B330" i="7"/>
  <c r="B421" i="7"/>
  <c r="B472" i="7"/>
  <c r="B137" i="7"/>
  <c r="B299" i="7"/>
  <c r="B312" i="7"/>
  <c r="B795" i="7"/>
  <c r="B60" i="7"/>
  <c r="B446" i="7"/>
  <c r="B36" i="7"/>
  <c r="B464" i="7"/>
  <c r="B158" i="7"/>
  <c r="B707" i="7"/>
  <c r="B469" i="7"/>
  <c r="B834" i="7"/>
  <c r="B519" i="7"/>
  <c r="B463" i="7"/>
  <c r="B408" i="7"/>
  <c r="B587" i="7"/>
  <c r="B671" i="7"/>
  <c r="B623" i="7"/>
  <c r="B484" i="7"/>
  <c r="B242" i="7"/>
  <c r="B511" i="7"/>
  <c r="B92" i="7"/>
  <c r="B474" i="7"/>
  <c r="B848" i="7"/>
  <c r="B280" i="7"/>
  <c r="B615" i="7"/>
  <c r="B94" i="7"/>
  <c r="B577" i="7"/>
  <c r="B119" i="7"/>
  <c r="B532" i="7"/>
  <c r="B798" i="7"/>
  <c r="B561" i="7"/>
  <c r="B64" i="7"/>
  <c r="B414" i="7"/>
  <c r="B311" i="7"/>
  <c r="B292" i="7"/>
  <c r="B477" i="7"/>
  <c r="B849" i="7"/>
  <c r="B441" i="7"/>
  <c r="B188" i="7"/>
  <c r="B398" i="7"/>
  <c r="B458" i="7"/>
  <c r="B285" i="7"/>
  <c r="B204" i="7"/>
  <c r="B268" i="7"/>
  <c r="B288" i="7"/>
  <c r="B39" i="7"/>
  <c r="B799" i="7"/>
  <c r="B198" i="7"/>
  <c r="B74" i="7"/>
  <c r="B536" i="7"/>
  <c r="B331" i="7"/>
  <c r="B336" i="7"/>
  <c r="B33" i="7"/>
  <c r="B413" i="7"/>
  <c r="B399" i="7"/>
  <c r="B593" i="7"/>
  <c r="B282" i="7"/>
  <c r="B227" i="7"/>
  <c r="B272" i="7"/>
  <c r="B690" i="7"/>
  <c r="B450" i="7"/>
  <c r="B295" i="7"/>
  <c r="B537" i="7"/>
  <c r="B269" i="7"/>
  <c r="B96" i="7"/>
  <c r="B278" i="7"/>
  <c r="B456" i="7"/>
  <c r="B286" i="7"/>
  <c r="B250" i="7"/>
  <c r="B164" i="7"/>
  <c r="B124" i="7"/>
  <c r="B371" i="7"/>
  <c r="B641" i="7"/>
  <c r="B213" i="7"/>
  <c r="B202" i="7"/>
  <c r="B51" i="7"/>
  <c r="B513" i="7"/>
  <c r="B129" i="7"/>
  <c r="B673" i="7"/>
  <c r="B353" i="7"/>
  <c r="B804" i="7"/>
  <c r="B740" i="7"/>
  <c r="B189" i="7"/>
  <c r="B405" i="7"/>
  <c r="B660" i="7"/>
  <c r="B616" i="7"/>
  <c r="B844" i="7"/>
  <c r="B339" i="7"/>
  <c r="B52" i="7"/>
  <c r="B720" i="7"/>
  <c r="B493" i="7"/>
  <c r="B435" i="7"/>
  <c r="B453" i="7"/>
  <c r="B638" i="7"/>
  <c r="B131" i="7"/>
  <c r="B800" i="7"/>
  <c r="B144" i="7"/>
  <c r="B67" i="7"/>
  <c r="B555" i="7"/>
  <c r="B455" i="7"/>
  <c r="B426" i="7"/>
  <c r="B845" i="7"/>
  <c r="B520" i="7"/>
  <c r="B859" i="7"/>
  <c r="B683" i="7"/>
  <c r="B612" i="7"/>
  <c r="B563" i="7"/>
  <c r="B613" i="7"/>
  <c r="B727" i="7"/>
  <c r="B841" i="7"/>
  <c r="B406" i="7"/>
  <c r="B196" i="7"/>
  <c r="B440" i="7"/>
  <c r="B867" i="7"/>
  <c r="B659" i="7"/>
  <c r="B230" i="7"/>
  <c r="B46" i="7"/>
  <c r="B251" i="7"/>
  <c r="B180" i="7"/>
  <c r="B700" i="7"/>
  <c r="B851" i="7"/>
  <c r="B73" i="7"/>
  <c r="B132" i="7"/>
  <c r="B362" i="7"/>
  <c r="B646" i="7"/>
  <c r="B192" i="7"/>
  <c r="B736" i="7"/>
  <c r="B72" i="7"/>
  <c r="B467" i="7"/>
  <c r="B431" i="7"/>
  <c r="B610" i="7"/>
  <c r="B34" i="7"/>
  <c r="F30" i="4" l="1"/>
  <c r="F39" i="4"/>
  <c r="E112" i="15"/>
  <c r="K102" i="15"/>
  <c r="L13" i="4"/>
  <c r="F59" i="4"/>
  <c r="F31" i="4"/>
  <c r="F37" i="4"/>
  <c r="F45" i="4"/>
  <c r="I107" i="15"/>
  <c r="E104" i="15"/>
  <c r="F46" i="4"/>
  <c r="F44" i="4"/>
  <c r="K94" i="15"/>
  <c r="K95" i="15"/>
  <c r="F60" i="4"/>
  <c r="K8" i="15"/>
  <c r="K76" i="15"/>
  <c r="E96" i="15"/>
  <c r="I106" i="15"/>
  <c r="C94" i="15"/>
  <c r="A4" i="15"/>
  <c r="A1" i="1"/>
  <c r="C100" i="15"/>
  <c r="I96" i="15"/>
  <c r="F75" i="15"/>
  <c r="F7" i="15"/>
  <c r="G105" i="15"/>
  <c r="E102" i="15"/>
  <c r="J23" i="15"/>
  <c r="I108" i="15"/>
  <c r="C97" i="15"/>
  <c r="F49" i="4"/>
  <c r="E101" i="15"/>
  <c r="G99" i="15"/>
  <c r="G108" i="15"/>
  <c r="K101" i="15"/>
  <c r="F24" i="4"/>
  <c r="G7" i="15"/>
  <c r="G75" i="15"/>
  <c r="E97" i="15"/>
  <c r="I6" i="4"/>
  <c r="H5" i="4"/>
  <c r="C107" i="15"/>
  <c r="F56" i="4"/>
  <c r="K104" i="15"/>
  <c r="F58" i="4"/>
  <c r="F55" i="4"/>
  <c r="E103" i="15"/>
  <c r="K106" i="15"/>
  <c r="A75" i="15"/>
  <c r="A7" i="15"/>
  <c r="J8" i="4"/>
  <c r="C76" i="15"/>
  <c r="C8" i="15"/>
  <c r="F51" i="4"/>
  <c r="C7" i="15"/>
  <c r="C75" i="15"/>
  <c r="E107" i="15"/>
  <c r="K103" i="15"/>
  <c r="F57" i="4"/>
  <c r="F50" i="4"/>
  <c r="B75" i="15"/>
  <c r="B7" i="15"/>
  <c r="F42" i="4"/>
  <c r="I103" i="15"/>
  <c r="F23" i="4"/>
  <c r="E113" i="15"/>
  <c r="I13" i="4"/>
  <c r="F27" i="4"/>
  <c r="I76" i="15"/>
  <c r="I8" i="15"/>
  <c r="E76" i="15"/>
  <c r="E8" i="15"/>
  <c r="G103" i="15"/>
  <c r="F54" i="4"/>
  <c r="I99" i="15"/>
  <c r="F32" i="4"/>
  <c r="G95" i="15"/>
  <c r="E117" i="15"/>
  <c r="F29" i="4"/>
  <c r="K107" i="15"/>
  <c r="G101" i="15"/>
  <c r="G107" i="15"/>
  <c r="K97" i="15"/>
  <c r="E100" i="15"/>
  <c r="I94" i="15"/>
  <c r="B19" i="4"/>
  <c r="C104" i="15"/>
  <c r="F43" i="4"/>
  <c r="G97" i="15"/>
  <c r="E95" i="15"/>
  <c r="C98" i="15"/>
  <c r="C101" i="15"/>
  <c r="F48" i="4"/>
  <c r="F28" i="4"/>
  <c r="C105" i="15"/>
  <c r="F47" i="4"/>
  <c r="E94" i="15"/>
  <c r="G98" i="15"/>
  <c r="F34" i="4"/>
  <c r="I100" i="15"/>
  <c r="J11" i="4"/>
  <c r="F53" i="4"/>
  <c r="H23" i="15"/>
  <c r="C99" i="15"/>
  <c r="F22" i="4"/>
  <c r="C103" i="15"/>
  <c r="I98" i="15"/>
  <c r="K105" i="15"/>
  <c r="L23" i="15"/>
  <c r="G100" i="15"/>
  <c r="F38" i="4"/>
  <c r="K99" i="15"/>
  <c r="G76" i="15"/>
  <c r="G8" i="15"/>
  <c r="K100" i="15"/>
  <c r="C108" i="15"/>
  <c r="F23" i="15"/>
  <c r="F35" i="4"/>
  <c r="C102" i="15"/>
  <c r="K108" i="15"/>
  <c r="I101" i="15"/>
  <c r="G106" i="15"/>
  <c r="F33" i="4"/>
  <c r="H75" i="15"/>
  <c r="H7" i="15"/>
  <c r="C106" i="15"/>
  <c r="I104" i="15"/>
  <c r="F52" i="4"/>
  <c r="G94" i="15"/>
  <c r="J75" i="15"/>
  <c r="J7" i="15"/>
  <c r="E105" i="15"/>
  <c r="I95" i="15"/>
  <c r="F36" i="4"/>
  <c r="E98" i="15"/>
  <c r="E106" i="15"/>
  <c r="I7" i="4"/>
  <c r="F26" i="4"/>
  <c r="G104" i="15"/>
  <c r="I105" i="15"/>
  <c r="I97" i="15"/>
  <c r="G102" i="15"/>
  <c r="K98" i="15"/>
  <c r="I102" i="15"/>
  <c r="E120" i="15"/>
  <c r="F25" i="4"/>
  <c r="G96" i="15"/>
  <c r="E99" i="15"/>
  <c r="C95" i="15"/>
  <c r="K96" i="15"/>
  <c r="D23" i="15"/>
  <c r="C96" i="15"/>
  <c r="E108" i="15"/>
</calcChain>
</file>

<file path=xl/sharedStrings.xml><?xml version="1.0" encoding="utf-8"?>
<sst xmlns="http://schemas.openxmlformats.org/spreadsheetml/2006/main" count="1583" uniqueCount="1206">
  <si>
    <t>HDLｺﾚｽﾃﾛｰﾙ  (mg/dl)</t>
    <phoneticPr fontId="1"/>
  </si>
  <si>
    <t>41～96</t>
    <phoneticPr fontId="1"/>
  </si>
  <si>
    <t>LDLｺﾚｽﾃﾛｰﾙ  (mg/dl)</t>
    <phoneticPr fontId="1"/>
  </si>
  <si>
    <t>8.0～22.0</t>
    <phoneticPr fontId="1"/>
  </si>
  <si>
    <t>ｸﾚｱﾁﾆﾝ      (mg/dl)</t>
    <phoneticPr fontId="1"/>
  </si>
  <si>
    <t>M0.6～1.1 F0.4～0.7</t>
    <phoneticPr fontId="1"/>
  </si>
  <si>
    <t>Na          (mEq/dl)</t>
    <phoneticPr fontId="1"/>
  </si>
  <si>
    <t>138～146</t>
    <phoneticPr fontId="1"/>
  </si>
  <si>
    <t>Ｋ          (mEq/dl)</t>
    <phoneticPr fontId="1"/>
  </si>
  <si>
    <t>3.6～4.9</t>
    <phoneticPr fontId="1"/>
  </si>
  <si>
    <t>Cl          (mEq/dl)</t>
    <phoneticPr fontId="1"/>
  </si>
  <si>
    <t>99～109</t>
    <phoneticPr fontId="1"/>
  </si>
  <si>
    <t>Ca          (mg/dl)</t>
    <phoneticPr fontId="1"/>
  </si>
  <si>
    <t>8.7～10.3</t>
    <phoneticPr fontId="1"/>
  </si>
  <si>
    <t>IP          (mg/dl)</t>
    <phoneticPr fontId="1"/>
  </si>
  <si>
    <t>2.5～4.7</t>
    <phoneticPr fontId="1"/>
  </si>
  <si>
    <t>ﾍﾓｸﾞﾛﾋﾞﾝAlc (%)</t>
    <phoneticPr fontId="1"/>
  </si>
  <si>
    <t>4.3～5.8</t>
    <phoneticPr fontId="1"/>
  </si>
  <si>
    <t>69～109</t>
    <phoneticPr fontId="1"/>
  </si>
  <si>
    <t>2～15</t>
    <phoneticPr fontId="1"/>
  </si>
  <si>
    <t>ｲﾝｽﾘﾝ30     (μU/dl)</t>
    <phoneticPr fontId="1"/>
  </si>
  <si>
    <t xml:space="preserve"> </t>
    <phoneticPr fontId="1"/>
  </si>
  <si>
    <t>ｲﾝｽｲﾝ120    (μU/dl)</t>
    <phoneticPr fontId="1"/>
  </si>
  <si>
    <t>3.5～9.8</t>
    <phoneticPr fontId="1"/>
  </si>
  <si>
    <t>M427～570 F376～500</t>
    <phoneticPr fontId="1"/>
  </si>
  <si>
    <t>M13.5～17.6</t>
    <phoneticPr fontId="1"/>
  </si>
  <si>
    <t>F11.3～15.2</t>
    <phoneticPr fontId="1"/>
  </si>
  <si>
    <t>ﾍﾏﾄｸﾘｯﾄ      (%)</t>
    <phoneticPr fontId="1"/>
  </si>
  <si>
    <t>M39.8～51.8</t>
    <phoneticPr fontId="1"/>
  </si>
  <si>
    <t>F33.4～44.9</t>
    <phoneticPr fontId="1"/>
  </si>
  <si>
    <t>M82.7～101.6</t>
    <phoneticPr fontId="1"/>
  </si>
  <si>
    <t>F79.0～100.0</t>
    <phoneticPr fontId="1"/>
  </si>
  <si>
    <t>M28.0～34.6</t>
    <phoneticPr fontId="1"/>
  </si>
  <si>
    <t>F26.3～34.3</t>
    <phoneticPr fontId="1"/>
  </si>
  <si>
    <t>M31.6～36.6</t>
    <phoneticPr fontId="1"/>
  </si>
  <si>
    <t>F30.7～36.6</t>
    <phoneticPr fontId="1"/>
  </si>
  <si>
    <t>13.0～36.9</t>
    <phoneticPr fontId="1"/>
  </si>
  <si>
    <t>（－）</t>
    <phoneticPr fontId="1"/>
  </si>
  <si>
    <t>（－）</t>
    <phoneticPr fontId="1"/>
  </si>
  <si>
    <t>（－）</t>
    <phoneticPr fontId="1"/>
  </si>
  <si>
    <t>（－）</t>
    <phoneticPr fontId="1"/>
  </si>
  <si>
    <t xml:space="preserve"> </t>
    <phoneticPr fontId="1"/>
  </si>
  <si>
    <t>ＢＭＩ     (㎏/㎡)</t>
    <phoneticPr fontId="1"/>
  </si>
  <si>
    <t>体脂肪率       (%)</t>
    <phoneticPr fontId="1"/>
  </si>
  <si>
    <t xml:space="preserve"> </t>
    <phoneticPr fontId="1"/>
  </si>
  <si>
    <t>腰囲　　　　　(㎝)</t>
    <phoneticPr fontId="1"/>
  </si>
  <si>
    <t>フィルム番号</t>
    <phoneticPr fontId="1"/>
  </si>
  <si>
    <t>検診結果</t>
    <phoneticPr fontId="1"/>
  </si>
  <si>
    <t>検診日</t>
    <phoneticPr fontId="1"/>
  </si>
  <si>
    <t>検診日</t>
    <phoneticPr fontId="1"/>
  </si>
  <si>
    <t>CD_肝炎結果B1</t>
  </si>
  <si>
    <t>CD_肝炎結果B2</t>
  </si>
  <si>
    <t>CD_肝炎結果B3</t>
  </si>
  <si>
    <t>CD_肝炎結果B4</t>
  </si>
  <si>
    <t>CD_肝炎結果B5</t>
  </si>
  <si>
    <t>－</t>
    <phoneticPr fontId="1"/>
  </si>
  <si>
    <t>HbA1c (JDS) (%)</t>
    <phoneticPr fontId="1"/>
  </si>
  <si>
    <t>年齢</t>
    <phoneticPr fontId="1"/>
  </si>
  <si>
    <t>性別</t>
    <phoneticPr fontId="1"/>
  </si>
  <si>
    <t>受診番号</t>
    <phoneticPr fontId="1"/>
  </si>
  <si>
    <t>組合名</t>
    <phoneticPr fontId="1"/>
  </si>
  <si>
    <t>受診日1</t>
    <phoneticPr fontId="1"/>
  </si>
  <si>
    <t>受診日2</t>
    <phoneticPr fontId="1"/>
  </si>
  <si>
    <t>受診日3</t>
    <phoneticPr fontId="1"/>
  </si>
  <si>
    <t>受診日4</t>
    <phoneticPr fontId="1"/>
  </si>
  <si>
    <t>受診日5</t>
    <phoneticPr fontId="1"/>
  </si>
  <si>
    <t>年度1</t>
  </si>
  <si>
    <t>年度2</t>
  </si>
  <si>
    <t>年度3</t>
  </si>
  <si>
    <t>年度4</t>
  </si>
  <si>
    <t>年度5</t>
  </si>
  <si>
    <t>肺受診日1</t>
  </si>
  <si>
    <t>肺受診日2</t>
  </si>
  <si>
    <t>肺受診日3</t>
  </si>
  <si>
    <t>肺受診日4</t>
  </si>
  <si>
    <t>肺受診日5</t>
  </si>
  <si>
    <t>肺番号1</t>
  </si>
  <si>
    <t>肺番号2</t>
  </si>
  <si>
    <t>肺番号3</t>
  </si>
  <si>
    <t>肺番号4</t>
  </si>
  <si>
    <t>肺番号5</t>
  </si>
  <si>
    <t>肺結果1</t>
  </si>
  <si>
    <t>肺結果2</t>
  </si>
  <si>
    <t>肺結果3</t>
  </si>
  <si>
    <t>肺結果4</t>
  </si>
  <si>
    <t>肺結果5</t>
  </si>
  <si>
    <t>胃受診日1</t>
  </si>
  <si>
    <t>胃受診日2</t>
  </si>
  <si>
    <t>胃受診日3</t>
  </si>
  <si>
    <t>胃受診日4</t>
  </si>
  <si>
    <t>胃受診日5</t>
  </si>
  <si>
    <t>胃番号1</t>
  </si>
  <si>
    <t>胃番号2</t>
  </si>
  <si>
    <t>胃番号3</t>
  </si>
  <si>
    <t>胃番号4</t>
  </si>
  <si>
    <t>胃番号5</t>
  </si>
  <si>
    <t>胃結果1</t>
  </si>
  <si>
    <t>胃結果2</t>
  </si>
  <si>
    <t>胃結果3</t>
  </si>
  <si>
    <t>胃結果4</t>
  </si>
  <si>
    <t>胃結果5</t>
  </si>
  <si>
    <t>大腸受診日1</t>
  </si>
  <si>
    <t>大腸受診日2</t>
  </si>
  <si>
    <t>大腸受診日3</t>
  </si>
  <si>
    <t>大腸受診日4</t>
  </si>
  <si>
    <t>大腸受診日5</t>
  </si>
  <si>
    <t>大腸所見11</t>
  </si>
  <si>
    <t>大腸所見12</t>
  </si>
  <si>
    <t>大腸所見13</t>
  </si>
  <si>
    <t>大腸所見14</t>
  </si>
  <si>
    <t>大腸所見15</t>
  </si>
  <si>
    <t>大腸所見21</t>
  </si>
  <si>
    <t>大腸所見22</t>
  </si>
  <si>
    <t>大腸所見23</t>
  </si>
  <si>
    <t>大腸所見24</t>
  </si>
  <si>
    <t>大腸所見25</t>
  </si>
  <si>
    <t>大腸結果1</t>
  </si>
  <si>
    <t>大腸結果2</t>
  </si>
  <si>
    <t>大腸結果3</t>
  </si>
  <si>
    <t>大腸結果4</t>
  </si>
  <si>
    <t>大腸結果5</t>
  </si>
  <si>
    <t>子宮受診日1</t>
  </si>
  <si>
    <t>子宮受診日2</t>
  </si>
  <si>
    <t>子宮受診日3</t>
  </si>
  <si>
    <t>子宮受診日4</t>
  </si>
  <si>
    <t>子宮受診日5</t>
  </si>
  <si>
    <t>子宮結果1</t>
  </si>
  <si>
    <t>子宮結果2</t>
  </si>
  <si>
    <t>子宮結果3</t>
  </si>
  <si>
    <t>子宮結果4</t>
  </si>
  <si>
    <t>子宮結果5</t>
  </si>
  <si>
    <t>乳受診日1</t>
  </si>
  <si>
    <t>乳受診日2</t>
  </si>
  <si>
    <t>乳受診日3</t>
  </si>
  <si>
    <t>乳受診日4</t>
  </si>
  <si>
    <t>乳受診日5</t>
  </si>
  <si>
    <t>乳結果1</t>
  </si>
  <si>
    <t>乳結果2</t>
  </si>
  <si>
    <t>乳結果3</t>
  </si>
  <si>
    <t>乳結果4</t>
  </si>
  <si>
    <t>乳結果5</t>
  </si>
  <si>
    <t>肺機関</t>
  </si>
  <si>
    <t>胃機関</t>
  </si>
  <si>
    <t>大腸機関</t>
  </si>
  <si>
    <t>子宮機関</t>
  </si>
  <si>
    <t>乳機関</t>
  </si>
  <si>
    <t>肝炎受診日</t>
  </si>
  <si>
    <t>肝炎結果B</t>
  </si>
  <si>
    <t>肝炎結果C</t>
  </si>
  <si>
    <t>メタボ判定</t>
  </si>
  <si>
    <t>郵便番号</t>
    <phoneticPr fontId="1"/>
  </si>
  <si>
    <t>住所</t>
    <phoneticPr fontId="1"/>
  </si>
  <si>
    <t>方書</t>
    <phoneticPr fontId="1"/>
  </si>
  <si>
    <t>氏名</t>
    <phoneticPr fontId="1"/>
  </si>
  <si>
    <t>世帯主氏名</t>
    <phoneticPr fontId="1"/>
  </si>
  <si>
    <t>行政区CD</t>
    <phoneticPr fontId="1"/>
  </si>
  <si>
    <t>行政区</t>
    <phoneticPr fontId="1"/>
  </si>
  <si>
    <t>年度</t>
    <phoneticPr fontId="1"/>
  </si>
  <si>
    <t>発行年月日</t>
    <phoneticPr fontId="1"/>
  </si>
  <si>
    <t>barcode(カスタマバーコード)</t>
    <phoneticPr fontId="1"/>
  </si>
  <si>
    <t>整理番号</t>
    <rPh sb="0" eb="2">
      <t>セイリ</t>
    </rPh>
    <rPh sb="2" eb="4">
      <t>バンゴウ</t>
    </rPh>
    <phoneticPr fontId="1"/>
  </si>
  <si>
    <t>barcode(NW7)</t>
    <phoneticPr fontId="1"/>
  </si>
  <si>
    <t>心電図所見</t>
    <rPh sb="0" eb="3">
      <t>シンデンズ</t>
    </rPh>
    <rPh sb="3" eb="5">
      <t>ショケン</t>
    </rPh>
    <phoneticPr fontId="1"/>
  </si>
  <si>
    <t>氏名</t>
    <rPh sb="0" eb="2">
      <t>シメイ</t>
    </rPh>
    <phoneticPr fontId="1"/>
  </si>
  <si>
    <t>番号</t>
    <rPh sb="0" eb="2">
      <t>バンゴウ</t>
    </rPh>
    <phoneticPr fontId="1"/>
  </si>
  <si>
    <t>生年月日</t>
    <rPh sb="0" eb="2">
      <t>セイネン</t>
    </rPh>
    <rPh sb="2" eb="4">
      <t>ガッピ</t>
    </rPh>
    <phoneticPr fontId="1"/>
  </si>
  <si>
    <t>検診日</t>
    <rPh sb="0" eb="2">
      <t>ケンシン</t>
    </rPh>
    <rPh sb="2" eb="3">
      <t>ビ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</si>
  <si>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</si>
  <si>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</si>
  <si>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担当医師</t>
    <rPh sb="0" eb="2">
      <t>タントウ</t>
    </rPh>
    <rPh sb="2" eb="4">
      <t>イシ</t>
    </rPh>
    <phoneticPr fontId="1"/>
  </si>
  <si>
    <t>受診番号</t>
    <rPh sb="0" eb="2">
      <t>ジュシン</t>
    </rPh>
    <rPh sb="2" eb="4">
      <t>バンゴウ</t>
    </rPh>
    <phoneticPr fontId="1"/>
  </si>
  <si>
    <t xml:space="preserve"> 総　合　判　定</t>
    <rPh sb="1" eb="2">
      <t>ソウ</t>
    </rPh>
    <rPh sb="3" eb="4">
      <t>ア</t>
    </rPh>
    <rPh sb="5" eb="6">
      <t>ハン</t>
    </rPh>
    <rPh sb="7" eb="8">
      <t>サダム</t>
    </rPh>
    <phoneticPr fontId="1"/>
  </si>
  <si>
    <t>検査項目</t>
    <rPh sb="0" eb="2">
      <t>ケンサ</t>
    </rPh>
    <rPh sb="2" eb="4">
      <t>コウモク</t>
    </rPh>
    <phoneticPr fontId="1"/>
  </si>
  <si>
    <t>※平成２１年度より、GPT・血清アミラーゼ・尿酸の基準値が変更になりました。</t>
    <rPh sb="1" eb="3">
      <t>ヘイセイ</t>
    </rPh>
    <rPh sb="5" eb="7">
      <t>ネンド</t>
    </rPh>
    <rPh sb="14" eb="16">
      <t>ケッセイ</t>
    </rPh>
    <rPh sb="22" eb="24">
      <t>ニョウサン</t>
    </rPh>
    <rPh sb="25" eb="28">
      <t>キジュンチ</t>
    </rPh>
    <rPh sb="29" eb="31">
      <t>ヘンコウ</t>
    </rPh>
    <phoneticPr fontId="1"/>
  </si>
  <si>
    <t>診　断　名</t>
    <rPh sb="0" eb="1">
      <t>シン</t>
    </rPh>
    <rPh sb="2" eb="3">
      <t>ダン</t>
    </rPh>
    <rPh sb="4" eb="5">
      <t>メイ</t>
    </rPh>
    <phoneticPr fontId="1"/>
  </si>
  <si>
    <t>結　果</t>
    <rPh sb="0" eb="1">
      <t>ケッ</t>
    </rPh>
    <rPh sb="2" eb="3">
      <t>ハテ</t>
    </rPh>
    <phoneticPr fontId="1"/>
  </si>
  <si>
    <t>循環器</t>
    <rPh sb="0" eb="3">
      <t>ジュンカンキ</t>
    </rPh>
    <phoneticPr fontId="1"/>
  </si>
  <si>
    <t>呼吸器</t>
    <rPh sb="0" eb="3">
      <t>コキュウキ</t>
    </rPh>
    <phoneticPr fontId="1"/>
  </si>
  <si>
    <t>神経系</t>
    <rPh sb="0" eb="3">
      <t>シンケイケイ</t>
    </rPh>
    <phoneticPr fontId="1"/>
  </si>
  <si>
    <t>肥満度</t>
    <rPh sb="0" eb="2">
      <t>ヒマン</t>
    </rPh>
    <rPh sb="2" eb="3">
      <t>ド</t>
    </rPh>
    <phoneticPr fontId="1"/>
  </si>
  <si>
    <t>血清脂質</t>
    <rPh sb="0" eb="2">
      <t>ケッセイ</t>
    </rPh>
    <rPh sb="2" eb="4">
      <t>シシツ</t>
    </rPh>
    <phoneticPr fontId="1"/>
  </si>
  <si>
    <t>血糖</t>
    <rPh sb="0" eb="2">
      <t>ケットウ</t>
    </rPh>
    <phoneticPr fontId="1"/>
  </si>
  <si>
    <t>肝・膵機能</t>
    <rPh sb="0" eb="1">
      <t>カン</t>
    </rPh>
    <rPh sb="2" eb="3">
      <t>スイ</t>
    </rPh>
    <rPh sb="3" eb="5">
      <t>キノウ</t>
    </rPh>
    <phoneticPr fontId="1"/>
  </si>
  <si>
    <t>腎機能</t>
    <rPh sb="0" eb="1">
      <t>ジン</t>
    </rPh>
    <rPh sb="1" eb="3">
      <t>キノウ</t>
    </rPh>
    <phoneticPr fontId="1"/>
  </si>
  <si>
    <t>尿酸</t>
    <rPh sb="0" eb="2">
      <t>ニョウサン</t>
    </rPh>
    <phoneticPr fontId="1"/>
  </si>
  <si>
    <t>血計</t>
    <rPh sb="0" eb="1">
      <t>ケッ</t>
    </rPh>
    <rPh sb="1" eb="2">
      <t>ケイ</t>
    </rPh>
    <phoneticPr fontId="1"/>
  </si>
  <si>
    <t>尿検査</t>
    <rPh sb="0" eb="3">
      <t>ニョウケンサ</t>
    </rPh>
    <phoneticPr fontId="1"/>
  </si>
  <si>
    <t>眼底</t>
    <rPh sb="0" eb="2">
      <t>ガンテイ</t>
    </rPh>
    <phoneticPr fontId="1"/>
  </si>
  <si>
    <t>その他</t>
    <rPh sb="2" eb="3">
      <t>タ</t>
    </rPh>
    <phoneticPr fontId="1"/>
  </si>
  <si>
    <t>肺機能検査</t>
    <rPh sb="0" eb="1">
      <t>ハイ</t>
    </rPh>
    <rPh sb="1" eb="3">
      <t>キノウ</t>
    </rPh>
    <rPh sb="3" eb="5">
      <t>ケンサ</t>
    </rPh>
    <phoneticPr fontId="1"/>
  </si>
  <si>
    <t>各種がん検査</t>
    <rPh sb="0" eb="2">
      <t>カクシュ</t>
    </rPh>
    <rPh sb="4" eb="6">
      <t>ケンサ</t>
    </rPh>
    <phoneticPr fontId="1"/>
  </si>
  <si>
    <t>安静時</t>
    <rPh sb="0" eb="2">
      <t>アンセイ</t>
    </rPh>
    <rPh sb="2" eb="3">
      <t>ジ</t>
    </rPh>
    <phoneticPr fontId="1"/>
  </si>
  <si>
    <t>結　　　　　　　　　　　　　　果</t>
    <rPh sb="0" eb="1">
      <t>ケッ</t>
    </rPh>
    <rPh sb="15" eb="16">
      <t>ハテ</t>
    </rPh>
    <phoneticPr fontId="1"/>
  </si>
  <si>
    <t xml:space="preserve"> 指　示　事　項</t>
    <rPh sb="1" eb="2">
      <t>ユビ</t>
    </rPh>
    <rPh sb="3" eb="4">
      <t>シメス</t>
    </rPh>
    <rPh sb="5" eb="6">
      <t>コト</t>
    </rPh>
    <rPh sb="7" eb="8">
      <t>コウ</t>
    </rPh>
    <phoneticPr fontId="1"/>
  </si>
  <si>
    <t>項目</t>
    <rPh sb="0" eb="2">
      <t>コウモク</t>
    </rPh>
    <phoneticPr fontId="1"/>
  </si>
  <si>
    <t>医 師 の 指 導 及 び 医 師 の 意 見</t>
    <rPh sb="0" eb="1">
      <t>イ</t>
    </rPh>
    <rPh sb="2" eb="3">
      <t>シ</t>
    </rPh>
    <rPh sb="6" eb="7">
      <t>ユビ</t>
    </rPh>
    <rPh sb="8" eb="9">
      <t>シルベ</t>
    </rPh>
    <rPh sb="10" eb="11">
      <t>オヨ</t>
    </rPh>
    <rPh sb="14" eb="15">
      <t>イ</t>
    </rPh>
    <rPh sb="16" eb="17">
      <t>シ</t>
    </rPh>
    <rPh sb="20" eb="21">
      <t>イ</t>
    </rPh>
    <rPh sb="22" eb="23">
      <t>ミ</t>
    </rPh>
    <phoneticPr fontId="1"/>
  </si>
  <si>
    <t>健康診断個人結果票（総括）</t>
    <rPh sb="0" eb="1">
      <t>ケン</t>
    </rPh>
    <rPh sb="1" eb="2">
      <t>ヤスシ</t>
    </rPh>
    <rPh sb="2" eb="3">
      <t>シン</t>
    </rPh>
    <rPh sb="3" eb="4">
      <t>ダン</t>
    </rPh>
    <rPh sb="4" eb="5">
      <t>コ</t>
    </rPh>
    <rPh sb="5" eb="6">
      <t>ヒト</t>
    </rPh>
    <rPh sb="6" eb="7">
      <t>ケッ</t>
    </rPh>
    <rPh sb="7" eb="8">
      <t>ハテ</t>
    </rPh>
    <rPh sb="8" eb="9">
      <t>ヒョウ</t>
    </rPh>
    <rPh sb="10" eb="12">
      <t>ソウカツ</t>
    </rPh>
    <phoneticPr fontId="1"/>
  </si>
  <si>
    <t>項目名（単位）</t>
    <rPh sb="0" eb="2">
      <t>コウモク</t>
    </rPh>
    <rPh sb="2" eb="3">
      <t>メイ</t>
    </rPh>
    <rPh sb="4" eb="6">
      <t>タンイ</t>
    </rPh>
    <phoneticPr fontId="1"/>
  </si>
  <si>
    <t>A/G比</t>
    <rPh sb="3" eb="4">
      <t>ヒ</t>
    </rPh>
    <phoneticPr fontId="1"/>
  </si>
  <si>
    <t>番　号</t>
    <rPh sb="0" eb="1">
      <t>バン</t>
    </rPh>
    <rPh sb="2" eb="3">
      <t>ゴウ</t>
    </rPh>
    <phoneticPr fontId="1"/>
  </si>
  <si>
    <t>氏　名</t>
    <rPh sb="0" eb="1">
      <t>シ</t>
    </rPh>
    <rPh sb="2" eb="3">
      <t>メイ</t>
    </rPh>
    <phoneticPr fontId="1"/>
  </si>
  <si>
    <t>生　年　月　日</t>
    <rPh sb="0" eb="1">
      <t>セイ</t>
    </rPh>
    <rPh sb="2" eb="3">
      <t>ネン</t>
    </rPh>
    <rPh sb="4" eb="5">
      <t>ツキ</t>
    </rPh>
    <rPh sb="6" eb="7">
      <t>ヒ</t>
    </rPh>
    <phoneticPr fontId="1"/>
  </si>
  <si>
    <t>受 診 番 号</t>
    <rPh sb="0" eb="1">
      <t>ウケ</t>
    </rPh>
    <rPh sb="2" eb="3">
      <t>シン</t>
    </rPh>
    <rPh sb="4" eb="5">
      <t>バン</t>
    </rPh>
    <rPh sb="6" eb="7">
      <t>ゴウ</t>
    </rPh>
    <phoneticPr fontId="1"/>
  </si>
  <si>
    <t>組 合 名</t>
    <rPh sb="0" eb="1">
      <t>クミ</t>
    </rPh>
    <rPh sb="2" eb="3">
      <t>ア</t>
    </rPh>
    <rPh sb="4" eb="5">
      <t>メイ</t>
    </rPh>
    <phoneticPr fontId="1"/>
  </si>
  <si>
    <t>血清総蛋白 （g/dl）</t>
    <rPh sb="0" eb="2">
      <t>ケッセイ</t>
    </rPh>
    <rPh sb="2" eb="3">
      <t>ソウ</t>
    </rPh>
    <rPh sb="3" eb="5">
      <t>タンパク</t>
    </rPh>
    <phoneticPr fontId="1"/>
  </si>
  <si>
    <t>血清ｱﾙﾌﾞﾐﾝ  (g/dl)</t>
    <rPh sb="0" eb="2">
      <t>ケッセイ</t>
    </rPh>
    <phoneticPr fontId="1"/>
  </si>
  <si>
    <t>総ﾋﾞﾘﾙﾋﾞﾝ   (mg/dl)</t>
    <rPh sb="0" eb="1">
      <t>ソウ</t>
    </rPh>
    <phoneticPr fontId="1"/>
  </si>
  <si>
    <t>ＨＢｓ抗原</t>
    <rPh sb="3" eb="5">
      <t>コウゲン</t>
    </rPh>
    <phoneticPr fontId="1"/>
  </si>
  <si>
    <t>ＨＣＶ抗体  (C・U)</t>
    <rPh sb="3" eb="5">
      <t>コウタイ</t>
    </rPh>
    <phoneticPr fontId="1"/>
  </si>
  <si>
    <t>血清ｱﾐﾗｰｾﾞ  (IU/L)</t>
    <rPh sb="0" eb="2">
      <t>ケッセイ</t>
    </rPh>
    <phoneticPr fontId="1"/>
  </si>
  <si>
    <t>脂質代謝</t>
    <rPh sb="0" eb="2">
      <t>シシツ</t>
    </rPh>
    <rPh sb="2" eb="4">
      <t>タイシャ</t>
    </rPh>
    <phoneticPr fontId="1"/>
  </si>
  <si>
    <t>総ｺﾚｽﾃﾛｰﾙ   (mg/dl)</t>
    <rPh sb="0" eb="1">
      <t>ソウ</t>
    </rPh>
    <phoneticPr fontId="1"/>
  </si>
  <si>
    <t>中性脂肪    (mg/dl)</t>
    <rPh sb="0" eb="2">
      <t>チュウセイ</t>
    </rPh>
    <rPh sb="2" eb="4">
      <t>シボウ</t>
    </rPh>
    <phoneticPr fontId="1"/>
  </si>
  <si>
    <t>尿酸        (mg/dl)</t>
    <rPh sb="0" eb="2">
      <t>ニョウサン</t>
    </rPh>
    <phoneticPr fontId="1"/>
  </si>
  <si>
    <t>腎・泌尿器</t>
    <rPh sb="0" eb="1">
      <t>ジン</t>
    </rPh>
    <rPh sb="2" eb="5">
      <t>ヒニョウキ</t>
    </rPh>
    <phoneticPr fontId="1"/>
  </si>
  <si>
    <t>尿素窒素    (mg/dl)</t>
    <rPh sb="0" eb="2">
      <t>ニョウソ</t>
    </rPh>
    <rPh sb="2" eb="4">
      <t>チッソ</t>
    </rPh>
    <phoneticPr fontId="1"/>
  </si>
  <si>
    <t>糖代謝</t>
    <rPh sb="0" eb="3">
      <t>トウタイシャ</t>
    </rPh>
    <phoneticPr fontId="1"/>
  </si>
  <si>
    <t>空腹時血糖  (mg/dl)</t>
    <rPh sb="0" eb="2">
      <t>クウフク</t>
    </rPh>
    <rPh sb="2" eb="3">
      <t>ジ</t>
    </rPh>
    <rPh sb="3" eb="5">
      <t>ケットウ</t>
    </rPh>
    <phoneticPr fontId="1"/>
  </si>
  <si>
    <t>負荷血糖30  (mg/dl)</t>
    <rPh sb="0" eb="2">
      <t>フカ</t>
    </rPh>
    <rPh sb="2" eb="4">
      <t>ケットウ</t>
    </rPh>
    <phoneticPr fontId="1"/>
  </si>
  <si>
    <t>負荷血糖120 (mg/dl)</t>
    <rPh sb="0" eb="2">
      <t>フカ</t>
    </rPh>
    <rPh sb="2" eb="4">
      <t>ケットウ</t>
    </rPh>
    <phoneticPr fontId="1"/>
  </si>
  <si>
    <t>タイトル</t>
  </si>
  <si>
    <t>文章1</t>
  </si>
  <si>
    <t>文章2</t>
  </si>
  <si>
    <t>文章3</t>
  </si>
  <si>
    <t>文章4</t>
  </si>
  <si>
    <t>文章5</t>
  </si>
  <si>
    <t>文章6</t>
  </si>
  <si>
    <t>文章7</t>
  </si>
  <si>
    <t>文章8</t>
  </si>
  <si>
    <t>文章9</t>
  </si>
  <si>
    <t>文章10</t>
  </si>
  <si>
    <t>文章11</t>
  </si>
  <si>
    <t>文章12</t>
  </si>
  <si>
    <t>文章13</t>
  </si>
  <si>
    <t>文章14</t>
  </si>
  <si>
    <t>文章15</t>
  </si>
  <si>
    <t>文章16</t>
  </si>
  <si>
    <t>文章17</t>
  </si>
  <si>
    <t>文章18</t>
  </si>
  <si>
    <t>文章19</t>
  </si>
  <si>
    <t>文章20</t>
  </si>
  <si>
    <t>文章21</t>
  </si>
  <si>
    <t>文章22</t>
  </si>
  <si>
    <t>文章23</t>
  </si>
  <si>
    <t>文章24</t>
  </si>
  <si>
    <t>文章25</t>
  </si>
  <si>
    <t>文章26</t>
  </si>
  <si>
    <t>文章27</t>
  </si>
  <si>
    <t>文章28</t>
  </si>
  <si>
    <t>文章29</t>
  </si>
  <si>
    <t>文章30</t>
  </si>
  <si>
    <t>文章31</t>
  </si>
  <si>
    <t>文章32</t>
  </si>
  <si>
    <t>文章33</t>
  </si>
  <si>
    <t>文章34</t>
  </si>
  <si>
    <t>文章35</t>
  </si>
  <si>
    <t>文章36</t>
  </si>
  <si>
    <t>文章37</t>
  </si>
  <si>
    <t>文章38</t>
  </si>
  <si>
    <t>文章39</t>
  </si>
  <si>
    <t>文章40</t>
  </si>
  <si>
    <t>文章41</t>
  </si>
  <si>
    <t>文章42</t>
  </si>
  <si>
    <t>文章43</t>
  </si>
  <si>
    <t>文章44</t>
  </si>
  <si>
    <t>ｲﾝｽﾘﾝ前     (μU/dl)</t>
    <rPh sb="5" eb="6">
      <t>マエ</t>
    </rPh>
    <phoneticPr fontId="1"/>
  </si>
  <si>
    <t>白血球数    (μU/dl)</t>
    <rPh sb="0" eb="3">
      <t>ハッケッキュウ</t>
    </rPh>
    <rPh sb="3" eb="4">
      <t>スウ</t>
    </rPh>
    <phoneticPr fontId="1"/>
  </si>
  <si>
    <t>赤血球数    (万/μl)</t>
    <rPh sb="0" eb="3">
      <t>セッケッキュウ</t>
    </rPh>
    <rPh sb="3" eb="4">
      <t>スウ</t>
    </rPh>
    <rPh sb="9" eb="10">
      <t>マン</t>
    </rPh>
    <phoneticPr fontId="1"/>
  </si>
  <si>
    <t>血色素濃度  (g/dl)</t>
    <rPh sb="0" eb="1">
      <t>チ</t>
    </rPh>
    <rPh sb="1" eb="3">
      <t>シキソ</t>
    </rPh>
    <rPh sb="3" eb="5">
      <t>ノウド</t>
    </rPh>
    <phoneticPr fontId="1"/>
  </si>
  <si>
    <t>平均赤血球容積 (fl)</t>
    <rPh sb="0" eb="2">
      <t>ヘイキン</t>
    </rPh>
    <rPh sb="2" eb="5">
      <t>セッケッキュウ</t>
    </rPh>
    <rPh sb="5" eb="7">
      <t>ヨウセキ</t>
    </rPh>
    <phoneticPr fontId="1"/>
  </si>
  <si>
    <t>平均赤血球Hb量 (pg)</t>
    <rPh sb="0" eb="2">
      <t>ヘイキン</t>
    </rPh>
    <rPh sb="2" eb="5">
      <t>セッケッキュウ</t>
    </rPh>
    <rPh sb="7" eb="8">
      <t>リョウ</t>
    </rPh>
    <phoneticPr fontId="1"/>
  </si>
  <si>
    <t>平均赤血球Hb濃度 (%)</t>
    <rPh sb="0" eb="2">
      <t>ヘイキン</t>
    </rPh>
    <rPh sb="2" eb="5">
      <t>セッケッキュウ</t>
    </rPh>
    <rPh sb="7" eb="9">
      <t>ノウド</t>
    </rPh>
    <phoneticPr fontId="1"/>
  </si>
  <si>
    <t>血清鉄      (μg/dl)</t>
    <rPh sb="0" eb="2">
      <t>ケッセイ</t>
    </rPh>
    <rPh sb="2" eb="3">
      <t>テツ</t>
    </rPh>
    <phoneticPr fontId="1"/>
  </si>
  <si>
    <t>血小板数    (万/μl)</t>
    <rPh sb="0" eb="3">
      <t>ケッショウバン</t>
    </rPh>
    <rPh sb="3" eb="4">
      <t>スウ</t>
    </rPh>
    <rPh sb="9" eb="10">
      <t>マン</t>
    </rPh>
    <phoneticPr fontId="1"/>
  </si>
  <si>
    <t>尿糖</t>
    <rPh sb="0" eb="2">
      <t>ニョウトウ</t>
    </rPh>
    <phoneticPr fontId="1"/>
  </si>
  <si>
    <t>尿蛋白</t>
    <rPh sb="0" eb="1">
      <t>ニョウ</t>
    </rPh>
    <rPh sb="1" eb="3">
      <t>タンパク</t>
    </rPh>
    <phoneticPr fontId="1"/>
  </si>
  <si>
    <t>尿潜血</t>
    <rPh sb="0" eb="1">
      <t>ニョウ</t>
    </rPh>
    <rPh sb="1" eb="3">
      <t>センケツ</t>
    </rPh>
    <phoneticPr fontId="1"/>
  </si>
  <si>
    <t>尿白血球</t>
    <rPh sb="0" eb="1">
      <t>ニョウ</t>
    </rPh>
    <rPh sb="1" eb="4">
      <t>ハッケッキュウ</t>
    </rPh>
    <phoneticPr fontId="1"/>
  </si>
  <si>
    <t>検査日</t>
    <rPh sb="0" eb="2">
      <t>ケンサ</t>
    </rPh>
    <rPh sb="2" eb="3">
      <t>ビ</t>
    </rPh>
    <phoneticPr fontId="1"/>
  </si>
  <si>
    <t>基準値</t>
    <rPh sb="0" eb="3">
      <t>キジュンチ</t>
    </rPh>
    <phoneticPr fontId="1"/>
  </si>
  <si>
    <t>今回</t>
    <rPh sb="0" eb="2">
      <t>コンカイ</t>
    </rPh>
    <phoneticPr fontId="1"/>
  </si>
  <si>
    <t>前回</t>
    <rPh sb="0" eb="2">
      <t>ゼンカイ</t>
    </rPh>
    <phoneticPr fontId="1"/>
  </si>
  <si>
    <t>前々回</t>
    <rPh sb="0" eb="3">
      <t>ゼンゼンカイ</t>
    </rPh>
    <phoneticPr fontId="1"/>
  </si>
  <si>
    <t>３回前</t>
    <rPh sb="1" eb="2">
      <t>カイ</t>
    </rPh>
    <rPh sb="2" eb="3">
      <t>マエ</t>
    </rPh>
    <phoneticPr fontId="1"/>
  </si>
  <si>
    <t>４回前</t>
    <rPh sb="1" eb="2">
      <t>カイ</t>
    </rPh>
    <rPh sb="2" eb="3">
      <t>マエ</t>
    </rPh>
    <phoneticPr fontId="1"/>
  </si>
  <si>
    <t>健 康 診 断 個 人 結 果 票 （ 血 液 等 ）</t>
    <rPh sb="0" eb="1">
      <t>ケン</t>
    </rPh>
    <rPh sb="2" eb="3">
      <t>ヤスシ</t>
    </rPh>
    <rPh sb="4" eb="5">
      <t>シン</t>
    </rPh>
    <rPh sb="6" eb="7">
      <t>ダン</t>
    </rPh>
    <rPh sb="8" eb="9">
      <t>コ</t>
    </rPh>
    <rPh sb="10" eb="11">
      <t>ヒト</t>
    </rPh>
    <rPh sb="12" eb="13">
      <t>ケッ</t>
    </rPh>
    <rPh sb="14" eb="15">
      <t>ハテ</t>
    </rPh>
    <rPh sb="16" eb="17">
      <t>ヒョウ</t>
    </rPh>
    <rPh sb="20" eb="21">
      <t>チ</t>
    </rPh>
    <rPh sb="22" eb="23">
      <t>エキ</t>
    </rPh>
    <rPh sb="24" eb="25">
      <t>トウ</t>
    </rPh>
    <phoneticPr fontId="1"/>
  </si>
  <si>
    <t>健 康 診 断 個 人 結 果 票 （ 形 態 等 ）</t>
    <rPh sb="0" eb="1">
      <t>ケン</t>
    </rPh>
    <rPh sb="2" eb="3">
      <t>ヤスシ</t>
    </rPh>
    <rPh sb="4" eb="5">
      <t>シン</t>
    </rPh>
    <rPh sb="6" eb="7">
      <t>ダン</t>
    </rPh>
    <rPh sb="8" eb="9">
      <t>コ</t>
    </rPh>
    <rPh sb="10" eb="11">
      <t>ヒト</t>
    </rPh>
    <rPh sb="12" eb="13">
      <t>ケッ</t>
    </rPh>
    <rPh sb="14" eb="15">
      <t>ハテ</t>
    </rPh>
    <rPh sb="16" eb="17">
      <t>ヒョウ</t>
    </rPh>
    <rPh sb="20" eb="21">
      <t>カタチ</t>
    </rPh>
    <rPh sb="22" eb="23">
      <t>タイ</t>
    </rPh>
    <rPh sb="24" eb="25">
      <t>トウ</t>
    </rPh>
    <phoneticPr fontId="1"/>
  </si>
  <si>
    <t>生 年 月 日</t>
    <rPh sb="0" eb="1">
      <t>セイ</t>
    </rPh>
    <rPh sb="2" eb="3">
      <t>ネン</t>
    </rPh>
    <rPh sb="4" eb="5">
      <t>ツキ</t>
    </rPh>
    <rPh sb="6" eb="7">
      <t>ヒ</t>
    </rPh>
    <phoneticPr fontId="1"/>
  </si>
  <si>
    <t>氏 名</t>
    <rPh sb="0" eb="1">
      <t>シ</t>
    </rPh>
    <rPh sb="2" eb="3">
      <t>メイ</t>
    </rPh>
    <phoneticPr fontId="1"/>
  </si>
  <si>
    <t>年齢</t>
    <rPh sb="0" eb="1">
      <t>ネン</t>
    </rPh>
    <rPh sb="1" eb="2">
      <t>トシ</t>
    </rPh>
    <phoneticPr fontId="1"/>
  </si>
  <si>
    <t>項目名 (単位)</t>
    <rPh sb="0" eb="2">
      <t>コウモク</t>
    </rPh>
    <rPh sb="2" eb="3">
      <t>メイ</t>
    </rPh>
    <rPh sb="5" eb="7">
      <t>タンイ</t>
    </rPh>
    <phoneticPr fontId="1"/>
  </si>
  <si>
    <t>検 査 日</t>
    <rPh sb="0" eb="1">
      <t>ケン</t>
    </rPh>
    <rPh sb="2" eb="3">
      <t>サ</t>
    </rPh>
    <rPh sb="4" eb="5">
      <t>ビ</t>
    </rPh>
    <phoneticPr fontId="1"/>
  </si>
  <si>
    <t>標 準 値</t>
    <rPh sb="0" eb="1">
      <t>シルベ</t>
    </rPh>
    <rPh sb="2" eb="3">
      <t>ジュン</t>
    </rPh>
    <rPh sb="4" eb="5">
      <t>アタイ</t>
    </rPh>
    <phoneticPr fontId="1"/>
  </si>
  <si>
    <t>形態等</t>
    <rPh sb="0" eb="2">
      <t>ケイタイ</t>
    </rPh>
    <rPh sb="2" eb="3">
      <t>トウ</t>
    </rPh>
    <phoneticPr fontId="1"/>
  </si>
  <si>
    <t>血圧(最高/最低)
(mm/Ｈg)</t>
    <rPh sb="0" eb="2">
      <t>ケツアツ</t>
    </rPh>
    <rPh sb="3" eb="5">
      <t>サイコウ</t>
    </rPh>
    <rPh sb="6" eb="8">
      <t>サイテイ</t>
    </rPh>
    <phoneticPr fontId="1"/>
  </si>
  <si>
    <t>脈拍</t>
    <rPh sb="0" eb="2">
      <t>ミャクハク</t>
    </rPh>
    <phoneticPr fontId="1"/>
  </si>
  <si>
    <t>肥満度         (%)</t>
    <rPh sb="0" eb="2">
      <t>ヒマン</t>
    </rPh>
    <rPh sb="2" eb="3">
      <t>ド</t>
    </rPh>
    <phoneticPr fontId="1"/>
  </si>
  <si>
    <t>骨密度      (g/㎠)</t>
    <rPh sb="0" eb="3">
      <t>コツミツド</t>
    </rPh>
    <phoneticPr fontId="1"/>
  </si>
  <si>
    <t>身長          (㎝)</t>
    <rPh sb="0" eb="2">
      <t>シンチョウ</t>
    </rPh>
    <phoneticPr fontId="1"/>
  </si>
  <si>
    <t>体重          (㎏)</t>
    <rPh sb="0" eb="2">
      <t>タイジュウ</t>
    </rPh>
    <phoneticPr fontId="1"/>
  </si>
  <si>
    <t>腹囲          (㎝)</t>
    <rPh sb="0" eb="1">
      <t>ハラ</t>
    </rPh>
    <rPh sb="1" eb="2">
      <t>イ</t>
    </rPh>
    <phoneticPr fontId="1"/>
  </si>
  <si>
    <t>標準体重　　　(㎏)</t>
    <rPh sb="0" eb="2">
      <t>ヒョウジュン</t>
    </rPh>
    <rPh sb="2" eb="4">
      <t>タイジュウ</t>
    </rPh>
    <phoneticPr fontId="1"/>
  </si>
  <si>
    <t>各検査機関検診結果集(下記検診委託機関の判定による)</t>
    <rPh sb="0" eb="3">
      <t>カクケンサ</t>
    </rPh>
    <rPh sb="3" eb="5">
      <t>キカン</t>
    </rPh>
    <rPh sb="5" eb="7">
      <t>ケンシン</t>
    </rPh>
    <rPh sb="7" eb="9">
      <t>ケッカ</t>
    </rPh>
    <rPh sb="9" eb="10">
      <t>シュウ</t>
    </rPh>
    <rPh sb="11" eb="13">
      <t>カキ</t>
    </rPh>
    <rPh sb="13" eb="15">
      <t>ケンシン</t>
    </rPh>
    <rPh sb="15" eb="17">
      <t>イタク</t>
    </rPh>
    <rPh sb="17" eb="19">
      <t>キカン</t>
    </rPh>
    <rPh sb="20" eb="22">
      <t>ハンテイ</t>
    </rPh>
    <phoneticPr fontId="1"/>
  </si>
  <si>
    <t>胸部検診</t>
    <rPh sb="0" eb="2">
      <t>キョウブ</t>
    </rPh>
    <rPh sb="2" eb="4">
      <t>ケンシン</t>
    </rPh>
    <phoneticPr fontId="1"/>
  </si>
  <si>
    <t>胃がん検診</t>
    <rPh sb="0" eb="1">
      <t>イ</t>
    </rPh>
    <rPh sb="3" eb="5">
      <t>ケンシン</t>
    </rPh>
    <phoneticPr fontId="1"/>
  </si>
  <si>
    <t>大腸がん検診</t>
    <rPh sb="0" eb="2">
      <t>ダイチョウ</t>
    </rPh>
    <rPh sb="4" eb="6">
      <t>ケンシン</t>
    </rPh>
    <phoneticPr fontId="1"/>
  </si>
  <si>
    <t>子宮がん検診</t>
    <rPh sb="0" eb="2">
      <t>シキュウ</t>
    </rPh>
    <rPh sb="4" eb="6">
      <t>ケンシン</t>
    </rPh>
    <phoneticPr fontId="1"/>
  </si>
  <si>
    <t>乳がん検診</t>
    <rPh sb="0" eb="1">
      <t>ニュウ</t>
    </rPh>
    <rPh sb="3" eb="5">
      <t>ケンシン</t>
    </rPh>
    <phoneticPr fontId="1"/>
  </si>
  <si>
    <t>フィルム番号</t>
    <rPh sb="4" eb="6">
      <t>バンゴウ</t>
    </rPh>
    <phoneticPr fontId="1"/>
  </si>
  <si>
    <t>1.00～2.14</t>
    <phoneticPr fontId="1"/>
  </si>
  <si>
    <t>チモール    (U)</t>
    <phoneticPr fontId="1"/>
  </si>
  <si>
    <t>クンケル    (U)</t>
    <phoneticPr fontId="1"/>
  </si>
  <si>
    <t>4～12</t>
    <phoneticPr fontId="1"/>
  </si>
  <si>
    <t>ＧＯＴ      (IU/L)</t>
    <phoneticPr fontId="1"/>
  </si>
  <si>
    <t>13～33</t>
    <phoneticPr fontId="1"/>
  </si>
  <si>
    <t>ＧＰＴ      (IU/L)</t>
    <phoneticPr fontId="1"/>
  </si>
  <si>
    <t>6～30</t>
    <phoneticPr fontId="1"/>
  </si>
  <si>
    <t>ＡＬＰ      (IU/L)</t>
    <phoneticPr fontId="1"/>
  </si>
  <si>
    <t>115～359</t>
    <phoneticPr fontId="1"/>
  </si>
  <si>
    <t>ＬＡＰ      (GRu)</t>
    <phoneticPr fontId="1"/>
  </si>
  <si>
    <t>36～74</t>
    <phoneticPr fontId="1"/>
  </si>
  <si>
    <t>γ－ＧＴＰ  (IU/L)</t>
    <phoneticPr fontId="1"/>
  </si>
  <si>
    <t>10～47</t>
    <phoneticPr fontId="1"/>
  </si>
  <si>
    <t>ＬＤＨ      (IU/L)</t>
    <phoneticPr fontId="1"/>
  </si>
  <si>
    <t>119～229</t>
    <phoneticPr fontId="1"/>
  </si>
  <si>
    <t>0.3～1.2</t>
    <phoneticPr fontId="1"/>
  </si>
  <si>
    <t>128～219</t>
    <phoneticPr fontId="1"/>
  </si>
  <si>
    <t>2～15</t>
    <phoneticPr fontId="1"/>
  </si>
  <si>
    <t>ｲﾝｽﾘﾝ30     (μU/dl)</t>
    <phoneticPr fontId="1"/>
  </si>
  <si>
    <t xml:space="preserve"> </t>
    <phoneticPr fontId="1"/>
  </si>
  <si>
    <t>検査機関日本健康クラブ</t>
    <phoneticPr fontId="1"/>
  </si>
  <si>
    <t>検査機関日本健康クラブ</t>
    <phoneticPr fontId="1"/>
  </si>
  <si>
    <t>検査機関すこやか健康事業団</t>
    <phoneticPr fontId="1"/>
  </si>
  <si>
    <t>検査機関すこやか健康事業団</t>
    <phoneticPr fontId="1"/>
  </si>
  <si>
    <t>検診結果</t>
    <rPh sb="0" eb="2">
      <t>ケンシン</t>
    </rPh>
    <rPh sb="2" eb="4">
      <t>ケッカ</t>
    </rPh>
    <phoneticPr fontId="1"/>
  </si>
  <si>
    <t>所見(１日目)</t>
    <rPh sb="0" eb="2">
      <t>ショケン</t>
    </rPh>
    <rPh sb="4" eb="5">
      <t>ニチ</t>
    </rPh>
    <rPh sb="5" eb="6">
      <t>メ</t>
    </rPh>
    <phoneticPr fontId="1"/>
  </si>
  <si>
    <t>所見(２日目)</t>
    <rPh sb="0" eb="2">
      <t>ショケン</t>
    </rPh>
    <rPh sb="4" eb="6">
      <t>カメ</t>
    </rPh>
    <phoneticPr fontId="1"/>
  </si>
  <si>
    <t>健 康 診 断 個 人 結 果 票　　(肝炎ウイルス検査)</t>
    <rPh sb="0" eb="1">
      <t>ケン</t>
    </rPh>
    <rPh sb="2" eb="3">
      <t>ヤスシ</t>
    </rPh>
    <rPh sb="4" eb="5">
      <t>シン</t>
    </rPh>
    <rPh sb="6" eb="7">
      <t>ダン</t>
    </rPh>
    <rPh sb="8" eb="9">
      <t>コ</t>
    </rPh>
    <rPh sb="10" eb="11">
      <t>ヒト</t>
    </rPh>
    <rPh sb="12" eb="13">
      <t>ケッ</t>
    </rPh>
    <rPh sb="14" eb="15">
      <t>ハテ</t>
    </rPh>
    <rPh sb="16" eb="17">
      <t>ヒョウ</t>
    </rPh>
    <rPh sb="20" eb="22">
      <t>カンエン</t>
    </rPh>
    <rPh sb="26" eb="28">
      <t>ケンサ</t>
    </rPh>
    <phoneticPr fontId="1"/>
  </si>
  <si>
    <t>判 定 内 容</t>
    <rPh sb="0" eb="1">
      <t>ハン</t>
    </rPh>
    <rPh sb="2" eb="3">
      <t>サダム</t>
    </rPh>
    <rPh sb="4" eb="5">
      <t>ウチ</t>
    </rPh>
    <rPh sb="6" eb="7">
      <t>カタチ</t>
    </rPh>
    <phoneticPr fontId="1"/>
  </si>
  <si>
    <t>精密検査</t>
    <rPh sb="0" eb="2">
      <t>セイミツ</t>
    </rPh>
    <rPh sb="2" eb="4">
      <t>ケンサ</t>
    </rPh>
    <phoneticPr fontId="1"/>
  </si>
  <si>
    <t>一次検査</t>
    <rPh sb="0" eb="1">
      <t>イッ</t>
    </rPh>
    <rPh sb="1" eb="2">
      <t>ジ</t>
    </rPh>
    <rPh sb="2" eb="3">
      <t>ケン</t>
    </rPh>
    <rPh sb="3" eb="4">
      <t>サ</t>
    </rPh>
    <phoneticPr fontId="1"/>
  </si>
  <si>
    <t>特　定　健　診　判　定　結　果</t>
    <rPh sb="0" eb="1">
      <t>トク</t>
    </rPh>
    <rPh sb="2" eb="3">
      <t>サダム</t>
    </rPh>
    <rPh sb="4" eb="5">
      <t>ケン</t>
    </rPh>
    <rPh sb="6" eb="7">
      <t>シン</t>
    </rPh>
    <rPh sb="8" eb="9">
      <t>ハン</t>
    </rPh>
    <rPh sb="10" eb="11">
      <t>サダム</t>
    </rPh>
    <rPh sb="12" eb="13">
      <t>ケッ</t>
    </rPh>
    <rPh sb="14" eb="15">
      <t>ハテ</t>
    </rPh>
    <phoneticPr fontId="1"/>
  </si>
  <si>
    <t>メタボリックシンドローム判定</t>
    <rPh sb="12" eb="14">
      <t>ハンテイ</t>
    </rPh>
    <phoneticPr fontId="1"/>
  </si>
  <si>
    <t>骨密度         (%)</t>
    <phoneticPr fontId="1"/>
  </si>
  <si>
    <t>検診日</t>
    <phoneticPr fontId="1"/>
  </si>
  <si>
    <t>フィルム番号</t>
    <phoneticPr fontId="1"/>
  </si>
  <si>
    <t>検診結果</t>
    <phoneticPr fontId="1"/>
  </si>
  <si>
    <t>　項 目 名</t>
    <rPh sb="1" eb="2">
      <t>コウ</t>
    </rPh>
    <rPh sb="3" eb="4">
      <t>メ</t>
    </rPh>
    <rPh sb="5" eb="6">
      <t>メイ</t>
    </rPh>
    <phoneticPr fontId="1"/>
  </si>
  <si>
    <t>　受診年月日</t>
    <rPh sb="1" eb="3">
      <t>ジュシン</t>
    </rPh>
    <rPh sb="3" eb="6">
      <t>ネンガッピ</t>
    </rPh>
    <phoneticPr fontId="1"/>
  </si>
  <si>
    <t>　Ｂ型肝炎(ＨＢｓ抗原)</t>
    <rPh sb="2" eb="3">
      <t>ガタ</t>
    </rPh>
    <rPh sb="3" eb="5">
      <t>カンエン</t>
    </rPh>
    <rPh sb="9" eb="11">
      <t>コウゲン</t>
    </rPh>
    <phoneticPr fontId="1"/>
  </si>
  <si>
    <t>　Ｃ型肝炎(ＨＣＶ抗原)　50未満</t>
    <rPh sb="2" eb="3">
      <t>ガタ</t>
    </rPh>
    <rPh sb="3" eb="5">
      <t>カンエン</t>
    </rPh>
    <phoneticPr fontId="1"/>
  </si>
  <si>
    <t>　Ｃ型肝炎(ＨＣＶ抗体)　1.00未満</t>
    <rPh sb="2" eb="3">
      <t>ガタ</t>
    </rPh>
    <rPh sb="3" eb="5">
      <t>カンエン</t>
    </rPh>
    <phoneticPr fontId="1"/>
  </si>
  <si>
    <t>　Ｃ型肝炎(ＨＣＶ抗原)　1.00未満</t>
    <rPh sb="2" eb="3">
      <t>ガタ</t>
    </rPh>
    <rPh sb="3" eb="5">
      <t>カンエン</t>
    </rPh>
    <rPh sb="9" eb="11">
      <t>コウゲン</t>
    </rPh>
    <phoneticPr fontId="1"/>
  </si>
  <si>
    <t>　Ｃ型肝炎(ＨＣＶ抗体)　50未満</t>
    <rPh sb="2" eb="3">
      <t>ガタ</t>
    </rPh>
    <rPh sb="3" eb="5">
      <t>カンエン</t>
    </rPh>
    <rPh sb="9" eb="11">
      <t>コウタイ</t>
    </rPh>
    <phoneticPr fontId="1"/>
  </si>
  <si>
    <t>　Ｃ型肝炎(ＲＮＡ)</t>
    <rPh sb="2" eb="3">
      <t>ガタ</t>
    </rPh>
    <rPh sb="3" eb="5">
      <t>カンエン</t>
    </rPh>
    <phoneticPr fontId="1"/>
  </si>
  <si>
    <t>　Ｃ型肝炎判定</t>
    <rPh sb="2" eb="3">
      <t>ガタ</t>
    </rPh>
    <rPh sb="3" eb="5">
      <t>カンエン</t>
    </rPh>
    <rPh sb="5" eb="7">
      <t>ハンテイ</t>
    </rPh>
    <phoneticPr fontId="1"/>
  </si>
  <si>
    <t>受診番号</t>
    <rPh sb="0" eb="1">
      <t>ウケ</t>
    </rPh>
    <rPh sb="1" eb="2">
      <t>シン</t>
    </rPh>
    <rPh sb="2" eb="3">
      <t>バン</t>
    </rPh>
    <rPh sb="3" eb="4">
      <t>ゴウ</t>
    </rPh>
    <phoneticPr fontId="1"/>
  </si>
  <si>
    <t>高血圧</t>
    <rPh sb="0" eb="1">
      <t>コウ</t>
    </rPh>
    <rPh sb="1" eb="3">
      <t>ケツアツ</t>
    </rPh>
    <phoneticPr fontId="1"/>
  </si>
  <si>
    <t>HDLｺﾚｽﾃﾛｰﾙ  (mg/dl)</t>
    <phoneticPr fontId="1"/>
  </si>
  <si>
    <t>LDLｺﾚｽﾃﾛｰﾙ  (mg/dl)</t>
    <phoneticPr fontId="1"/>
  </si>
  <si>
    <t>ｸﾚｱﾁﾆﾝ      (mg/dl)</t>
    <phoneticPr fontId="1"/>
  </si>
  <si>
    <t>Ca          (mg/dl)</t>
    <phoneticPr fontId="1"/>
  </si>
  <si>
    <t>IP          (mg/dl)</t>
    <phoneticPr fontId="1"/>
  </si>
  <si>
    <t>ﾍﾏﾄｸﾘｯﾄ      (%)</t>
    <phoneticPr fontId="1"/>
  </si>
  <si>
    <t>4.0以下</t>
    <rPh sb="3" eb="5">
      <t>イカ</t>
    </rPh>
    <phoneticPr fontId="1"/>
  </si>
  <si>
    <t>1.00未満</t>
    <rPh sb="4" eb="6">
      <t>ミマン</t>
    </rPh>
    <phoneticPr fontId="1"/>
  </si>
  <si>
    <t>139以下</t>
    <rPh sb="3" eb="5">
      <t>イカ</t>
    </rPh>
    <phoneticPr fontId="1"/>
  </si>
  <si>
    <t>最高140未満</t>
    <rPh sb="0" eb="2">
      <t>サイコウ</t>
    </rPh>
    <rPh sb="5" eb="7">
      <t>ミマン</t>
    </rPh>
    <phoneticPr fontId="1"/>
  </si>
  <si>
    <t>最低90未満</t>
    <rPh sb="0" eb="2">
      <t>サイテイ</t>
    </rPh>
    <rPh sb="4" eb="6">
      <t>ミマン</t>
    </rPh>
    <phoneticPr fontId="1"/>
  </si>
  <si>
    <t>25.0未満</t>
    <rPh sb="4" eb="6">
      <t>ミマン</t>
    </rPh>
    <phoneticPr fontId="1"/>
  </si>
  <si>
    <t>-10～20未満</t>
    <rPh sb="6" eb="8">
      <t>ミマン</t>
    </rPh>
    <phoneticPr fontId="1"/>
  </si>
  <si>
    <t>M25未満 F30未満</t>
    <rPh sb="3" eb="5">
      <t>ミマン</t>
    </rPh>
    <rPh sb="9" eb="11">
      <t>ミマン</t>
    </rPh>
    <phoneticPr fontId="1"/>
  </si>
  <si>
    <t/>
  </si>
  <si>
    <t>基準値</t>
    <phoneticPr fontId="1"/>
  </si>
  <si>
    <t>担当医師</t>
  </si>
  <si>
    <t>番号</t>
  </si>
  <si>
    <t>検診日</t>
  </si>
  <si>
    <t>診断名1</t>
  </si>
  <si>
    <t>結果1</t>
  </si>
  <si>
    <t>診断名2</t>
  </si>
  <si>
    <t>結果2</t>
  </si>
  <si>
    <t>診断名3</t>
  </si>
  <si>
    <t>結果3</t>
  </si>
  <si>
    <t>診断名4</t>
  </si>
  <si>
    <t>結果4</t>
  </si>
  <si>
    <t>診断名5</t>
  </si>
  <si>
    <t>結果5</t>
  </si>
  <si>
    <t>診断名6</t>
  </si>
  <si>
    <t>結果6</t>
  </si>
  <si>
    <t>診断名7</t>
  </si>
  <si>
    <t>結果7</t>
  </si>
  <si>
    <t>診断名8</t>
  </si>
  <si>
    <t>結果8</t>
  </si>
  <si>
    <t>診断名9</t>
  </si>
  <si>
    <t>結果9</t>
  </si>
  <si>
    <t>診断名10</t>
  </si>
  <si>
    <t>結果10</t>
  </si>
  <si>
    <t>診断名11</t>
  </si>
  <si>
    <t>結果11</t>
  </si>
  <si>
    <t>診断名12</t>
  </si>
  <si>
    <t>結果12</t>
  </si>
  <si>
    <t>診断名13</t>
  </si>
  <si>
    <t>結果13</t>
  </si>
  <si>
    <t>診断名14</t>
  </si>
  <si>
    <t>結果14</t>
  </si>
  <si>
    <t>心電図所見1</t>
  </si>
  <si>
    <t>心電図所見2</t>
  </si>
  <si>
    <t>項目1</t>
  </si>
  <si>
    <t>指導及び意見1</t>
  </si>
  <si>
    <t>項目2</t>
  </si>
  <si>
    <t>指導及び意見2</t>
  </si>
  <si>
    <t>項目3</t>
  </si>
  <si>
    <t>指導及び意見3</t>
  </si>
  <si>
    <t>項目4</t>
  </si>
  <si>
    <t>指導及び意見4</t>
  </si>
  <si>
    <t>項目5</t>
  </si>
  <si>
    <t>指導及び意見5</t>
  </si>
  <si>
    <t>項目6</t>
  </si>
  <si>
    <t>指導及び意見6</t>
  </si>
  <si>
    <t>項目7</t>
  </si>
  <si>
    <t>指導及び意見7</t>
  </si>
  <si>
    <t>項目8</t>
  </si>
  <si>
    <t>指導及び意見8</t>
  </si>
  <si>
    <t>項目9</t>
  </si>
  <si>
    <t>指導及び意見9</t>
  </si>
  <si>
    <t>項目10</t>
  </si>
  <si>
    <t>指導及び意見10</t>
  </si>
  <si>
    <t>項目11</t>
  </si>
  <si>
    <t>指導及び意見11</t>
  </si>
  <si>
    <t>項目12</t>
  </si>
  <si>
    <t>指導及び意見12</t>
  </si>
  <si>
    <t>項目13</t>
  </si>
  <si>
    <t>指導及び意見13</t>
  </si>
  <si>
    <t>項目14</t>
  </si>
  <si>
    <t>指導及び意見14</t>
  </si>
  <si>
    <t>項目15</t>
  </si>
  <si>
    <t>指導及び意見15</t>
  </si>
  <si>
    <t>項目16</t>
  </si>
  <si>
    <t>指導及び意見16</t>
  </si>
  <si>
    <t>項目17</t>
  </si>
  <si>
    <t>指導及び意見17</t>
  </si>
  <si>
    <t>項目18</t>
  </si>
  <si>
    <t>指導及び意見18</t>
  </si>
  <si>
    <t>M3.6～7.0 F2.3～7.0</t>
    <phoneticPr fontId="1"/>
  </si>
  <si>
    <t>60～139</t>
    <phoneticPr fontId="1"/>
  </si>
  <si>
    <t>M51～198 F45～167</t>
    <phoneticPr fontId="1"/>
  </si>
  <si>
    <t xml:space="preserve"> </t>
    <phoneticPr fontId="1"/>
  </si>
  <si>
    <t>別紙参照</t>
    <rPh sb="0" eb="2">
      <t>ベッシ</t>
    </rPh>
    <rPh sb="2" eb="4">
      <t>サンショウ</t>
    </rPh>
    <phoneticPr fontId="1"/>
  </si>
  <si>
    <t>判定は各検査委託機関による</t>
    <rPh sb="0" eb="2">
      <t>ハンテイ</t>
    </rPh>
    <rPh sb="3" eb="4">
      <t>カク</t>
    </rPh>
    <rPh sb="4" eb="6">
      <t>ケンサ</t>
    </rPh>
    <rPh sb="6" eb="8">
      <t>イタク</t>
    </rPh>
    <rPh sb="8" eb="10">
      <t>キカン</t>
    </rPh>
    <phoneticPr fontId="1"/>
  </si>
  <si>
    <t>総件数</t>
    <rPh sb="0" eb="3">
      <t>ソウケンスウ</t>
    </rPh>
    <phoneticPr fontId="1"/>
  </si>
  <si>
    <t>作成条件</t>
    <rPh sb="0" eb="2">
      <t>サクセイ</t>
    </rPh>
    <rPh sb="2" eb="4">
      <t>ジョウケン</t>
    </rPh>
    <phoneticPr fontId="1"/>
  </si>
  <si>
    <t>ｲﾝｽﾘﾝ120    (μU/dl)</t>
    <phoneticPr fontId="1"/>
  </si>
  <si>
    <t>前立腺受診日1</t>
  </si>
  <si>
    <t>前立腺受診日2</t>
  </si>
  <si>
    <t>前立腺受診日3</t>
  </si>
  <si>
    <t>前立腺受診日4</t>
  </si>
  <si>
    <t>前立腺受診日5</t>
  </si>
  <si>
    <t>前立腺結果1</t>
  </si>
  <si>
    <t>前立腺結果2</t>
  </si>
  <si>
    <t>前立腺結果3</t>
  </si>
  <si>
    <t>前立腺結果4</t>
  </si>
  <si>
    <t>前立腺結果5</t>
  </si>
  <si>
    <t>肝・膵臓機能</t>
    <rPh sb="0" eb="1">
      <t>カン</t>
    </rPh>
    <rPh sb="2" eb="3">
      <t>スイ</t>
    </rPh>
    <rPh sb="3" eb="4">
      <t>ゾウ</t>
    </rPh>
    <rPh sb="4" eb="6">
      <t>キノウ</t>
    </rPh>
    <phoneticPr fontId="1"/>
  </si>
  <si>
    <t>6.7～8.3</t>
    <phoneticPr fontId="1"/>
  </si>
  <si>
    <t>4.0～5.0</t>
    <phoneticPr fontId="1"/>
  </si>
  <si>
    <t>1.00～2.14</t>
    <phoneticPr fontId="1"/>
  </si>
  <si>
    <t>チモール    (U)</t>
    <phoneticPr fontId="1"/>
  </si>
  <si>
    <t>クンケル    (U)</t>
    <phoneticPr fontId="1"/>
  </si>
  <si>
    <t>4～12</t>
    <phoneticPr fontId="1"/>
  </si>
  <si>
    <t>ＧＯＴ      (IU/L)</t>
    <phoneticPr fontId="1"/>
  </si>
  <si>
    <t>13～33</t>
    <phoneticPr fontId="1"/>
  </si>
  <si>
    <t>ＧＰＴ      (IU/L)</t>
    <phoneticPr fontId="1"/>
  </si>
  <si>
    <t>6～30</t>
    <phoneticPr fontId="1"/>
  </si>
  <si>
    <t>ＡＬＰ      (IU/L)</t>
    <phoneticPr fontId="1"/>
  </si>
  <si>
    <t>115～359</t>
    <phoneticPr fontId="1"/>
  </si>
  <si>
    <t>ＬＡＰ      (GRu)</t>
    <phoneticPr fontId="1"/>
  </si>
  <si>
    <t>36～74</t>
    <phoneticPr fontId="1"/>
  </si>
  <si>
    <t>γ－ＧＴＰ  (IU/L)</t>
    <phoneticPr fontId="1"/>
  </si>
  <si>
    <t>10～47</t>
    <phoneticPr fontId="1"/>
  </si>
  <si>
    <t>ＬＤＨ      (IU/L)</t>
    <phoneticPr fontId="1"/>
  </si>
  <si>
    <t>119～229</t>
    <phoneticPr fontId="1"/>
  </si>
  <si>
    <t>0.3～1.2</t>
    <phoneticPr fontId="1"/>
  </si>
  <si>
    <t>（－）</t>
    <phoneticPr fontId="1"/>
  </si>
  <si>
    <t>42～132</t>
    <phoneticPr fontId="1"/>
  </si>
  <si>
    <t>128～219</t>
    <phoneticPr fontId="1"/>
  </si>
  <si>
    <t>30～149</t>
    <phoneticPr fontId="1"/>
  </si>
  <si>
    <t>CD_IJO3A01000000_1</t>
  </si>
  <si>
    <t>CD_3A01000000_1</t>
  </si>
  <si>
    <t>CD_IJO3A01000000_2</t>
  </si>
  <si>
    <t>CD_3A01000000_2</t>
  </si>
  <si>
    <t>CD_IJO3A01000000_3</t>
  </si>
  <si>
    <t>CD_3A01000000_3</t>
  </si>
  <si>
    <t>CD_IJO3A01000000_4</t>
  </si>
  <si>
    <t>CD_3A01000000_4</t>
  </si>
  <si>
    <t>CD_IJO3A01000000_5</t>
  </si>
  <si>
    <t>CD_3A01000000_5</t>
  </si>
  <si>
    <t>CD_IJO3A01500000_1</t>
  </si>
  <si>
    <t>CD_3A01500000_1</t>
  </si>
  <si>
    <t>CD_IJO3A01500000_2</t>
  </si>
  <si>
    <t>CD_3A01500000_2</t>
  </si>
  <si>
    <t>CD_IJO3A01500000_3</t>
  </si>
  <si>
    <t>CD_3A01500000_3</t>
  </si>
  <si>
    <t>CD_IJO3A01500000_4</t>
  </si>
  <si>
    <t>CD_3A01500000_4</t>
  </si>
  <si>
    <t>CD_IJO3A01500000_5</t>
  </si>
  <si>
    <t>CD_3A01500000_5</t>
  </si>
  <si>
    <t>CD_IJO3A01600000_1</t>
  </si>
  <si>
    <t>CD_3A01600000_1</t>
  </si>
  <si>
    <t>CD_IJO3A01600000_2</t>
  </si>
  <si>
    <t>CD_3A01600000_2</t>
  </si>
  <si>
    <t>CD_IJO3A01600000_3</t>
  </si>
  <si>
    <t>CD_3A01600000_3</t>
  </si>
  <si>
    <t>CD_IJO3A01600000_4</t>
  </si>
  <si>
    <t>CD_3A01600000_4</t>
  </si>
  <si>
    <t>CD_IJO3A01600000_5</t>
  </si>
  <si>
    <t>CD_3A01600000_5</t>
  </si>
  <si>
    <t>CD_IJOZ001200000_1</t>
  </si>
  <si>
    <t>CD_Z001200000_1</t>
  </si>
  <si>
    <t>CD_IJOZ001200000_2</t>
  </si>
  <si>
    <t>CD_Z001200000_2</t>
  </si>
  <si>
    <t>CD_IJOZ001200000_3</t>
  </si>
  <si>
    <t>CD_Z001200000_3</t>
  </si>
  <si>
    <t>CD_IJOZ001200000_4</t>
  </si>
  <si>
    <t>CD_Z001200000_4</t>
  </si>
  <si>
    <t>CD_IJOZ001200000_5</t>
  </si>
  <si>
    <t>CD_Z001200000_5</t>
  </si>
  <si>
    <t>CD_IJOZ001100000_1</t>
  </si>
  <si>
    <t>CD_Z001100000_1</t>
  </si>
  <si>
    <t>CD_IJOZ001100000_2</t>
  </si>
  <si>
    <t>CD_Z001100000_2</t>
  </si>
  <si>
    <t>CD_IJOZ001100000_3</t>
  </si>
  <si>
    <t>CD_Z001100000_3</t>
  </si>
  <si>
    <t>CD_IJOZ001100000_4</t>
  </si>
  <si>
    <t>CD_Z001100000_4</t>
  </si>
  <si>
    <t>CD_IJOZ001100000_5</t>
  </si>
  <si>
    <t>CD_Z001100000_5</t>
  </si>
  <si>
    <t>CD_IJO3B03500000_1</t>
  </si>
  <si>
    <t>CD_3B03500000_1</t>
  </si>
  <si>
    <t>CD_IJO3B03500000_2</t>
  </si>
  <si>
    <t>CD_3B03500000_2</t>
  </si>
  <si>
    <t>CD_IJO3B03500000_3</t>
  </si>
  <si>
    <t>CD_3B03500000_3</t>
  </si>
  <si>
    <t>CD_IJO3B03500000_4</t>
  </si>
  <si>
    <t>CD_3B03500000_4</t>
  </si>
  <si>
    <t>CD_IJO3B03500000_5</t>
  </si>
  <si>
    <t>CD_3B03500000_5</t>
  </si>
  <si>
    <t>CD_IJO3B04500000_1</t>
  </si>
  <si>
    <t>CD_3B04500000_1</t>
  </si>
  <si>
    <t>CD_IJO3B04500000_2</t>
  </si>
  <si>
    <t>CD_3B04500000_2</t>
  </si>
  <si>
    <t>CD_IJO3B04500000_3</t>
  </si>
  <si>
    <t>CD_3B04500000_3</t>
  </si>
  <si>
    <t>CD_IJO3B04500000_4</t>
  </si>
  <si>
    <t>CD_3B04500000_4</t>
  </si>
  <si>
    <t>CD_IJO3B04500000_5</t>
  </si>
  <si>
    <t>CD_3B04500000_5</t>
  </si>
  <si>
    <t>CD_IJO3B07000000_1</t>
  </si>
  <si>
    <t>CD_3B07000000_1</t>
  </si>
  <si>
    <t>CD_IJO3B07000000_2</t>
  </si>
  <si>
    <t>CD_3B07000000_2</t>
  </si>
  <si>
    <t>CD_IJO3B07000000_3</t>
  </si>
  <si>
    <t>CD_3B07000000_3</t>
  </si>
  <si>
    <t>CD_IJO3B07000000_4</t>
  </si>
  <si>
    <t>CD_3B07000000_4</t>
  </si>
  <si>
    <t>CD_IJO3B07000000_5</t>
  </si>
  <si>
    <t>CD_3B07000000_5</t>
  </si>
  <si>
    <t>CD_IJOZ001300000_1</t>
  </si>
  <si>
    <t>CD_Z001300000_1</t>
  </si>
  <si>
    <t>CD_IJOZ001300000_2</t>
  </si>
  <si>
    <t>CD_Z001300000_2</t>
  </si>
  <si>
    <t>CD_IJOZ001300000_3</t>
  </si>
  <si>
    <t>CD_Z001300000_3</t>
  </si>
  <si>
    <t>CD_IJOZ001300000_4</t>
  </si>
  <si>
    <t>CD_Z001300000_4</t>
  </si>
  <si>
    <t>CD_IJOZ001300000_5</t>
  </si>
  <si>
    <t>CD_Z001300000_5</t>
  </si>
  <si>
    <t>CD_IJO3B09000000_1</t>
  </si>
  <si>
    <t>CD_3B09000000_1</t>
  </si>
  <si>
    <t>CD_IJO3B09000000_2</t>
  </si>
  <si>
    <t>CD_3B09000000_2</t>
  </si>
  <si>
    <t>CD_IJO3B09000000_3</t>
  </si>
  <si>
    <t>CD_3B09000000_3</t>
  </si>
  <si>
    <t>CD_IJO3B09000000_4</t>
  </si>
  <si>
    <t>CD_3B09000000_4</t>
  </si>
  <si>
    <t>CD_IJO3B09000000_5</t>
  </si>
  <si>
    <t>CD_3B09000000_5</t>
  </si>
  <si>
    <t>CD_IJOZ001400000_1</t>
  </si>
  <si>
    <t>CD_Z001400000_1</t>
  </si>
  <si>
    <t>CD_IJOZ001400000_2</t>
  </si>
  <si>
    <t>CD_Z001400000_2</t>
  </si>
  <si>
    <t>CD_IJOZ001400000_3</t>
  </si>
  <si>
    <t>CD_Z001400000_3</t>
  </si>
  <si>
    <t>CD_IJOZ001400000_4</t>
  </si>
  <si>
    <t>CD_Z001400000_4</t>
  </si>
  <si>
    <t>CD_IJOZ001400000_5</t>
  </si>
  <si>
    <t>CD_Z001400000_5</t>
  </si>
  <si>
    <t>CD_IJO3J01000000_1</t>
  </si>
  <si>
    <t>CD_3J01000000_1</t>
  </si>
  <si>
    <t>CD_IJO3J01000000_2</t>
  </si>
  <si>
    <t>CD_3J01000000_2</t>
  </si>
  <si>
    <t>CD_IJO3J01000000_3</t>
  </si>
  <si>
    <t>CD_3J01000000_3</t>
  </si>
  <si>
    <t>CD_IJO3J01000000_4</t>
  </si>
  <si>
    <t>CD_3J01000000_4</t>
  </si>
  <si>
    <t>CD_IJO3J01000000_5</t>
  </si>
  <si>
    <t>CD_3J01000000_5</t>
  </si>
  <si>
    <t>CD_020_IJO0100200000_1</t>
  </si>
  <si>
    <t>CD_020_0100200000_1</t>
  </si>
  <si>
    <t>CD_020_IJO0100200000_2</t>
  </si>
  <si>
    <t>CD_020_0100200000_2</t>
  </si>
  <si>
    <t>CD_020_IJO0100200000_3</t>
  </si>
  <si>
    <t>CD_020_0100200000_3</t>
  </si>
  <si>
    <t>CD_020_IJO0100200000_4</t>
  </si>
  <si>
    <t>CD_020_0100200000_4</t>
  </si>
  <si>
    <t>CD_020_IJO0100200000_5</t>
  </si>
  <si>
    <t>CD_020_0100200000_5</t>
  </si>
  <si>
    <t>CD_IJOZ001600000_1</t>
  </si>
  <si>
    <t>CD_Z001600000_1</t>
  </si>
  <si>
    <t>CD_IJOZ001600000_2</t>
  </si>
  <si>
    <t>CD_Z001600000_2</t>
  </si>
  <si>
    <t>CD_IJOZ001600000_3</t>
  </si>
  <si>
    <t>CD_Z001600000_3</t>
  </si>
  <si>
    <t>CD_IJOZ001600000_4</t>
  </si>
  <si>
    <t>CD_Z001600000_4</t>
  </si>
  <si>
    <t>CD_IJOZ001600000_5</t>
  </si>
  <si>
    <t>CD_Z001600000_5</t>
  </si>
  <si>
    <t>CD_IJO3F05000000_1</t>
  </si>
  <si>
    <t>CD_3F05000000_1</t>
  </si>
  <si>
    <t>CD_IJO3F05000000_2</t>
  </si>
  <si>
    <t>CD_3F05000000_2</t>
  </si>
  <si>
    <t>CD_IJO3F05000000_3</t>
  </si>
  <si>
    <t>CD_3F05000000_3</t>
  </si>
  <si>
    <t>CD_IJO3F05000000_4</t>
  </si>
  <si>
    <t>CD_3F05000000_4</t>
  </si>
  <si>
    <t>CD_IJO3F05000000_5</t>
  </si>
  <si>
    <t>CD_Z001000000_5</t>
    <phoneticPr fontId="1"/>
  </si>
  <si>
    <t>CD_9A75100000_1</t>
    <phoneticPr fontId="1"/>
  </si>
  <si>
    <t>CD_IJOZ003500000_2</t>
    <phoneticPr fontId="1"/>
  </si>
  <si>
    <t>CD_Z003500000_2</t>
    <phoneticPr fontId="1"/>
  </si>
  <si>
    <t>CD_IJOZ003500000_3</t>
    <phoneticPr fontId="1"/>
  </si>
  <si>
    <t>CD_IJOZ003500000_4</t>
    <phoneticPr fontId="1"/>
  </si>
  <si>
    <t>CD_IJOZ003500000_5</t>
    <phoneticPr fontId="1"/>
  </si>
  <si>
    <t>CD_Z003500000_5</t>
    <phoneticPr fontId="1"/>
  </si>
  <si>
    <t>CD_IJOZ003500000_1</t>
    <phoneticPr fontId="1"/>
  </si>
  <si>
    <t>CD_Z003500000_1</t>
    <phoneticPr fontId="1"/>
  </si>
  <si>
    <t>CD_Z003500000_3</t>
    <phoneticPr fontId="1"/>
  </si>
  <si>
    <t>CD_Z003500000_4</t>
    <phoneticPr fontId="1"/>
  </si>
  <si>
    <t>HbA1c (NGSP)(%)</t>
    <phoneticPr fontId="1"/>
  </si>
  <si>
    <t>CD_3F05000000_5</t>
  </si>
  <si>
    <t>CD_IJO3F01500000_1</t>
  </si>
  <si>
    <t>CD_3F01500000_1</t>
  </si>
  <si>
    <t>CD_IJO3F01500000_2</t>
  </si>
  <si>
    <t>CD_3F01500000_2</t>
  </si>
  <si>
    <t>CD_IJO3F01500000_3</t>
  </si>
  <si>
    <t>CD_3F01500000_3</t>
  </si>
  <si>
    <t>CD_IJO3F01500000_4</t>
  </si>
  <si>
    <t>CD_3F01500000_4</t>
  </si>
  <si>
    <t>CD_IJO3F01500000_5</t>
  </si>
  <si>
    <t>CD_3F01500000_5</t>
  </si>
  <si>
    <t>CD_IJO3F07000000_1</t>
  </si>
  <si>
    <t>CD_3F07000000_1</t>
  </si>
  <si>
    <t>CD_IJO3F07000000_2</t>
  </si>
  <si>
    <t>CD_3F07000000_2</t>
  </si>
  <si>
    <t>CD_IJO3F07000000_3</t>
  </si>
  <si>
    <t>CD_3F07000000_3</t>
  </si>
  <si>
    <t>CD_IJO3F07000000_4</t>
  </si>
  <si>
    <t>CD_3F07000000_4</t>
  </si>
  <si>
    <t>CD_IJO3F07000000_5</t>
  </si>
  <si>
    <t>CD_3F07000000_5</t>
  </si>
  <si>
    <t>CD_IJO3F07700000_1</t>
  </si>
  <si>
    <t>CD_3F07700000_1</t>
  </si>
  <si>
    <t>CD_IJO3F07700000_2</t>
  </si>
  <si>
    <t>CD_3F07700000_2</t>
  </si>
  <si>
    <t>CD_IJO3F07700000_3</t>
  </si>
  <si>
    <t>CD_3F07700000_3</t>
  </si>
  <si>
    <t>CD_IJO3F07700000_4</t>
  </si>
  <si>
    <t>CD_3F07700000_4</t>
  </si>
  <si>
    <t>CD_IJO3F07700000_5</t>
  </si>
  <si>
    <t>CD_3F07700000_5</t>
  </si>
  <si>
    <t>CD_IJO3C02000000_1</t>
  </si>
  <si>
    <t>CD_3C02000000_1</t>
  </si>
  <si>
    <t>CD_IJO3C02000000_2</t>
  </si>
  <si>
    <t>CD_3C02000000_2</t>
  </si>
  <si>
    <t>CD_IJO3C02000000_3</t>
  </si>
  <si>
    <t>CD_3C02000000_3</t>
  </si>
  <si>
    <t>CD_IJO3C02000000_4</t>
  </si>
  <si>
    <t>CD_3C02000000_4</t>
  </si>
  <si>
    <t>CD_IJO3C02000000_5</t>
  </si>
  <si>
    <t>CD_3C02000000_5</t>
  </si>
  <si>
    <t>CD_IJOZ001800000_1</t>
  </si>
  <si>
    <t>CD_Z001800000_1</t>
  </si>
  <si>
    <t>CD_IJOZ001800000_2</t>
  </si>
  <si>
    <t>CD_Z001800000_2</t>
  </si>
  <si>
    <t>CD_IJOZ001800000_3</t>
  </si>
  <si>
    <t>CD_Z001800000_3</t>
  </si>
  <si>
    <t>CD_IJOZ001800000_4</t>
  </si>
  <si>
    <t>CD_Z001800000_4</t>
  </si>
  <si>
    <t>CD_IJOZ001800000_5</t>
  </si>
  <si>
    <t>CD_Z001800000_5</t>
  </si>
  <si>
    <t>CD_IJO3C01500000_1</t>
  </si>
  <si>
    <t>CD_3C01500000_1</t>
  </si>
  <si>
    <t>CD_IJO3C01500000_2</t>
  </si>
  <si>
    <t>CD_3C01500000_2</t>
  </si>
  <si>
    <t>CD_IJO3C01500000_3</t>
  </si>
  <si>
    <t>CD_3C01500000_3</t>
  </si>
  <si>
    <t>CD_IJO3C01500000_4</t>
  </si>
  <si>
    <t>CD_3C01500000_4</t>
  </si>
  <si>
    <t>CD_IJO3C01500000_5</t>
  </si>
  <si>
    <t>CD_3C01500000_5</t>
  </si>
  <si>
    <t>CD_IJOZ002000000_1</t>
  </si>
  <si>
    <t>CD_Z002000000_1</t>
  </si>
  <si>
    <t>CD_IJOZ002000000_2</t>
  </si>
  <si>
    <t>CD_Z002000000_2</t>
  </si>
  <si>
    <t>CD_IJOZ002000000_3</t>
  </si>
  <si>
    <t>CD_Z002000000_3</t>
  </si>
  <si>
    <t>CD_IJOZ002000000_4</t>
  </si>
  <si>
    <t>CD_Z002000000_4</t>
  </si>
  <si>
    <t>CD_IJOZ002000000_5</t>
  </si>
  <si>
    <t>CD_Z002000000_5</t>
  </si>
  <si>
    <t>CD_IJOZ002100000_1</t>
  </si>
  <si>
    <t>CD_Z002100000_1</t>
  </si>
  <si>
    <t>CD_IJOZ002100000_2</t>
  </si>
  <si>
    <t>CD_Z002100000_2</t>
  </si>
  <si>
    <t>CD_IJOZ002100000_3</t>
  </si>
  <si>
    <t>CD_Z002100000_3</t>
  </si>
  <si>
    <t>CD_IJOZ002100000_4</t>
  </si>
  <si>
    <t>CD_Z002100000_4</t>
  </si>
  <si>
    <t>CD_IJOZ002100000_5</t>
  </si>
  <si>
    <t>CD_Z002100000_5</t>
  </si>
  <si>
    <t>CD_Z001900000_1</t>
  </si>
  <si>
    <t>CD_IJOZ001900000_2</t>
  </si>
  <si>
    <t>CD_Z001900000_2</t>
  </si>
  <si>
    <t>CD_IJOZ001900000_3</t>
  </si>
  <si>
    <t>CD_Z001900000_3</t>
  </si>
  <si>
    <t>CD_IJOZ001900000_4</t>
  </si>
  <si>
    <t>CD_Z001900000_4</t>
  </si>
  <si>
    <t>CD_IJOZ001900000_5</t>
  </si>
  <si>
    <t>CD_Z001900000_5</t>
  </si>
  <si>
    <t>CD_IJOZ002300000_1</t>
  </si>
  <si>
    <t>CD_Z002300000_1</t>
  </si>
  <si>
    <t>CD_IJOZ002300000_2</t>
  </si>
  <si>
    <t>CD_Z002300000_2</t>
  </si>
  <si>
    <t>CD_IJOZ002300000_3</t>
  </si>
  <si>
    <t>CD_Z002300000_3</t>
  </si>
  <si>
    <t>CD_IJOZ002300000_4</t>
  </si>
  <si>
    <t>CD_Z002300000_4</t>
  </si>
  <si>
    <t>CD_IJOZ002300000_5</t>
  </si>
  <si>
    <t>CD_Z002300000_5</t>
  </si>
  <si>
    <t>CD_IJOZ002400000_1</t>
  </si>
  <si>
    <t>CD_Z002400000_1</t>
  </si>
  <si>
    <t>CD_IJOZ002400000_2</t>
  </si>
  <si>
    <t>CD_Z002400000_2</t>
  </si>
  <si>
    <t>CD_IJOZ002400000_3</t>
  </si>
  <si>
    <t>CD_Z002400000_3</t>
  </si>
  <si>
    <t>CD_IJOZ002400000_4</t>
  </si>
  <si>
    <t>CD_Z002400000_4</t>
  </si>
  <si>
    <t>CD_IJOZ002400000_5</t>
  </si>
  <si>
    <t>CD_Z002400000_5</t>
  </si>
  <si>
    <t>CD_IJO3D04500000_1</t>
  </si>
  <si>
    <t>CD_3D04500000_1</t>
  </si>
  <si>
    <t>CD_IJO3D04500000_2</t>
  </si>
  <si>
    <t>CD_3D04500000_2</t>
  </si>
  <si>
    <t>CD_IJO3D04500000_3</t>
  </si>
  <si>
    <t>CD_3D04500000_3</t>
  </si>
  <si>
    <t>CD_IJO3D04500000_4</t>
  </si>
  <si>
    <t>CD_3D04500000_4</t>
  </si>
  <si>
    <t>CD_IJO3D04500000_5</t>
  </si>
  <si>
    <t>CD_3D04500000_5</t>
  </si>
  <si>
    <t>CD_IJO3D01000000_1</t>
  </si>
  <si>
    <t>CD_3D01000000_1</t>
  </si>
  <si>
    <t>CD_IJO3D01000000_2</t>
  </si>
  <si>
    <t>CD_3D01000000_2</t>
  </si>
  <si>
    <t>CD_IJO3D01000000_3</t>
  </si>
  <si>
    <t>CD_3D01000000_3</t>
  </si>
  <si>
    <t>CD_IJO3D01000000_4</t>
  </si>
  <si>
    <t>CD_3D01000000_4</t>
  </si>
  <si>
    <t>CD_IJO3D01000000_5</t>
  </si>
  <si>
    <t>CD_3D01000000_5</t>
  </si>
  <si>
    <t>CD_IJOZ002500000_1</t>
  </si>
  <si>
    <t>CD_Z002500000_1</t>
  </si>
  <si>
    <t>CD_IJOZ002500000_2</t>
  </si>
  <si>
    <t>CD_Z002500000_2</t>
  </si>
  <si>
    <t>CD_IJOZ002500000_3</t>
  </si>
  <si>
    <t>CD_Z002500000_3</t>
  </si>
  <si>
    <t>CD_IJOZ002500000_4</t>
  </si>
  <si>
    <t>CD_Z002500000_4</t>
  </si>
  <si>
    <t>CD_IJOZ002500000_5</t>
  </si>
  <si>
    <t>CD_Z002500000_5</t>
  </si>
  <si>
    <t>CD_IJOZ002800000_1</t>
  </si>
  <si>
    <t>CD_Z002800000_1</t>
  </si>
  <si>
    <t>CD_IJOZ002800000_2</t>
  </si>
  <si>
    <t>CD_Z002800000_2</t>
  </si>
  <si>
    <t>CD_IJOZ002800000_3</t>
  </si>
  <si>
    <t>CD_Z002800000_3</t>
  </si>
  <si>
    <t>CD_IJOZ002800000_4</t>
  </si>
  <si>
    <t>CD_Z002800000_4</t>
  </si>
  <si>
    <t>CD_IJOZ002800000_5</t>
  </si>
  <si>
    <t>CD_Z002800000_5</t>
  </si>
  <si>
    <t>CD_IJOZ002900000_1</t>
  </si>
  <si>
    <t>CD_Z002900000_1</t>
  </si>
  <si>
    <t>CD_IJOZ002900000_2</t>
  </si>
  <si>
    <t>CD_Z002900000_2</t>
  </si>
  <si>
    <t>CD_IJOZ002900000_3</t>
  </si>
  <si>
    <t>CD_Z002900000_3</t>
  </si>
  <si>
    <t>CD_IJOZ002900000_4</t>
  </si>
  <si>
    <t>CD_Z002900000_4</t>
  </si>
  <si>
    <t>CD_IJOZ002900000_5</t>
  </si>
  <si>
    <t>CD_Z002900000_5</t>
  </si>
  <si>
    <t>CD_IJOZ003000000_1</t>
  </si>
  <si>
    <t>CD_Z003000000_1</t>
  </si>
  <si>
    <t>CD_IJOZ003000000_2</t>
  </si>
  <si>
    <t>CD_Z003000000_2</t>
  </si>
  <si>
    <t>CD_IJOZ003000000_3</t>
  </si>
  <si>
    <t>CD_Z003000000_3</t>
  </si>
  <si>
    <t>CD_IJOZ003000000_4</t>
  </si>
  <si>
    <t>CD_Z003000000_4</t>
  </si>
  <si>
    <t>CD_IJOZ003000000_5</t>
  </si>
  <si>
    <t>CD_Z003000000_5</t>
  </si>
  <si>
    <t>CD_IJOZ003300000_1</t>
  </si>
  <si>
    <t>CD_Z003300000_1</t>
  </si>
  <si>
    <t>CD_IJOZ003300000_2</t>
  </si>
  <si>
    <t>CD_Z003300000_2</t>
  </si>
  <si>
    <t>CD_IJOZ003300000_3</t>
  </si>
  <si>
    <t>CD_Z003300000_3</t>
  </si>
  <si>
    <t>CD_IJOZ003300000_4</t>
  </si>
  <si>
    <t>CD_Z003300000_4</t>
  </si>
  <si>
    <t>CD_IJOZ003300000_5</t>
  </si>
  <si>
    <t>CD_Z003300000_5</t>
  </si>
  <si>
    <t>CD_IJO2A01000000_1</t>
  </si>
  <si>
    <t>CD_2A01000000_1</t>
  </si>
  <si>
    <t>CD_IJO2A01000000_2</t>
  </si>
  <si>
    <t>CD_2A01000000_2</t>
  </si>
  <si>
    <t>CD_IJO2A01000000_3</t>
  </si>
  <si>
    <t>CD_2A01000000_3</t>
  </si>
  <si>
    <t>CD_IJO2A01000000_4</t>
  </si>
  <si>
    <t>CD_2A01000000_4</t>
  </si>
  <si>
    <t>CD_IJO2A01000000_5</t>
  </si>
  <si>
    <t>CD_2A01000000_5</t>
  </si>
  <si>
    <t>CD_IJO2A02000000_1</t>
  </si>
  <si>
    <t>CD_2A02000000_1</t>
  </si>
  <si>
    <t>CD_IJO2A02000000_2</t>
  </si>
  <si>
    <t>CD_2A02000000_2</t>
  </si>
  <si>
    <t>CD_IJO2A02000000_3</t>
  </si>
  <si>
    <t>CD_2A02000000_3</t>
  </si>
  <si>
    <t>CD_IJO2A02000000_4</t>
  </si>
  <si>
    <t>CD_2A02000000_4</t>
  </si>
  <si>
    <t>CD_IJO2A02000000_5</t>
  </si>
  <si>
    <t>CD_2A02000000_5</t>
  </si>
  <si>
    <t>CD_IJO2A03000000_1</t>
  </si>
  <si>
    <t>CD_2A03000000_1</t>
  </si>
  <si>
    <t>CD_IJO2A03000000_2</t>
  </si>
  <si>
    <t>CD_2A03000000_2</t>
  </si>
  <si>
    <t>CD_IJO2A03000000_3</t>
  </si>
  <si>
    <t>CD_2A03000000_3</t>
  </si>
  <si>
    <t>CD_IJO2A03000000_4</t>
  </si>
  <si>
    <t>CD_2A03000000_4</t>
  </si>
  <si>
    <t>CD_IJO2A03000000_5</t>
  </si>
  <si>
    <t>CD_2A03000000_5</t>
  </si>
  <si>
    <t>CD_IJO2A04000000_1</t>
  </si>
  <si>
    <t>CD_2A04000000_1</t>
  </si>
  <si>
    <t>CD_IJO2A04000000_2</t>
  </si>
  <si>
    <t>CD_2A04000000_2</t>
  </si>
  <si>
    <t>CD_IJO2A04000000_3</t>
  </si>
  <si>
    <t>CD_2A04000000_3</t>
  </si>
  <si>
    <t>CD_IJO2A04000000_4</t>
  </si>
  <si>
    <t>CD_2A04000000_4</t>
  </si>
  <si>
    <t>CD_IJO2A04000000_5</t>
  </si>
  <si>
    <t>CD_2A04000000_5</t>
  </si>
  <si>
    <t>CD_IJOZ006800000_1</t>
  </si>
  <si>
    <t>CD_Z006800000_1</t>
  </si>
  <si>
    <t>CD_IJOZ006800000_2</t>
  </si>
  <si>
    <t>CD_Z006800000_2</t>
  </si>
  <si>
    <t>CD_IJOZ006800000_3</t>
  </si>
  <si>
    <t>CD_Z006800000_3</t>
  </si>
  <si>
    <t>CD_IJOZ006800000_4</t>
  </si>
  <si>
    <t>CD_Z006800000_4</t>
  </si>
  <si>
    <t>CD_IJOZ006800000_5</t>
  </si>
  <si>
    <t>CD_Z006800000_5</t>
  </si>
  <si>
    <t>ＧＯＴ      (U/L)</t>
    <phoneticPr fontId="1"/>
  </si>
  <si>
    <t>ＧＰＴ      (U/L)</t>
    <phoneticPr fontId="1"/>
  </si>
  <si>
    <t>ＡＬＰ      (U/L)</t>
    <phoneticPr fontId="1"/>
  </si>
  <si>
    <t>ＬＡＰ      (U/L)</t>
    <phoneticPr fontId="1"/>
  </si>
  <si>
    <t>γ－ＧＴＰ  (U/L)</t>
    <phoneticPr fontId="1"/>
  </si>
  <si>
    <t>ＬＤＨ      (U/L)</t>
    <phoneticPr fontId="1"/>
  </si>
  <si>
    <t>血清ｱﾐﾗｰｾﾞ  (U/L)</t>
    <rPh sb="0" eb="2">
      <t>ケッセイ</t>
    </rPh>
    <phoneticPr fontId="1"/>
  </si>
  <si>
    <t>Na          (mmol/L)</t>
    <phoneticPr fontId="1"/>
  </si>
  <si>
    <t>Ｋ          (mmol/L)</t>
    <phoneticPr fontId="1"/>
  </si>
  <si>
    <t>Cl          (mmol/L)</t>
    <phoneticPr fontId="1"/>
  </si>
  <si>
    <t>CD_IJOZ006900000_1</t>
  </si>
  <si>
    <t>CD_Z006900000_1</t>
  </si>
  <si>
    <t>CD_IJOZ006900000_2</t>
  </si>
  <si>
    <t>CD_Z006900000_2</t>
  </si>
  <si>
    <t>CD_IJOZ006900000_3</t>
  </si>
  <si>
    <t>CD_Z006900000_3</t>
  </si>
  <si>
    <t>CD_IJOZ006900000_4</t>
  </si>
  <si>
    <t>CD_Z006900000_4</t>
  </si>
  <si>
    <t>CD_IJOZ006900000_5</t>
  </si>
  <si>
    <t>CD_Z006900000_5</t>
  </si>
  <si>
    <t>CD_IJOZ007000000_1</t>
  </si>
  <si>
    <t>CD_Z007000000_1</t>
  </si>
  <si>
    <t>CD_IJOZ007000000_2</t>
  </si>
  <si>
    <t>CD_Z007000000_2</t>
  </si>
  <si>
    <t>CD_IJOZ007000000_3</t>
  </si>
  <si>
    <t>CD_Z007000000_3</t>
  </si>
  <si>
    <t>CD_IJOZ007000000_4</t>
  </si>
  <si>
    <t>CD_Z007000000_4</t>
  </si>
  <si>
    <t>CD_IJOZ007000000_5</t>
  </si>
  <si>
    <t>CD_Z007000000_5</t>
  </si>
  <si>
    <t>CD_IJOZ029700000_1</t>
  </si>
  <si>
    <t>CD_Z029700000_1</t>
  </si>
  <si>
    <t>CD_IJOZ029700000_2</t>
  </si>
  <si>
    <t>CD_Z029700000_2</t>
  </si>
  <si>
    <t>CD_IJOZ029700000_3</t>
  </si>
  <si>
    <t>CD_Z029700000_3</t>
  </si>
  <si>
    <t>CD_IJOZ029700000_4</t>
  </si>
  <si>
    <t>CD_Z029700000_4</t>
  </si>
  <si>
    <t>CD_IJOZ029700000_5</t>
  </si>
  <si>
    <t>CD_Z029700000_5</t>
  </si>
  <si>
    <t>CD_IJO2A05000000_1</t>
  </si>
  <si>
    <t>CD_2A05000000_1</t>
  </si>
  <si>
    <t>CD_IJO2A05000000_2</t>
  </si>
  <si>
    <t>CD_2A05000000_2</t>
  </si>
  <si>
    <t>CD_IJO2A05000000_3</t>
  </si>
  <si>
    <t>CD_2A05000000_3</t>
  </si>
  <si>
    <t>CD_IJO2A05000000_4</t>
  </si>
  <si>
    <t>CD_2A05000000_4</t>
  </si>
  <si>
    <t>CD_IJO2A05000000_5</t>
  </si>
  <si>
    <t>CD_2A05000000_5</t>
  </si>
  <si>
    <t>CD_IJO1A02000000_1</t>
  </si>
  <si>
    <t>CD_1A02000000_1</t>
  </si>
  <si>
    <t>CD_IJO1A02000000_2</t>
  </si>
  <si>
    <t>CD_1A02000000_2</t>
  </si>
  <si>
    <t>CD_IJO1A02000000_3</t>
  </si>
  <si>
    <t>CD_1A02000000_3</t>
  </si>
  <si>
    <t>CD_IJO1A02000000_4</t>
  </si>
  <si>
    <t>CD_1A02000000_4</t>
  </si>
  <si>
    <t>CD_IJO1A02000000_5</t>
  </si>
  <si>
    <t>CD_1A02000000_5</t>
  </si>
  <si>
    <t>CD_IJO1A01000000_1</t>
  </si>
  <si>
    <t>CD_1A01000000_1</t>
  </si>
  <si>
    <t>CD_IJO1A01000000_2</t>
  </si>
  <si>
    <t>CD_1A01000000_2</t>
  </si>
  <si>
    <t>CD_IJO1A01000000_3</t>
  </si>
  <si>
    <t>CD_1A01000000_3</t>
  </si>
  <si>
    <t>CD_IJO1A01000000_4</t>
  </si>
  <si>
    <t>CD_1A01000000_4</t>
  </si>
  <si>
    <t>CD_IJO1A01000000_5</t>
  </si>
  <si>
    <t>CD_1A01000000_5</t>
  </si>
  <si>
    <t>CD_IJO1A10000000_1</t>
  </si>
  <si>
    <t>CD_1A10000000_1</t>
  </si>
  <si>
    <t>CD_IJO1A10000000_2</t>
  </si>
  <si>
    <t>CD_1A10000000_2</t>
  </si>
  <si>
    <t>CD_IJO1A10000000_3</t>
  </si>
  <si>
    <t>CD_1A10000000_3</t>
  </si>
  <si>
    <t>CD_IJO1A10000000_4</t>
  </si>
  <si>
    <t>CD_1A10000000_4</t>
  </si>
  <si>
    <t>CD_IJO1A10000000_5</t>
  </si>
  <si>
    <t>CD_1A10000000_5</t>
  </si>
  <si>
    <t>CD_IJOZ001000000_1</t>
  </si>
  <si>
    <t>CD_Z001000000_1</t>
  </si>
  <si>
    <t>CD_IJOZ001000000_2</t>
  </si>
  <si>
    <t>CD_Z001000000_2</t>
  </si>
  <si>
    <t>CD_IJOZ001000000_3</t>
  </si>
  <si>
    <t>CD_Z001000000_3</t>
  </si>
  <si>
    <t>CD_IJOZ001000000_4</t>
  </si>
  <si>
    <t>CD_Z001000000_4</t>
  </si>
  <si>
    <t>CD_IJOZ001000000_5</t>
  </si>
  <si>
    <t>CD_IJO9A75100000_1</t>
  </si>
  <si>
    <t>CD_IJO9A75100000_2</t>
  </si>
  <si>
    <t>CD_9A75100000_2</t>
  </si>
  <si>
    <t>CD_IJO9A75100000_3</t>
  </si>
  <si>
    <t>CD_9A75100000_3</t>
  </si>
  <si>
    <t>CD_IJO9A75100000_4</t>
  </si>
  <si>
    <t>CD_9A75100000_4</t>
  </si>
  <si>
    <t>CD_IJO9A75100000_5</t>
  </si>
  <si>
    <t>CD_9A75100000_5</t>
  </si>
  <si>
    <t>CD_IJO9A76100000_1</t>
  </si>
  <si>
    <t>CD_9A76100000_1</t>
  </si>
  <si>
    <t>CD_IJO9A76100000_2</t>
  </si>
  <si>
    <t>CD_9A76100000_2</t>
  </si>
  <si>
    <t>CD_IJO9A76100000_3</t>
  </si>
  <si>
    <t>CD_9A76100000_3</t>
  </si>
  <si>
    <t>CD_IJO9A76100000_4</t>
  </si>
  <si>
    <t>CD_9A76100000_4</t>
  </si>
  <si>
    <t>CD_IJO9A76100000_5</t>
  </si>
  <si>
    <t>CD_9A76100000_5</t>
  </si>
  <si>
    <t>CD_IJOZ000400000_1</t>
  </si>
  <si>
    <t>CD_Z000400000_1</t>
  </si>
  <si>
    <t>CD_IJOZ000400000_2</t>
  </si>
  <si>
    <t>CD_Z000400000_2</t>
  </si>
  <si>
    <t>CD_IJOZ000400000_3</t>
  </si>
  <si>
    <t>CD_Z000400000_3</t>
  </si>
  <si>
    <t>CD_IJOZ000400000_4</t>
  </si>
  <si>
    <t>CD_Z000400000_4</t>
  </si>
  <si>
    <t>CD_IJOZ000400000_5</t>
  </si>
  <si>
    <t>CD_Z000400000_5</t>
  </si>
  <si>
    <t>CD_IJO9N00100000_1</t>
  </si>
  <si>
    <t>CD_9N00100000_1</t>
  </si>
  <si>
    <t>CD_IJO9N00100000_2</t>
  </si>
  <si>
    <t>CD_9N00100000_2</t>
  </si>
  <si>
    <t>CD_IJO9N00100000_3</t>
  </si>
  <si>
    <t>CD_9N00100000_3</t>
  </si>
  <si>
    <t>CD_IJO9N00100000_4</t>
  </si>
  <si>
    <t>CD_9N00100000_4</t>
  </si>
  <si>
    <t>CD_IJO9N00100000_5</t>
  </si>
  <si>
    <t>CD_9N00100000_5</t>
  </si>
  <si>
    <t>CD_IJO9N00600000_1</t>
  </si>
  <si>
    <t>CD_9N00600000_1</t>
  </si>
  <si>
    <t>CD_IJO9N00600000_2</t>
  </si>
  <si>
    <t>CD_9N00600000_2</t>
  </si>
  <si>
    <t>CD_IJO9N00600000_3</t>
  </si>
  <si>
    <t>CD_9N00600000_3</t>
  </si>
  <si>
    <t>CD_IJO9N00600000_4</t>
  </si>
  <si>
    <t>CD_9N00600000_4</t>
  </si>
  <si>
    <t>CD_IJO9N00600000_5</t>
  </si>
  <si>
    <t>CD_9N00600000_5</t>
  </si>
  <si>
    <t>CD_IJOZ000200000_1</t>
  </si>
  <si>
    <t>CD_Z000200000_1</t>
  </si>
  <si>
    <t>CD_IJOZ000200000_2</t>
  </si>
  <si>
    <t>CD_Z000200000_2</t>
  </si>
  <si>
    <t>CD_IJOZ000200000_3</t>
  </si>
  <si>
    <t>CD_Z000200000_3</t>
  </si>
  <si>
    <t>CD_IJOZ000200000_4</t>
  </si>
  <si>
    <t>CD_Z000200000_4</t>
  </si>
  <si>
    <t>CD_IJOZ000200000_5</t>
  </si>
  <si>
    <t>CD_Z000200000_5</t>
  </si>
  <si>
    <t>CD_IJO9N01100000_1</t>
  </si>
  <si>
    <t>CD_9N01100000_1</t>
  </si>
  <si>
    <t>CD_IJO9N01100000_2</t>
  </si>
  <si>
    <t>CD_9N01100000_2</t>
  </si>
  <si>
    <t>CD_IJO9N01100000_3</t>
  </si>
  <si>
    <t>CD_9N01100000_3</t>
  </si>
  <si>
    <t>CD_IJO9N01100000_4</t>
  </si>
  <si>
    <t>CD_9N01100000_4</t>
  </si>
  <si>
    <t>CD_IJO9N01100000_5</t>
  </si>
  <si>
    <t>CD_9N01100000_5</t>
  </si>
  <si>
    <t>CD_IJO9N02600000_1</t>
  </si>
  <si>
    <t>CD_9N02600000_1</t>
  </si>
  <si>
    <t>CD_IJO9N02600000_2</t>
  </si>
  <si>
    <t>CD_9N02600000_2</t>
  </si>
  <si>
    <t>CD_IJO9N02600000_3</t>
  </si>
  <si>
    <t>CD_9N02600000_3</t>
  </si>
  <si>
    <t>CD_IJO9N02600000_4</t>
  </si>
  <si>
    <t>CD_9N02600000_4</t>
  </si>
  <si>
    <t>CD_IJO9N02600000_5</t>
  </si>
  <si>
    <t>CD_9N02600000_5</t>
  </si>
  <si>
    <t>CD_IJOZ000300000_1</t>
  </si>
  <si>
    <t>CD_Z000300000_1</t>
  </si>
  <si>
    <t>CD_IJOZ000300000_2</t>
  </si>
  <si>
    <t>CD_Z000300000_2</t>
  </si>
  <si>
    <t>CD_IJOZ000300000_3</t>
  </si>
  <si>
    <t>CD_Z000300000_3</t>
  </si>
  <si>
    <t>CD_IJOZ000300000_4</t>
  </si>
  <si>
    <t>CD_Z000300000_4</t>
  </si>
  <si>
    <t>CD_IJOZ000300000_5</t>
  </si>
  <si>
    <t>CD_Z000300000_5</t>
  </si>
  <si>
    <t>CD_100_0100100000_1</t>
  </si>
  <si>
    <t>CD_100_0100100000_2</t>
  </si>
  <si>
    <t>CD_100_0100100000_3</t>
  </si>
  <si>
    <t>CD_100_0100100000_4</t>
  </si>
  <si>
    <t>CD_100_0100100000_5</t>
  </si>
  <si>
    <t>CD_100_0100200000_1</t>
  </si>
  <si>
    <t>CD_100_0100200000_2</t>
  </si>
  <si>
    <t>CD_100_0100200000_3</t>
  </si>
  <si>
    <t>CD_100_0100200000_4</t>
  </si>
  <si>
    <t>CD_100_0100200000_5</t>
  </si>
  <si>
    <t>CD_IJO9N01616010_1</t>
  </si>
  <si>
    <t>CD_9N01616010_1</t>
  </si>
  <si>
    <t>CD_IJO9N01616010_2</t>
  </si>
  <si>
    <t>CD_9N01616010_2</t>
  </si>
  <si>
    <t>CD_IJO9N01616010_3</t>
  </si>
  <si>
    <t>CD_9N01616010_3</t>
  </si>
  <si>
    <t>CD_IJO9N01616010_4</t>
  </si>
  <si>
    <t>CD_9N01616010_4</t>
  </si>
  <si>
    <t>CD_IJO9N01616010_5</t>
  </si>
  <si>
    <t>CD_9N01616010_5</t>
  </si>
  <si>
    <t>CD_IJOZ000800000_1</t>
  </si>
  <si>
    <t>CD_Z000800000_1</t>
  </si>
  <si>
    <t>CD_IJOZ000800000_2</t>
  </si>
  <si>
    <t>CD_Z000800000_2</t>
  </si>
  <si>
    <t>CD_IJOZ000800000_3</t>
  </si>
  <si>
    <t>CD_Z000800000_3</t>
  </si>
  <si>
    <t>CD_IJOZ000800000_4</t>
  </si>
  <si>
    <t>CD_Z000800000_4</t>
  </si>
  <si>
    <t>CD_IJOZ000800000_5</t>
  </si>
  <si>
    <t>CD_Z000800000_5</t>
  </si>
  <si>
    <t>CD_020_0100400000_S</t>
  </si>
  <si>
    <t>CD_020_0100500000_S</t>
  </si>
  <si>
    <t>CD_020_0100200000_S</t>
  </si>
  <si>
    <t>CD_020_0100300000_S</t>
  </si>
  <si>
    <t>CD_020_0100600000_S</t>
  </si>
  <si>
    <t>CD_020_IJO0100400000_S</t>
  </si>
  <si>
    <t>CD_020_IJO0100200000_S</t>
  </si>
  <si>
    <t>CD_100_0100300000_1</t>
  </si>
  <si>
    <t>CD_100_0100300000_2</t>
  </si>
  <si>
    <t>CD_100_0100300000_3</t>
  </si>
  <si>
    <t>CD_100_0100300000_4</t>
  </si>
  <si>
    <t>CD_100_0100300000_5</t>
  </si>
  <si>
    <t>CD_070_0100300000_2</t>
  </si>
  <si>
    <t>CD_070_0100300000_3</t>
  </si>
  <si>
    <t>CD_070_0100300000_4</t>
  </si>
  <si>
    <t>CD_070_0100300000_5</t>
  </si>
  <si>
    <t>☆平成２５年４月より、HbA1cの値を国際基準の「NGSP」で表記するようになりました。</t>
  </si>
  <si>
    <t>メタボ判定2</t>
    <phoneticPr fontId="1"/>
  </si>
  <si>
    <t>メタボ判定3</t>
    <phoneticPr fontId="1"/>
  </si>
  <si>
    <t>メタボ判定4</t>
    <phoneticPr fontId="1"/>
  </si>
  <si>
    <t>メタボ判定5</t>
    <phoneticPr fontId="1"/>
  </si>
  <si>
    <t>喀痰受診日1</t>
    <rPh sb="0" eb="2">
      <t>カクタン</t>
    </rPh>
    <rPh sb="2" eb="4">
      <t>ジュシン</t>
    </rPh>
    <rPh sb="4" eb="5">
      <t>ビ</t>
    </rPh>
    <phoneticPr fontId="1"/>
  </si>
  <si>
    <t>喀痰結果1</t>
    <phoneticPr fontId="1"/>
  </si>
  <si>
    <t>喀痰受診日2</t>
    <rPh sb="0" eb="2">
      <t>カクタン</t>
    </rPh>
    <rPh sb="2" eb="4">
      <t>ジュシン</t>
    </rPh>
    <rPh sb="4" eb="5">
      <t>ビ</t>
    </rPh>
    <phoneticPr fontId="1"/>
  </si>
  <si>
    <t>喀痰受診日3</t>
    <rPh sb="0" eb="2">
      <t>カクタン</t>
    </rPh>
    <rPh sb="2" eb="4">
      <t>ジュシン</t>
    </rPh>
    <rPh sb="4" eb="5">
      <t>ビ</t>
    </rPh>
    <phoneticPr fontId="1"/>
  </si>
  <si>
    <t>喀痰受診日4</t>
    <rPh sb="0" eb="2">
      <t>カクタン</t>
    </rPh>
    <rPh sb="2" eb="4">
      <t>ジュシン</t>
    </rPh>
    <rPh sb="4" eb="5">
      <t>ビ</t>
    </rPh>
    <phoneticPr fontId="1"/>
  </si>
  <si>
    <t>喀痰受診日5</t>
    <rPh sb="0" eb="2">
      <t>カクタン</t>
    </rPh>
    <rPh sb="2" eb="4">
      <t>ジュシン</t>
    </rPh>
    <rPh sb="4" eb="5">
      <t>ビ</t>
    </rPh>
    <phoneticPr fontId="1"/>
  </si>
  <si>
    <t>喀痰結果2</t>
  </si>
  <si>
    <t>喀痰結果3</t>
  </si>
  <si>
    <t>喀痰結果4</t>
  </si>
  <si>
    <t>喀痰結果5</t>
  </si>
  <si>
    <t>裏面へ続く→</t>
    <phoneticPr fontId="1"/>
  </si>
  <si>
    <t>その他症状</t>
    <rPh sb="2" eb="3">
      <t>タ</t>
    </rPh>
    <rPh sb="3" eb="5">
      <t>ショウジョウ</t>
    </rPh>
    <phoneticPr fontId="1"/>
  </si>
  <si>
    <t>項目19</t>
    <phoneticPr fontId="1"/>
  </si>
  <si>
    <t>指導及び意見19</t>
    <phoneticPr fontId="1"/>
  </si>
  <si>
    <t>項目20</t>
    <phoneticPr fontId="1"/>
  </si>
  <si>
    <t>指導及び意見20</t>
    <phoneticPr fontId="1"/>
  </si>
  <si>
    <t>腎機能</t>
    <rPh sb="0" eb="3">
      <t>ジンキノウ</t>
    </rPh>
    <phoneticPr fontId="1"/>
  </si>
  <si>
    <t>CD_8A06500000_1</t>
    <phoneticPr fontId="1"/>
  </si>
  <si>
    <t>CD_IJO8A06500000_1</t>
    <phoneticPr fontId="1"/>
  </si>
  <si>
    <t>CD_IJO8A06500000_2</t>
    <phoneticPr fontId="1"/>
  </si>
  <si>
    <t>CD_8A06500000_2</t>
    <phoneticPr fontId="1"/>
  </si>
  <si>
    <t>CD_IJO8A06500000_3</t>
    <phoneticPr fontId="1"/>
  </si>
  <si>
    <t>CD_8A06500000_3</t>
    <phoneticPr fontId="1"/>
  </si>
  <si>
    <t>CD_IJO8A06500000_4</t>
    <phoneticPr fontId="1"/>
  </si>
  <si>
    <t>CD_8A06500000_4</t>
    <phoneticPr fontId="1"/>
  </si>
  <si>
    <t>CD_IJO8A06500000_5</t>
    <phoneticPr fontId="1"/>
  </si>
  <si>
    <t>CD_8A06500000_5</t>
    <phoneticPr fontId="1"/>
  </si>
  <si>
    <t>CD_070_0100300000_1</t>
    <phoneticPr fontId="1"/>
  </si>
  <si>
    <t>CD_IJOZ001900000_1</t>
    <phoneticPr fontId="1"/>
  </si>
  <si>
    <t>推算GFR(eGFR) (mL/min)</t>
    <phoneticPr fontId="1"/>
  </si>
  <si>
    <t>整理番号_健診閲覧コード</t>
    <rPh sb="0" eb="2">
      <t>セイリ</t>
    </rPh>
    <rPh sb="2" eb="4">
      <t>バンゴウ</t>
    </rPh>
    <rPh sb="5" eb="7">
      <t>ケンシン</t>
    </rPh>
    <rPh sb="7" eb="9">
      <t>エツラン</t>
    </rPh>
    <phoneticPr fontId="1"/>
  </si>
  <si>
    <t>郵便番号_健診閲覧コード</t>
  </si>
  <si>
    <t>住所_健診閲覧コード</t>
  </si>
  <si>
    <t>方書_健診閲覧コード</t>
  </si>
  <si>
    <t>氏名_健診閲覧コード</t>
  </si>
  <si>
    <t>生年月日_健診閲覧コード</t>
    <rPh sb="0" eb="2">
      <t>セイネン</t>
    </rPh>
    <rPh sb="2" eb="4">
      <t>ガッピ</t>
    </rPh>
    <phoneticPr fontId="1"/>
  </si>
  <si>
    <t>年齢_健診閲覧コード</t>
  </si>
  <si>
    <t>性別_健診閲覧コード</t>
  </si>
  <si>
    <t>受診番号_健診閲覧コード</t>
  </si>
  <si>
    <t>組合名_健診閲覧コード</t>
  </si>
  <si>
    <t>世帯主氏名_健診閲覧コード</t>
  </si>
  <si>
    <t>行政区CD_健診閲覧コード</t>
  </si>
  <si>
    <t>行政区_健診閲覧コード</t>
  </si>
  <si>
    <t>健診閲覧コード_健診閲覧コード</t>
    <rPh sb="0" eb="2">
      <t>ケンシン</t>
    </rPh>
    <rPh sb="2" eb="4">
      <t>エツラン</t>
    </rPh>
    <phoneticPr fontId="1"/>
  </si>
  <si>
    <t>タイトル1_健診閲覧コード</t>
  </si>
  <si>
    <t>タイトル2_健診閲覧コード</t>
  </si>
  <si>
    <t>文章1_健診閲覧コード</t>
    <rPh sb="0" eb="2">
      <t>ブンショウ</t>
    </rPh>
    <phoneticPr fontId="1"/>
  </si>
  <si>
    <t>文章2_健診閲覧コード</t>
    <rPh sb="0" eb="2">
      <t>ブンショウ</t>
    </rPh>
    <phoneticPr fontId="1"/>
  </si>
  <si>
    <t>文章3_健診閲覧コード</t>
    <rPh sb="0" eb="2">
      <t>ブンショウ</t>
    </rPh>
    <phoneticPr fontId="1"/>
  </si>
  <si>
    <t>文章4_健診閲覧コード</t>
    <rPh sb="0" eb="2">
      <t>ブンショウ</t>
    </rPh>
    <phoneticPr fontId="1"/>
  </si>
  <si>
    <t>文章5_健診閲覧コード</t>
    <rPh sb="0" eb="2">
      <t>ブンショウ</t>
    </rPh>
    <phoneticPr fontId="1"/>
  </si>
  <si>
    <t>文章6_健診閲覧コード</t>
    <rPh sb="0" eb="2">
      <t>ブンショウ</t>
    </rPh>
    <phoneticPr fontId="1"/>
  </si>
  <si>
    <t>文章7_健診閲覧コード</t>
    <rPh sb="0" eb="2">
      <t>ブンショウ</t>
    </rPh>
    <phoneticPr fontId="1"/>
  </si>
  <si>
    <t>文章8_健診閲覧コード</t>
    <rPh sb="0" eb="2">
      <t>ブンショウ</t>
    </rPh>
    <phoneticPr fontId="1"/>
  </si>
  <si>
    <t>文章9_健診閲覧コード</t>
    <rPh sb="0" eb="2">
      <t>ブンショウ</t>
    </rPh>
    <phoneticPr fontId="1"/>
  </si>
  <si>
    <t>文章10_健診閲覧コード</t>
    <rPh sb="0" eb="2">
      <t>ブンショウ</t>
    </rPh>
    <phoneticPr fontId="1"/>
  </si>
  <si>
    <t>文章11_健診閲覧コード</t>
    <rPh sb="0" eb="2">
      <t>ブンショウ</t>
    </rPh>
    <phoneticPr fontId="1"/>
  </si>
  <si>
    <t>胃検査方法1</t>
    <phoneticPr fontId="1"/>
  </si>
  <si>
    <t>胃検査方法2</t>
  </si>
  <si>
    <t>胃検査方法3</t>
  </si>
  <si>
    <t>胃検査方法4</t>
  </si>
  <si>
    <t>胃検査方法5</t>
  </si>
  <si>
    <t>令和05年07月04日</t>
    <phoneticPr fontId="2"/>
  </si>
  <si>
    <t>3</t>
    <phoneticPr fontId="2"/>
  </si>
  <si>
    <t>00000370550</t>
    <phoneticPr fontId="2"/>
  </si>
  <si>
    <t>相川　愛良</t>
    <phoneticPr fontId="2"/>
  </si>
  <si>
    <t>大正08年01月11日生</t>
    <phoneticPr fontId="2"/>
  </si>
  <si>
    <t>女</t>
    <phoneticPr fontId="2"/>
  </si>
  <si>
    <t>R02.01.01</t>
    <phoneticPr fontId="2"/>
  </si>
  <si>
    <t>00001315496</t>
    <phoneticPr fontId="2"/>
  </si>
  <si>
    <t>昭和41年05月27日生</t>
    <phoneticPr fontId="2"/>
  </si>
  <si>
    <t>＋</t>
    <phoneticPr fontId="2"/>
  </si>
  <si>
    <t>※</t>
    <phoneticPr fontId="2"/>
  </si>
  <si>
    <t>00002117876</t>
    <phoneticPr fontId="2"/>
  </si>
  <si>
    <t>相川　愛咲</t>
    <phoneticPr fontId="2"/>
  </si>
  <si>
    <t>昭和54年12月11日生</t>
    <phoneticPr fontId="2"/>
  </si>
  <si>
    <t>00005469332</t>
    <phoneticPr fontId="2"/>
  </si>
  <si>
    <t>昭和50年03月31日生</t>
    <phoneticPr fontId="2"/>
  </si>
  <si>
    <t>00012345678</t>
    <phoneticPr fontId="2"/>
  </si>
  <si>
    <t>牟礼　太郎</t>
    <phoneticPr fontId="2"/>
  </si>
  <si>
    <t>平成04年09月27日生</t>
    <phoneticPr fontId="2"/>
  </si>
  <si>
    <t>男</t>
    <phoneticPr fontId="2"/>
  </si>
  <si>
    <t>±</t>
    <phoneticPr fontId="2"/>
  </si>
  <si>
    <t>00002230397</t>
    <phoneticPr fontId="2"/>
  </si>
  <si>
    <t>藤岡　亜美</t>
    <phoneticPr fontId="2"/>
  </si>
  <si>
    <t>昭和56年04月02日生</t>
    <phoneticPr fontId="2"/>
  </si>
  <si>
    <t>R02.06.01</t>
    <phoneticPr fontId="2"/>
  </si>
  <si>
    <t>４＋</t>
    <phoneticPr fontId="2"/>
  </si>
  <si>
    <t>３＋</t>
    <phoneticPr fontId="2"/>
  </si>
  <si>
    <t>２＋</t>
    <phoneticPr fontId="2"/>
  </si>
  <si>
    <t>判定保留</t>
    <phoneticPr fontId="2"/>
  </si>
  <si>
    <t>6</t>
    <phoneticPr fontId="2"/>
  </si>
  <si>
    <t>**基準値09123</t>
    <phoneticPr fontId="1"/>
  </si>
  <si>
    <t>**氏名</t>
    <rPh sb="2" eb="4">
      <t>シメイ</t>
    </rPh>
    <phoneticPr fontId="1"/>
  </si>
  <si>
    <t>**名称</t>
    <rPh sb="2" eb="4">
      <t>メイショウ</t>
    </rPh>
    <phoneticPr fontId="1"/>
  </si>
  <si>
    <t>＊＊値</t>
    <rPh sb="2" eb="3">
      <t>アタイ</t>
    </rPh>
    <phoneticPr fontId="1"/>
  </si>
  <si>
    <t>**年度</t>
    <rPh sb="2" eb="4">
      <t>ネンド</t>
    </rPh>
    <phoneticPr fontId="1"/>
  </si>
  <si>
    <t>**実施日</t>
    <rPh sb="2" eb="5">
      <t>ジッシビ</t>
    </rPh>
    <phoneticPr fontId="1"/>
  </si>
  <si>
    <t>**受診番号</t>
    <rPh sb="2" eb="4">
      <t>ジュシン</t>
    </rPh>
    <rPh sb="4" eb="6">
      <t>バンゴウ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</si>
</sst>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[$-411]ggge&quot;年&quot;m&quot;月&quot;d&quot;日&quot;;@"/>
    <numFmt numFmtId="177" formatCode="0_ "/>
    <numFmt numFmtId="178" formatCode="0.0_ "/>
    <numFmt numFmtId="179" formatCode="0.00_ "/>
    <numFmt numFmtId="180" formatCode="0_);[Red]\(0\)"/>
    <numFmt numFmtId="181" formatCode="0.0_);[Red]\(0.0\)"/>
    <numFmt numFmtId="182" formatCode="[$-411]gee&quot;.&quot;mm&quot;.&quot;dd;@"/>
    <numFmt numFmtId="183" formatCode="[$-411]gggee&quot;年&quot;mm&quot;月&quot;dd&quot;日&quot;;@"/>
    <numFmt numFmtId="184" formatCode="0.000_);[Red]\(0.000\)"/>
    <numFmt numFmtId="185" formatCode="0.000_ "/>
  </numFmts>
  <fonts count="2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明朝"/>
      <family val="1"/>
      <charset val="128"/>
    </font>
    <font>
      <sz val="10"/>
      <color indexed="8"/>
      <name val="ＭＳ 明朝"/>
      <family val="1"/>
      <charset val="128"/>
    </font>
    <font>
      <sz val="10.5"/>
      <color indexed="8"/>
      <name val="ＭＳ 明朝"/>
      <family val="1"/>
      <charset val="128"/>
    </font>
    <font>
      <sz val="12"/>
      <color indexed="8"/>
      <name val="ＭＳ 明朝"/>
      <family val="1"/>
      <charset val="128"/>
    </font>
    <font>
      <sz val="14"/>
      <color indexed="8"/>
      <name val="ＭＳ 明朝"/>
      <family val="1"/>
      <charset val="128"/>
    </font>
    <font>
      <sz val="16"/>
      <color indexed="8"/>
      <name val="ＭＳ 明朝"/>
      <family val="1"/>
      <charset val="128"/>
    </font>
    <font>
      <sz val="9"/>
      <color indexed="8"/>
      <name val="ＭＳ 明朝"/>
      <family val="1"/>
      <charset val="128"/>
    </font>
    <font>
      <sz val="10"/>
      <name val="ＭＳ 明朝"/>
      <family val="1"/>
      <charset val="128"/>
    </font>
    <font>
      <sz val="11"/>
      <name val="ＭＳ 明朝"/>
      <family val="1"/>
      <charset val="128"/>
    </font>
    <font>
      <sz val="12"/>
      <name val="ＭＳ 明朝"/>
      <family val="1"/>
      <charset val="128"/>
    </font>
    <font>
      <sz val="10.5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2"/>
      <name val="ＭＳ 明朝"/>
      <family val="1"/>
      <charset val="128"/>
    </font>
    <font>
      <b/>
      <sz val="10"/>
      <name val="ＭＳ 明朝"/>
      <family val="1"/>
      <charset val="128"/>
    </font>
    <font>
      <b/>
      <sz val="11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16"/>
      <color indexed="8"/>
      <name val="ＭＳ 明朝"/>
      <family val="1"/>
      <charset val="128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9CCFF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12">
    <xf numFmtId="0" fontId="0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359">
    <xf numFmtId="0" fontId="0" fillId="0" borderId="0" xfId="0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>
      <alignment vertical="center"/>
    </xf>
    <xf numFmtId="0" fontId="12" fillId="0" borderId="0" xfId="0" applyFont="1">
      <alignment vertical="center"/>
    </xf>
    <xf numFmtId="0" fontId="4" fillId="0" borderId="0" xfId="0" applyFont="1">
      <alignment vertical="center"/>
    </xf>
    <xf numFmtId="0" fontId="13" fillId="0" borderId="0" xfId="0" applyFo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77" fontId="8" fillId="0" borderId="5" xfId="0" applyNumberFormat="1" applyFont="1" applyBorder="1" applyAlignment="1">
      <alignment horizontal="right" vertical="center"/>
    </xf>
    <xf numFmtId="0" fontId="8" fillId="3" borderId="6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shrinkToFit="1"/>
    </xf>
    <xf numFmtId="0" fontId="8" fillId="0" borderId="5" xfId="0" applyFont="1" applyBorder="1" applyAlignment="1">
      <alignment horizontal="left" vertical="center" shrinkToFit="1"/>
    </xf>
    <xf numFmtId="177" fontId="8" fillId="0" borderId="7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 shrinkToFit="1"/>
    </xf>
    <xf numFmtId="178" fontId="8" fillId="0" borderId="7" xfId="0" applyNumberFormat="1" applyFont="1" applyBorder="1" applyAlignment="1">
      <alignment horizontal="right" vertical="center"/>
    </xf>
    <xf numFmtId="179" fontId="8" fillId="0" borderId="7" xfId="0" applyNumberFormat="1" applyFont="1" applyBorder="1" applyAlignment="1">
      <alignment horizontal="right" vertical="center"/>
    </xf>
    <xf numFmtId="180" fontId="8" fillId="0" borderId="7" xfId="0" applyNumberFormat="1" applyFont="1" applyBorder="1" applyAlignment="1">
      <alignment horizontal="right" vertical="center"/>
    </xf>
    <xf numFmtId="177" fontId="8" fillId="0" borderId="7" xfId="0" applyNumberFormat="1" applyFont="1" applyBorder="1" applyAlignment="1">
      <alignment horizontal="right" vertical="center"/>
    </xf>
    <xf numFmtId="181" fontId="8" fillId="0" borderId="7" xfId="0" applyNumberFormat="1" applyFont="1" applyBorder="1" applyAlignment="1">
      <alignment horizontal="right" vertical="center"/>
    </xf>
    <xf numFmtId="0" fontId="8" fillId="0" borderId="9" xfId="0" applyFont="1" applyBorder="1" applyAlignment="1">
      <alignment vertical="center" shrinkToFit="1"/>
    </xf>
    <xf numFmtId="0" fontId="8" fillId="0" borderId="10" xfId="0" applyFont="1" applyBorder="1" applyAlignment="1">
      <alignment horizontal="center" vertical="center"/>
    </xf>
    <xf numFmtId="0" fontId="8" fillId="0" borderId="3" xfId="0" applyFont="1" applyBorder="1" applyAlignment="1">
      <alignment vertical="center" shrinkToFit="1"/>
    </xf>
    <xf numFmtId="0" fontId="8" fillId="0" borderId="11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shrinkToFit="1"/>
    </xf>
    <xf numFmtId="0" fontId="8" fillId="0" borderId="12" xfId="0" applyFont="1" applyBorder="1" applyAlignment="1">
      <alignment horizontal="left" vertical="center" shrinkToFit="1"/>
    </xf>
    <xf numFmtId="0" fontId="8" fillId="0" borderId="13" xfId="0" applyFont="1" applyBorder="1" applyAlignment="1">
      <alignment horizontal="left" vertical="center" shrinkToFit="1"/>
    </xf>
    <xf numFmtId="0" fontId="8" fillId="3" borderId="13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8" fillId="0" borderId="10" xfId="0" applyFont="1" applyBorder="1" applyAlignment="1">
      <alignment horizontal="left" vertical="center" shrinkToFit="1"/>
    </xf>
    <xf numFmtId="177" fontId="8" fillId="0" borderId="14" xfId="0" applyNumberFormat="1" applyFont="1" applyBorder="1" applyAlignment="1">
      <alignment horizontal="right" vertical="center"/>
    </xf>
    <xf numFmtId="0" fontId="8" fillId="0" borderId="11" xfId="0" applyFont="1" applyBorder="1" applyAlignment="1">
      <alignment horizontal="left" vertical="center" shrinkToFit="1"/>
    </xf>
    <xf numFmtId="177" fontId="8" fillId="0" borderId="15" xfId="0" applyNumberFormat="1" applyFont="1" applyBorder="1" applyAlignment="1">
      <alignment horizontal="right" vertical="center"/>
    </xf>
    <xf numFmtId="0" fontId="8" fillId="0" borderId="6" xfId="0" quotePrefix="1" applyFont="1" applyBorder="1" applyAlignment="1">
      <alignment horizontal="left" vertical="center" shrinkToFit="1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left" vertical="center"/>
    </xf>
    <xf numFmtId="0" fontId="8" fillId="2" borderId="18" xfId="0" applyFont="1" applyFill="1" applyBorder="1" applyAlignment="1">
      <alignment horizontal="center" vertical="center" shrinkToFit="1"/>
    </xf>
    <xf numFmtId="0" fontId="8" fillId="0" borderId="19" xfId="0" applyFont="1" applyBorder="1" applyAlignment="1">
      <alignment horizontal="center" vertical="center" shrinkToFit="1"/>
    </xf>
    <xf numFmtId="0" fontId="8" fillId="0" borderId="8" xfId="0" applyFont="1" applyBorder="1" applyAlignment="1">
      <alignment horizontal="center" vertical="center" shrinkToFit="1"/>
    </xf>
    <xf numFmtId="0" fontId="8" fillId="0" borderId="6" xfId="0" applyFont="1" applyBorder="1" applyAlignment="1">
      <alignment horizontal="center" vertical="center" shrinkToFit="1"/>
    </xf>
    <xf numFmtId="0" fontId="8" fillId="0" borderId="20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8" fillId="0" borderId="21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0" xfId="0" applyFont="1">
      <alignment vertical="center"/>
    </xf>
    <xf numFmtId="179" fontId="8" fillId="3" borderId="7" xfId="0" applyNumberFormat="1" applyFont="1" applyFill="1" applyBorder="1" applyAlignment="1">
      <alignment horizontal="right" vertical="center"/>
    </xf>
    <xf numFmtId="0" fontId="8" fillId="0" borderId="22" xfId="0" applyFont="1" applyBorder="1" applyAlignment="1">
      <alignment horizontal="center" vertical="center"/>
    </xf>
    <xf numFmtId="181" fontId="8" fillId="3" borderId="13" xfId="0" applyNumberFormat="1" applyFont="1" applyFill="1" applyBorder="1" applyAlignment="1">
      <alignment horizontal="center" vertical="center"/>
    </xf>
    <xf numFmtId="181" fontId="8" fillId="3" borderId="6" xfId="0" applyNumberFormat="1" applyFont="1" applyFill="1" applyBorder="1" applyAlignment="1">
      <alignment horizontal="center" vertical="center"/>
    </xf>
    <xf numFmtId="181" fontId="8" fillId="0" borderId="22" xfId="0" applyNumberFormat="1" applyFont="1" applyBorder="1" applyAlignment="1">
      <alignment horizontal="right" vertical="center"/>
    </xf>
    <xf numFmtId="177" fontId="8" fillId="3" borderId="6" xfId="0" applyNumberFormat="1" applyFont="1" applyFill="1" applyBorder="1" applyAlignment="1">
      <alignment horizontal="center" vertical="center"/>
    </xf>
    <xf numFmtId="178" fontId="8" fillId="0" borderId="22" xfId="0" applyNumberFormat="1" applyFont="1" applyBorder="1" applyAlignment="1">
      <alignment horizontal="right" vertical="center"/>
    </xf>
    <xf numFmtId="177" fontId="8" fillId="0" borderId="22" xfId="0" applyNumberFormat="1" applyFont="1" applyBorder="1" applyAlignment="1">
      <alignment horizontal="right" vertical="center"/>
    </xf>
    <xf numFmtId="178" fontId="8" fillId="3" borderId="6" xfId="0" applyNumberFormat="1" applyFont="1" applyFill="1" applyBorder="1" applyAlignment="1">
      <alignment horizontal="center" vertical="center"/>
    </xf>
    <xf numFmtId="177" fontId="8" fillId="0" borderId="23" xfId="0" applyNumberFormat="1" applyFont="1" applyBorder="1" applyAlignment="1">
      <alignment horizontal="right" vertical="center"/>
    </xf>
    <xf numFmtId="177" fontId="8" fillId="0" borderId="24" xfId="0" applyNumberFormat="1" applyFont="1" applyBorder="1" applyAlignment="1">
      <alignment horizontal="right" vertical="center"/>
    </xf>
    <xf numFmtId="0" fontId="8" fillId="0" borderId="25" xfId="0" applyFont="1" applyBorder="1" applyAlignment="1">
      <alignment horizontal="center" vertical="center"/>
    </xf>
    <xf numFmtId="180" fontId="8" fillId="3" borderId="6" xfId="0" applyNumberFormat="1" applyFont="1" applyFill="1" applyBorder="1" applyAlignment="1">
      <alignment horizontal="center" vertical="center"/>
    </xf>
    <xf numFmtId="0" fontId="8" fillId="0" borderId="22" xfId="0" applyFont="1" applyBorder="1" applyAlignment="1">
      <alignment horizontal="right" vertical="center"/>
    </xf>
    <xf numFmtId="179" fontId="8" fillId="0" borderId="22" xfId="0" applyNumberFormat="1" applyFont="1" applyBorder="1" applyAlignment="1">
      <alignment horizontal="right" vertical="center"/>
    </xf>
    <xf numFmtId="180" fontId="8" fillId="0" borderId="22" xfId="0" applyNumberFormat="1" applyFont="1" applyBorder="1" applyAlignment="1">
      <alignment horizontal="right" vertical="center"/>
    </xf>
    <xf numFmtId="0" fontId="8" fillId="0" borderId="26" xfId="0" applyFont="1" applyBorder="1" applyAlignment="1">
      <alignment horizontal="center" vertical="center"/>
    </xf>
    <xf numFmtId="178" fontId="8" fillId="0" borderId="27" xfId="0" applyNumberFormat="1" applyFont="1" applyBorder="1" applyAlignment="1">
      <alignment horizontal="right" vertical="center"/>
    </xf>
    <xf numFmtId="179" fontId="8" fillId="0" borderId="27" xfId="0" applyNumberFormat="1" applyFont="1" applyBorder="1" applyAlignment="1">
      <alignment horizontal="right" vertical="center"/>
    </xf>
    <xf numFmtId="180" fontId="8" fillId="0" borderId="27" xfId="0" applyNumberFormat="1" applyFont="1" applyBorder="1" applyAlignment="1">
      <alignment horizontal="right" vertical="center"/>
    </xf>
    <xf numFmtId="179" fontId="8" fillId="3" borderId="27" xfId="0" applyNumberFormat="1" applyFont="1" applyFill="1" applyBorder="1" applyAlignment="1">
      <alignment horizontal="right" vertical="center"/>
    </xf>
    <xf numFmtId="0" fontId="8" fillId="0" borderId="27" xfId="0" applyFont="1" applyBorder="1" applyAlignment="1">
      <alignment horizontal="center" vertical="center"/>
    </xf>
    <xf numFmtId="177" fontId="8" fillId="0" borderId="27" xfId="0" applyNumberFormat="1" applyFont="1" applyBorder="1" applyAlignment="1">
      <alignment horizontal="right" vertical="center"/>
    </xf>
    <xf numFmtId="181" fontId="8" fillId="0" borderId="27" xfId="0" applyNumberFormat="1" applyFont="1" applyBorder="1" applyAlignment="1">
      <alignment horizontal="right" vertical="center"/>
    </xf>
    <xf numFmtId="0" fontId="8" fillId="0" borderId="27" xfId="0" applyFont="1" applyBorder="1" applyAlignment="1">
      <alignment horizontal="right" vertical="center"/>
    </xf>
    <xf numFmtId="0" fontId="8" fillId="0" borderId="28" xfId="0" applyFont="1" applyBorder="1" applyAlignment="1">
      <alignment horizontal="right" vertical="center"/>
    </xf>
    <xf numFmtId="177" fontId="8" fillId="0" borderId="26" xfId="0" applyNumberFormat="1" applyFont="1" applyBorder="1" applyAlignment="1">
      <alignment horizontal="right" vertical="center"/>
    </xf>
    <xf numFmtId="177" fontId="8" fillId="0" borderId="28" xfId="0" applyNumberFormat="1" applyFont="1" applyBorder="1" applyAlignment="1">
      <alignment horizontal="right" vertical="center"/>
    </xf>
    <xf numFmtId="178" fontId="8" fillId="3" borderId="7" xfId="0" applyNumberFormat="1" applyFont="1" applyFill="1" applyBorder="1" applyAlignment="1">
      <alignment horizontal="right" vertical="center"/>
    </xf>
    <xf numFmtId="180" fontId="8" fillId="3" borderId="7" xfId="0" applyNumberFormat="1" applyFont="1" applyFill="1" applyBorder="1" applyAlignment="1">
      <alignment horizontal="right" vertical="center"/>
    </xf>
    <xf numFmtId="178" fontId="8" fillId="3" borderId="27" xfId="0" applyNumberFormat="1" applyFont="1" applyFill="1" applyBorder="1" applyAlignment="1">
      <alignment horizontal="right" vertical="center"/>
    </xf>
    <xf numFmtId="180" fontId="8" fillId="3" borderId="22" xfId="0" applyNumberFormat="1" applyFont="1" applyFill="1" applyBorder="1" applyAlignment="1">
      <alignment horizontal="right" vertical="center"/>
    </xf>
    <xf numFmtId="180" fontId="8" fillId="3" borderId="27" xfId="0" applyNumberFormat="1" applyFont="1" applyFill="1" applyBorder="1" applyAlignment="1">
      <alignment horizontal="right" vertical="center"/>
    </xf>
    <xf numFmtId="0" fontId="8" fillId="3" borderId="7" xfId="0" applyFont="1" applyFill="1" applyBorder="1" applyAlignment="1">
      <alignment horizontal="right" vertical="center"/>
    </xf>
    <xf numFmtId="0" fontId="8" fillId="3" borderId="27" xfId="0" applyFont="1" applyFill="1" applyBorder="1" applyAlignment="1">
      <alignment horizontal="right" vertical="center"/>
    </xf>
    <xf numFmtId="181" fontId="8" fillId="3" borderId="7" xfId="0" applyNumberFormat="1" applyFont="1" applyFill="1" applyBorder="1" applyAlignment="1">
      <alignment horizontal="right" vertical="center"/>
    </xf>
    <xf numFmtId="181" fontId="8" fillId="3" borderId="22" xfId="0" applyNumberFormat="1" applyFont="1" applyFill="1" applyBorder="1" applyAlignment="1">
      <alignment horizontal="right" vertical="center"/>
    </xf>
    <xf numFmtId="181" fontId="8" fillId="3" borderId="27" xfId="0" applyNumberFormat="1" applyFont="1" applyFill="1" applyBorder="1" applyAlignment="1">
      <alignment horizontal="right" vertical="center"/>
    </xf>
    <xf numFmtId="177" fontId="8" fillId="3" borderId="7" xfId="0" applyNumberFormat="1" applyFont="1" applyFill="1" applyBorder="1" applyAlignment="1">
      <alignment horizontal="right" vertical="center"/>
    </xf>
    <xf numFmtId="177" fontId="8" fillId="3" borderId="22" xfId="0" applyNumberFormat="1" applyFont="1" applyFill="1" applyBorder="1" applyAlignment="1">
      <alignment horizontal="right" vertical="center"/>
    </xf>
    <xf numFmtId="177" fontId="8" fillId="3" borderId="27" xfId="0" applyNumberFormat="1" applyFont="1" applyFill="1" applyBorder="1" applyAlignment="1">
      <alignment horizontal="right" vertical="center"/>
    </xf>
    <xf numFmtId="0" fontId="8" fillId="3" borderId="29" xfId="0" applyFont="1" applyFill="1" applyBorder="1" applyAlignment="1">
      <alignment horizontal="right" vertical="center"/>
    </xf>
    <xf numFmtId="0" fontId="8" fillId="3" borderId="30" xfId="0" applyFont="1" applyFill="1" applyBorder="1" applyAlignment="1">
      <alignment horizontal="right" vertical="center"/>
    </xf>
    <xf numFmtId="0" fontId="8" fillId="3" borderId="31" xfId="0" applyFont="1" applyFill="1" applyBorder="1" applyAlignment="1">
      <alignment horizontal="right" vertical="center"/>
    </xf>
    <xf numFmtId="178" fontId="8" fillId="3" borderId="22" xfId="0" applyNumberFormat="1" applyFont="1" applyFill="1" applyBorder="1" applyAlignment="1">
      <alignment horizontal="right" vertical="center"/>
    </xf>
    <xf numFmtId="181" fontId="8" fillId="3" borderId="29" xfId="0" applyNumberFormat="1" applyFont="1" applyFill="1" applyBorder="1" applyAlignment="1">
      <alignment horizontal="right" vertical="center"/>
    </xf>
    <xf numFmtId="181" fontId="8" fillId="3" borderId="30" xfId="0" applyNumberFormat="1" applyFont="1" applyFill="1" applyBorder="1" applyAlignment="1">
      <alignment horizontal="right" vertical="center"/>
    </xf>
    <xf numFmtId="181" fontId="8" fillId="3" borderId="31" xfId="0" applyNumberFormat="1" applyFont="1" applyFill="1" applyBorder="1" applyAlignment="1">
      <alignment horizontal="right" vertical="center"/>
    </xf>
    <xf numFmtId="0" fontId="8" fillId="0" borderId="7" xfId="0" applyFont="1" applyBorder="1" applyAlignment="1">
      <alignment horizontal="right" vertical="center"/>
    </xf>
    <xf numFmtId="0" fontId="14" fillId="0" borderId="0" xfId="7">
      <alignment vertical="center"/>
    </xf>
    <xf numFmtId="0" fontId="14" fillId="0" borderId="0" xfId="11">
      <alignment vertical="center"/>
    </xf>
    <xf numFmtId="0" fontId="14" fillId="0" borderId="0" xfId="8">
      <alignment vertical="center"/>
    </xf>
    <xf numFmtId="0" fontId="14" fillId="0" borderId="0" xfId="9">
      <alignment vertical="center"/>
    </xf>
    <xf numFmtId="0" fontId="14" fillId="0" borderId="0" xfId="10">
      <alignment vertical="center"/>
    </xf>
    <xf numFmtId="0" fontId="8" fillId="0" borderId="13" xfId="0" applyFont="1" applyBorder="1" applyAlignment="1">
      <alignment horizontal="center" vertical="center"/>
    </xf>
    <xf numFmtId="181" fontId="8" fillId="0" borderId="13" xfId="0" applyNumberFormat="1" applyFont="1" applyBorder="1" applyAlignment="1">
      <alignment horizontal="center" vertical="center"/>
    </xf>
    <xf numFmtId="177" fontId="8" fillId="0" borderId="6" xfId="0" applyNumberFormat="1" applyFont="1" applyBorder="1" applyAlignment="1">
      <alignment horizontal="center" vertical="center"/>
    </xf>
    <xf numFmtId="181" fontId="8" fillId="0" borderId="6" xfId="0" applyNumberFormat="1" applyFont="1" applyBorder="1" applyAlignment="1">
      <alignment horizontal="center" vertical="center"/>
    </xf>
    <xf numFmtId="178" fontId="8" fillId="0" borderId="6" xfId="0" applyNumberFormat="1" applyFont="1" applyBorder="1" applyAlignment="1">
      <alignment horizontal="center" vertical="center"/>
    </xf>
    <xf numFmtId="180" fontId="8" fillId="0" borderId="6" xfId="0" applyNumberFormat="1" applyFont="1" applyBorder="1" applyAlignment="1">
      <alignment horizontal="center" vertical="center"/>
    </xf>
    <xf numFmtId="0" fontId="14" fillId="0" borderId="32" xfId="4" applyBorder="1">
      <alignment vertical="center"/>
    </xf>
    <xf numFmtId="0" fontId="14" fillId="0" borderId="0" xfId="4">
      <alignment vertical="center"/>
    </xf>
    <xf numFmtId="0" fontId="16" fillId="0" borderId="0" xfId="4" applyFont="1" applyAlignment="1">
      <alignment horizontal="center" vertical="center"/>
    </xf>
    <xf numFmtId="0" fontId="16" fillId="0" borderId="0" xfId="4" applyFont="1">
      <alignment vertical="center"/>
    </xf>
    <xf numFmtId="0" fontId="14" fillId="0" borderId="33" xfId="4" applyBorder="1">
      <alignment vertical="center"/>
    </xf>
    <xf numFmtId="0" fontId="14" fillId="0" borderId="34" xfId="4" applyBorder="1">
      <alignment vertical="center"/>
    </xf>
    <xf numFmtId="184" fontId="8" fillId="0" borderId="7" xfId="0" applyNumberFormat="1" applyFont="1" applyBorder="1" applyAlignment="1">
      <alignment horizontal="right" vertical="center"/>
    </xf>
    <xf numFmtId="185" fontId="8" fillId="0" borderId="7" xfId="0" applyNumberFormat="1" applyFont="1" applyBorder="1" applyAlignment="1">
      <alignment horizontal="right" vertical="center"/>
    </xf>
    <xf numFmtId="184" fontId="8" fillId="0" borderId="22" xfId="0" applyNumberFormat="1" applyFont="1" applyBorder="1" applyAlignment="1">
      <alignment horizontal="right" vertical="center"/>
    </xf>
    <xf numFmtId="185" fontId="8" fillId="0" borderId="22" xfId="0" applyNumberFormat="1" applyFont="1" applyBorder="1" applyAlignment="1">
      <alignment horizontal="right" vertical="center"/>
    </xf>
    <xf numFmtId="185" fontId="8" fillId="0" borderId="27" xfId="0" applyNumberFormat="1" applyFont="1" applyBorder="1" applyAlignment="1">
      <alignment horizontal="right" vertical="center"/>
    </xf>
    <xf numFmtId="178" fontId="8" fillId="0" borderId="29" xfId="0" applyNumberFormat="1" applyFont="1" applyBorder="1" applyAlignment="1">
      <alignment horizontal="right" vertical="center"/>
    </xf>
    <xf numFmtId="178" fontId="8" fillId="0" borderId="30" xfId="0" applyNumberFormat="1" applyFont="1" applyBorder="1" applyAlignment="1">
      <alignment horizontal="right" vertical="center"/>
    </xf>
    <xf numFmtId="178" fontId="8" fillId="0" borderId="31" xfId="0" applyNumberFormat="1" applyFont="1" applyBorder="1" applyAlignment="1">
      <alignment horizontal="right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shrinkToFit="1"/>
    </xf>
    <xf numFmtId="0" fontId="8" fillId="0" borderId="5" xfId="0" applyFont="1" applyBorder="1" applyAlignment="1">
      <alignment horizontal="left" vertical="center" wrapText="1" shrinkToFit="1"/>
    </xf>
    <xf numFmtId="0" fontId="8" fillId="0" borderId="8" xfId="0" applyFont="1" applyBorder="1" applyAlignment="1">
      <alignment horizontal="left" shrinkToFit="1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176" fontId="19" fillId="0" borderId="0" xfId="0" applyNumberFormat="1" applyFont="1" applyAlignment="1">
      <alignment horizontal="left" vertical="center"/>
    </xf>
    <xf numFmtId="0" fontId="19" fillId="0" borderId="18" xfId="0" applyFont="1" applyBorder="1" applyAlignment="1">
      <alignment horizontal="left" vertical="center"/>
    </xf>
    <xf numFmtId="0" fontId="19" fillId="0" borderId="34" xfId="0" applyFont="1" applyBorder="1" applyAlignment="1">
      <alignment horizontal="left" vertical="center"/>
    </xf>
    <xf numFmtId="0" fontId="19" fillId="0" borderId="36" xfId="0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19" fillId="0" borderId="37" xfId="0" applyFont="1" applyBorder="1" applyAlignment="1">
      <alignment horizontal="left" vertical="center"/>
    </xf>
    <xf numFmtId="176" fontId="19" fillId="0" borderId="37" xfId="0" applyNumberFormat="1" applyFont="1" applyBorder="1" applyAlignment="1">
      <alignment horizontal="left" vertical="center"/>
    </xf>
    <xf numFmtId="0" fontId="19" fillId="0" borderId="38" xfId="0" applyFont="1" applyBorder="1" applyAlignment="1">
      <alignment horizontal="left" vertical="center"/>
    </xf>
    <xf numFmtId="0" fontId="19" fillId="0" borderId="33" xfId="0" applyFont="1" applyBorder="1" applyAlignment="1">
      <alignment horizontal="left" vertical="center"/>
    </xf>
    <xf numFmtId="0" fontId="19" fillId="0" borderId="39" xfId="0" applyFont="1" applyBorder="1" applyAlignment="1">
      <alignment horizontal="left" vertical="center"/>
    </xf>
    <xf numFmtId="0" fontId="20" fillId="0" borderId="0" xfId="5" applyFont="1">
      <alignment vertical="center"/>
    </xf>
    <xf numFmtId="0" fontId="8" fillId="4" borderId="8" xfId="0" applyFont="1" applyFill="1" applyBorder="1" applyAlignment="1">
      <alignment horizontal="center" vertical="center" shrinkToFit="1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wrapText="1"/>
    </xf>
    <xf numFmtId="0" fontId="8" fillId="0" borderId="21" xfId="0" applyFont="1" applyBorder="1" applyAlignment="1">
      <alignment horizontal="left" shrinkToFit="1"/>
    </xf>
    <xf numFmtId="0" fontId="8" fillId="0" borderId="40" xfId="0" applyFont="1" applyBorder="1" applyAlignment="1">
      <alignment horizontal="left" shrinkToFit="1"/>
    </xf>
    <xf numFmtId="178" fontId="8" fillId="0" borderId="10" xfId="0" applyNumberFormat="1" applyFont="1" applyBorder="1" applyAlignment="1">
      <alignment horizontal="center" vertical="center"/>
    </xf>
    <xf numFmtId="178" fontId="8" fillId="0" borderId="11" xfId="0" applyNumberFormat="1" applyFont="1" applyBorder="1" applyAlignment="1">
      <alignment horizontal="center" vertical="center"/>
    </xf>
    <xf numFmtId="178" fontId="8" fillId="0" borderId="14" xfId="0" applyNumberFormat="1" applyFont="1" applyBorder="1" applyAlignment="1">
      <alignment horizontal="right" vertical="center"/>
    </xf>
    <xf numFmtId="178" fontId="8" fillId="0" borderId="15" xfId="0" applyNumberFormat="1" applyFont="1" applyBorder="1" applyAlignment="1">
      <alignment horizontal="right" vertical="center"/>
    </xf>
    <xf numFmtId="178" fontId="8" fillId="0" borderId="26" xfId="0" applyNumberFormat="1" applyFont="1" applyBorder="1" applyAlignment="1">
      <alignment horizontal="right" vertical="center"/>
    </xf>
    <xf numFmtId="178" fontId="8" fillId="0" borderId="28" xfId="0" applyNumberFormat="1" applyFont="1" applyBorder="1" applyAlignment="1">
      <alignment horizontal="right" vertical="center"/>
    </xf>
    <xf numFmtId="182" fontId="8" fillId="0" borderId="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82" fontId="8" fillId="0" borderId="7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22" fillId="0" borderId="34" xfId="0" applyFont="1" applyBorder="1" applyAlignment="1">
      <alignment horizontal="right" vertical="center"/>
    </xf>
    <xf numFmtId="0" fontId="22" fillId="0" borderId="0" xfId="0" applyFont="1" applyAlignment="1">
      <alignment horizontal="right" vertical="center"/>
    </xf>
    <xf numFmtId="176" fontId="8" fillId="0" borderId="33" xfId="0" applyNumberFormat="1" applyFont="1" applyBorder="1" applyAlignment="1">
      <alignment horizontal="right" vertical="center"/>
    </xf>
    <xf numFmtId="0" fontId="8" fillId="0" borderId="1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77" fontId="8" fillId="0" borderId="6" xfId="0" applyNumberFormat="1" applyFont="1" applyBorder="1" applyAlignment="1">
      <alignment horizontal="right" vertical="center"/>
    </xf>
    <xf numFmtId="177" fontId="8" fillId="0" borderId="7" xfId="0" applyNumberFormat="1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0" fontId="8" fillId="0" borderId="22" xfId="0" applyFont="1" applyBorder="1" applyAlignment="1">
      <alignment horizontal="right" vertical="center"/>
    </xf>
    <xf numFmtId="0" fontId="8" fillId="0" borderId="27" xfId="0" applyFont="1" applyBorder="1" applyAlignment="1">
      <alignment horizontal="right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 vertical="center"/>
    </xf>
    <xf numFmtId="0" fontId="7" fillId="4" borderId="43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83" fontId="8" fillId="0" borderId="6" xfId="0" applyNumberFormat="1" applyFont="1" applyBorder="1" applyAlignment="1">
      <alignment horizontal="center" vertical="center"/>
    </xf>
    <xf numFmtId="183" fontId="8" fillId="0" borderId="22" xfId="0" applyNumberFormat="1" applyFont="1" applyBorder="1" applyAlignment="1">
      <alignment horizontal="center" vertical="center"/>
    </xf>
    <xf numFmtId="183" fontId="8" fillId="0" borderId="7" xfId="0" applyNumberFormat="1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4" fillId="0" borderId="34" xfId="4" applyBorder="1">
      <alignment vertical="center"/>
    </xf>
    <xf numFmtId="0" fontId="14" fillId="0" borderId="0" xfId="4" applyAlignment="1">
      <alignment vertical="center" wrapText="1"/>
    </xf>
    <xf numFmtId="0" fontId="14" fillId="0" borderId="0" xfId="4">
      <alignment vertical="center"/>
    </xf>
    <xf numFmtId="176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178" fontId="8" fillId="0" borderId="24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8" fillId="0" borderId="13" xfId="0" applyFont="1" applyBorder="1" applyAlignment="1">
      <alignment horizontal="center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3" borderId="6" xfId="0" applyFont="1" applyFill="1" applyBorder="1" applyAlignment="1">
      <alignment horizontal="right" vertical="center"/>
    </xf>
    <xf numFmtId="0" fontId="8" fillId="3" borderId="22" xfId="0" applyFont="1" applyFill="1" applyBorder="1" applyAlignment="1">
      <alignment horizontal="right" vertical="center"/>
    </xf>
    <xf numFmtId="0" fontId="8" fillId="3" borderId="27" xfId="0" applyFont="1" applyFill="1" applyBorder="1" applyAlignment="1">
      <alignment horizontal="right" vertical="center"/>
    </xf>
    <xf numFmtId="182" fontId="8" fillId="0" borderId="22" xfId="0" applyNumberFormat="1" applyFont="1" applyBorder="1" applyAlignment="1">
      <alignment horizontal="center" vertical="center"/>
    </xf>
    <xf numFmtId="177" fontId="8" fillId="0" borderId="6" xfId="0" applyNumberFormat="1" applyFont="1" applyBorder="1" applyAlignment="1">
      <alignment horizontal="right" vertical="center" shrinkToFit="1"/>
    </xf>
    <xf numFmtId="177" fontId="8" fillId="0" borderId="7" xfId="0" applyNumberFormat="1" applyFont="1" applyBorder="1" applyAlignment="1">
      <alignment horizontal="right" vertical="center" shrinkToFit="1"/>
    </xf>
    <xf numFmtId="182" fontId="8" fillId="0" borderId="19" xfId="0" applyNumberFormat="1" applyFont="1" applyBorder="1" applyAlignment="1">
      <alignment horizontal="center" vertical="center" shrinkToFit="1"/>
    </xf>
    <xf numFmtId="182" fontId="8" fillId="0" borderId="44" xfId="0" applyNumberFormat="1" applyFont="1" applyBorder="1" applyAlignment="1">
      <alignment horizontal="center" vertical="center" shrinkToFit="1"/>
    </xf>
    <xf numFmtId="0" fontId="8" fillId="0" borderId="17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shrinkToFit="1"/>
    </xf>
    <xf numFmtId="0" fontId="8" fillId="0" borderId="7" xfId="0" applyFont="1" applyBorder="1" applyAlignment="1">
      <alignment horizontal="center" vertical="center" shrinkToFit="1"/>
    </xf>
    <xf numFmtId="0" fontId="8" fillId="0" borderId="1" xfId="0" applyFont="1" applyBorder="1" applyAlignment="1">
      <alignment horizontal="left" vertical="center"/>
    </xf>
    <xf numFmtId="0" fontId="8" fillId="0" borderId="45" xfId="0" applyFont="1" applyBorder="1" applyAlignment="1">
      <alignment horizontal="left" vertical="center"/>
    </xf>
    <xf numFmtId="0" fontId="8" fillId="0" borderId="19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 shrinkToFit="1"/>
    </xf>
    <xf numFmtId="0" fontId="8" fillId="0" borderId="16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center"/>
    </xf>
    <xf numFmtId="0" fontId="8" fillId="2" borderId="30" xfId="0" applyFont="1" applyFill="1" applyBorder="1" applyAlignment="1">
      <alignment horizontal="left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8" fillId="0" borderId="40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183" fontId="8" fillId="0" borderId="11" xfId="0" applyNumberFormat="1" applyFont="1" applyBorder="1" applyAlignment="1">
      <alignment horizontal="center" vertical="center"/>
    </xf>
    <xf numFmtId="183" fontId="8" fillId="0" borderId="23" xfId="0" applyNumberFormat="1" applyFont="1" applyBorder="1" applyAlignment="1">
      <alignment horizontal="center" vertical="center"/>
    </xf>
    <xf numFmtId="183" fontId="8" fillId="0" borderId="28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/>
    </xf>
    <xf numFmtId="0" fontId="8" fillId="2" borderId="22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right" vertical="center"/>
    </xf>
    <xf numFmtId="0" fontId="0" fillId="3" borderId="27" xfId="0" applyFill="1" applyBorder="1" applyAlignment="1">
      <alignment horizontal="right" vertical="center"/>
    </xf>
    <xf numFmtId="179" fontId="15" fillId="3" borderId="22" xfId="0" applyNumberFormat="1" applyFont="1" applyFill="1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0" fontId="0" fillId="0" borderId="41" xfId="0" applyBorder="1" applyAlignment="1">
      <alignment horizontal="center" vertical="center" shrinkToFit="1"/>
    </xf>
    <xf numFmtId="0" fontId="0" fillId="0" borderId="27" xfId="0" applyBorder="1" applyAlignment="1">
      <alignment horizontal="center" vertical="center" shrinkToFit="1"/>
    </xf>
    <xf numFmtId="0" fontId="8" fillId="0" borderId="46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43" xfId="0" applyBorder="1">
      <alignment vertical="center"/>
    </xf>
    <xf numFmtId="0" fontId="8" fillId="0" borderId="8" xfId="0" applyFont="1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41" xfId="0" applyBorder="1">
      <alignment vertical="center"/>
    </xf>
    <xf numFmtId="0" fontId="0" fillId="0" borderId="27" xfId="0" applyBorder="1">
      <alignment vertical="center"/>
    </xf>
    <xf numFmtId="0" fontId="8" fillId="0" borderId="21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left" vertical="center"/>
    </xf>
    <xf numFmtId="0" fontId="8" fillId="2" borderId="24" xfId="0" applyFont="1" applyFill="1" applyBorder="1" applyAlignment="1">
      <alignment horizontal="left" vertical="center"/>
    </xf>
    <xf numFmtId="0" fontId="8" fillId="2" borderId="40" xfId="0" applyFont="1" applyFill="1" applyBorder="1" applyAlignment="1">
      <alignment horizontal="left" vertical="center"/>
    </xf>
    <xf numFmtId="0" fontId="8" fillId="2" borderId="23" xfId="0" applyFont="1" applyFill="1" applyBorder="1" applyAlignment="1">
      <alignment horizontal="left" vertical="center"/>
    </xf>
    <xf numFmtId="0" fontId="8" fillId="0" borderId="49" xfId="0" applyFont="1" applyBorder="1" applyAlignment="1">
      <alignment horizontal="left" vertical="top" wrapText="1"/>
    </xf>
    <xf numFmtId="0" fontId="8" fillId="0" borderId="50" xfId="0" applyFont="1" applyBorder="1" applyAlignment="1">
      <alignment horizontal="left" vertical="top" wrapText="1"/>
    </xf>
    <xf numFmtId="0" fontId="2" fillId="2" borderId="51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183" fontId="3" fillId="0" borderId="49" xfId="0" applyNumberFormat="1" applyFont="1" applyBorder="1" applyAlignment="1">
      <alignment horizontal="center" vertical="center"/>
    </xf>
    <xf numFmtId="183" fontId="3" fillId="0" borderId="4" xfId="0" applyNumberFormat="1" applyFont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177" fontId="3" fillId="0" borderId="6" xfId="0" applyNumberFormat="1" applyFont="1" applyBorder="1" applyAlignment="1">
      <alignment horizontal="right" vertical="center"/>
    </xf>
    <xf numFmtId="177" fontId="3" fillId="0" borderId="7" xfId="0" applyNumberFormat="1" applyFont="1" applyBorder="1" applyAlignment="1">
      <alignment horizontal="right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top" wrapText="1"/>
    </xf>
    <xf numFmtId="0" fontId="8" fillId="0" borderId="24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83" fontId="3" fillId="0" borderId="57" xfId="0" applyNumberFormat="1" applyFont="1" applyBorder="1" applyAlignment="1">
      <alignment horizontal="center" vertical="center"/>
    </xf>
    <xf numFmtId="183" fontId="3" fillId="0" borderId="35" xfId="0" applyNumberFormat="1" applyFont="1" applyBorder="1" applyAlignment="1">
      <alignment horizontal="center" vertical="center"/>
    </xf>
    <xf numFmtId="0" fontId="8" fillId="0" borderId="48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8" fillId="0" borderId="40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5" fillId="2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51" xfId="0" applyFont="1" applyFill="1" applyBorder="1" applyAlignment="1">
      <alignment horizontal="center" vertical="center"/>
    </xf>
    <xf numFmtId="0" fontId="5" fillId="2" borderId="52" xfId="0" applyFont="1" applyFill="1" applyBorder="1" applyAlignment="1">
      <alignment horizontal="center" vertical="center"/>
    </xf>
    <xf numFmtId="0" fontId="8" fillId="0" borderId="58" xfId="0" applyFont="1" applyBorder="1" applyAlignment="1">
      <alignment horizontal="left" vertical="top" wrapText="1"/>
    </xf>
    <xf numFmtId="0" fontId="8" fillId="0" borderId="59" xfId="0" applyFont="1" applyBorder="1" applyAlignment="1">
      <alignment horizontal="left" vertical="top" wrapText="1"/>
    </xf>
    <xf numFmtId="0" fontId="8" fillId="0" borderId="55" xfId="0" applyFont="1" applyBorder="1" applyAlignment="1">
      <alignment horizontal="left" vertical="top" wrapText="1"/>
    </xf>
    <xf numFmtId="0" fontId="8" fillId="0" borderId="32" xfId="0" applyFont="1" applyBorder="1" applyAlignment="1">
      <alignment horizontal="left" vertical="top" wrapText="1"/>
    </xf>
    <xf numFmtId="0" fontId="8" fillId="2" borderId="38" xfId="0" applyFont="1" applyFill="1" applyBorder="1" applyAlignment="1">
      <alignment horizontal="left" vertical="center"/>
    </xf>
    <xf numFmtId="0" fontId="8" fillId="2" borderId="33" xfId="0" applyFont="1" applyFill="1" applyBorder="1" applyAlignment="1">
      <alignment horizontal="left" vertical="center"/>
    </xf>
    <xf numFmtId="0" fontId="8" fillId="0" borderId="62" xfId="0" applyFont="1" applyBorder="1" applyAlignment="1">
      <alignment horizontal="left" vertical="top" wrapText="1"/>
    </xf>
    <xf numFmtId="0" fontId="8" fillId="0" borderId="33" xfId="0" applyFont="1" applyBorder="1" applyAlignment="1">
      <alignment horizontal="left" vertical="top" wrapText="1"/>
    </xf>
    <xf numFmtId="0" fontId="8" fillId="0" borderId="63" xfId="0" applyFont="1" applyBorder="1" applyAlignment="1">
      <alignment horizontal="left" vertical="top" wrapText="1"/>
    </xf>
    <xf numFmtId="0" fontId="8" fillId="0" borderId="6" xfId="0" applyFont="1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8" fillId="0" borderId="13" xfId="0" applyFont="1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31" xfId="0" applyBorder="1" applyAlignment="1">
      <alignment vertical="top" wrapText="1"/>
    </xf>
    <xf numFmtId="0" fontId="3" fillId="2" borderId="64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77" fontId="3" fillId="0" borderId="13" xfId="0" applyNumberFormat="1" applyFont="1" applyBorder="1" applyAlignment="1">
      <alignment horizontal="right" vertical="center"/>
    </xf>
    <xf numFmtId="177" fontId="3" fillId="0" borderId="31" xfId="0" applyNumberFormat="1" applyFont="1" applyBorder="1" applyAlignment="1">
      <alignment horizontal="right" vertical="center"/>
    </xf>
    <xf numFmtId="0" fontId="5" fillId="2" borderId="40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60" xfId="0" applyFont="1" applyFill="1" applyBorder="1" applyAlignment="1">
      <alignment horizontal="center" vertical="center"/>
    </xf>
    <xf numFmtId="0" fontId="5" fillId="2" borderId="6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57" xfId="0" applyFont="1" applyBorder="1" applyAlignment="1">
      <alignment horizontal="left" vertical="top" wrapText="1"/>
    </xf>
    <xf numFmtId="177" fontId="8" fillId="0" borderId="6" xfId="0" applyNumberFormat="1" applyFont="1" applyBorder="1" applyAlignment="1">
      <alignment horizontal="center" vertical="center" shrinkToFit="1"/>
    </xf>
    <xf numFmtId="177" fontId="8" fillId="0" borderId="7" xfId="0" applyNumberFormat="1" applyFont="1" applyBorder="1" applyAlignment="1">
      <alignment horizontal="center" vertical="center" shrinkToFit="1"/>
    </xf>
    <xf numFmtId="0" fontId="8" fillId="0" borderId="31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right" vertical="center"/>
    </xf>
    <xf numFmtId="179" fontId="8" fillId="0" borderId="22" xfId="0" applyNumberFormat="1" applyFont="1" applyBorder="1" applyAlignment="1">
      <alignment horizontal="right" vertical="center"/>
    </xf>
    <xf numFmtId="179" fontId="2" fillId="0" borderId="22" xfId="0" applyNumberFormat="1" applyFont="1" applyBorder="1" applyAlignment="1">
      <alignment horizontal="right" vertical="center"/>
    </xf>
    <xf numFmtId="182" fontId="8" fillId="0" borderId="41" xfId="0" applyNumberFormat="1" applyFont="1" applyBorder="1" applyAlignment="1">
      <alignment horizontal="center" vertical="center" shrinkToFit="1"/>
    </xf>
    <xf numFmtId="0" fontId="8" fillId="0" borderId="27" xfId="0" applyFont="1" applyBorder="1" applyAlignment="1">
      <alignment horizontal="center" vertical="center" shrinkToFit="1"/>
    </xf>
    <xf numFmtId="177" fontId="8" fillId="0" borderId="27" xfId="0" applyNumberFormat="1" applyFont="1" applyBorder="1" applyAlignment="1">
      <alignment horizontal="center" vertical="center" shrinkToFit="1"/>
    </xf>
  </cellXfs>
  <cellStyles count="12">
    <cellStyle name="標準" xfId="0" builtinId="0"/>
    <cellStyle name="標準 2" xfId="1" xr:uid="{00000000-0005-0000-0000-000001000000}"/>
    <cellStyle name="標準 2 2" xfId="2" xr:uid="{00000000-0005-0000-0000-000002000000}"/>
    <cellStyle name="標準 2 3" xfId="3" xr:uid="{00000000-0005-0000-0000-000003000000}"/>
    <cellStyle name="標準 3" xfId="4" xr:uid="{00000000-0005-0000-0000-000004000000}"/>
    <cellStyle name="標準 4" xfId="5" xr:uid="{00000000-0005-0000-0000-000005000000}"/>
    <cellStyle name="標準 5" xfId="6" xr:uid="{00000000-0005-0000-0000-000006000000}"/>
    <cellStyle name="標準_一覧表" xfId="7" xr:uid="{00000000-0005-0000-0000-000007000000}"/>
    <cellStyle name="標準_一覧表2" xfId="8" xr:uid="{00000000-0005-0000-0000-000008000000}"/>
    <cellStyle name="標準_一覧表3" xfId="9" xr:uid="{00000000-0005-0000-0000-000009000000}"/>
    <cellStyle name="標準_一覧表4" xfId="10" xr:uid="{00000000-0005-0000-0000-00000A000000}"/>
    <cellStyle name="標準_項目" xfId="11" xr:uid="{00000000-0005-0000-0000-00000B000000}"/>
  </cellStyles>
  <dxfs count="0"/>
  <tableStyles count="0" defaultTableStyle="TableStyleMedium2" defaultPivotStyle="PivotStyleLight16"/>
  <colors>
    <mruColors>
      <color rgb="FF99CC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12.emf"/><Relationship Id="rId2" Type="http://schemas.openxmlformats.org/officeDocument/2006/relationships/image" Target="../media/image9.emf"/><Relationship Id="rId1" Type="http://schemas.openxmlformats.org/officeDocument/2006/relationships/image" Target="../media/image1.emf"/><Relationship Id="rId6" Type="http://schemas.openxmlformats.org/officeDocument/2006/relationships/image" Target="../media/image11.emf"/><Relationship Id="rId5" Type="http://schemas.openxmlformats.org/officeDocument/2006/relationships/image" Target="../media/image10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50800</xdr:rowOff>
        </xdr:from>
        <xdr:to>
          <xdr:col>54</xdr:col>
          <xdr:colOff>63500</xdr:colOff>
          <xdr:row>2</xdr:row>
          <xdr:rowOff>127000</xdr:rowOff>
        </xdr:to>
        <xdr:sp macro="" textlink="">
          <xdr:nvSpPr>
            <xdr:cNvPr id="1025" name="btnPanel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37</xdr:col>
          <xdr:colOff>57150</xdr:colOff>
          <xdr:row>0</xdr:row>
          <xdr:rowOff>127000</xdr:rowOff>
        </xdr:from>
        <xdr:to>
          <xdr:col>42</xdr:col>
          <xdr:colOff>19050</xdr:colOff>
          <xdr:row>2</xdr:row>
          <xdr:rowOff>50800</xdr:rowOff>
        </xdr:to>
        <xdr:sp macro="" textlink="">
          <xdr:nvSpPr>
            <xdr:cNvPr id="1026" name="btnPrint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12700</xdr:colOff>
          <xdr:row>0</xdr:row>
          <xdr:rowOff>146050</xdr:rowOff>
        </xdr:from>
        <xdr:to>
          <xdr:col>9</xdr:col>
          <xdr:colOff>38100</xdr:colOff>
          <xdr:row>2</xdr:row>
          <xdr:rowOff>38100</xdr:rowOff>
        </xdr:to>
        <xdr:sp macro="" textlink="">
          <xdr:nvSpPr>
            <xdr:cNvPr id="1027" name="spinPage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17</xdr:col>
          <xdr:colOff>0</xdr:colOff>
          <xdr:row>0</xdr:row>
          <xdr:rowOff>127000</xdr:rowOff>
        </xdr:from>
        <xdr:to>
          <xdr:col>21</xdr:col>
          <xdr:colOff>95250</xdr:colOff>
          <xdr:row>2</xdr:row>
          <xdr:rowOff>50800</xdr:rowOff>
        </xdr:to>
        <xdr:sp macro="" textlink="">
          <xdr:nvSpPr>
            <xdr:cNvPr id="1028" name="txtFrom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23</xdr:col>
          <xdr:colOff>95250</xdr:colOff>
          <xdr:row>0</xdr:row>
          <xdr:rowOff>127000</xdr:rowOff>
        </xdr:from>
        <xdr:to>
          <xdr:col>28</xdr:col>
          <xdr:colOff>76200</xdr:colOff>
          <xdr:row>2</xdr:row>
          <xdr:rowOff>50800</xdr:rowOff>
        </xdr:to>
        <xdr:sp macro="" textlink="">
          <xdr:nvSpPr>
            <xdr:cNvPr id="1029" name="txtTo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57150</xdr:colOff>
          <xdr:row>0</xdr:row>
          <xdr:rowOff>127000</xdr:rowOff>
        </xdr:from>
        <xdr:to>
          <xdr:col>5</xdr:col>
          <xdr:colOff>38100</xdr:colOff>
          <xdr:row>2</xdr:row>
          <xdr:rowOff>50800</xdr:rowOff>
        </xdr:to>
        <xdr:sp macro="" textlink="">
          <xdr:nvSpPr>
            <xdr:cNvPr id="1030" name="txtPage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29</xdr:col>
          <xdr:colOff>50800</xdr:colOff>
          <xdr:row>0</xdr:row>
          <xdr:rowOff>127000</xdr:rowOff>
        </xdr:from>
        <xdr:to>
          <xdr:col>37</xdr:col>
          <xdr:colOff>57150</xdr:colOff>
          <xdr:row>2</xdr:row>
          <xdr:rowOff>50800</xdr:rowOff>
        </xdr:to>
        <xdr:sp macro="" textlink="">
          <xdr:nvSpPr>
            <xdr:cNvPr id="1031" name="btnPreview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42</xdr:col>
          <xdr:colOff>38100</xdr:colOff>
          <xdr:row>0</xdr:row>
          <xdr:rowOff>127000</xdr:rowOff>
        </xdr:from>
        <xdr:to>
          <xdr:col>50</xdr:col>
          <xdr:colOff>44450</xdr:colOff>
          <xdr:row>2</xdr:row>
          <xdr:rowOff>50800</xdr:rowOff>
        </xdr:to>
        <xdr:sp macro="" textlink="">
          <xdr:nvSpPr>
            <xdr:cNvPr id="1032" name="btnList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19050</xdr:colOff>
          <xdr:row>1</xdr:row>
          <xdr:rowOff>19050</xdr:rowOff>
        </xdr:from>
        <xdr:to>
          <xdr:col>17</xdr:col>
          <xdr:colOff>38100</xdr:colOff>
          <xdr:row>2</xdr:row>
          <xdr:rowOff>50800</xdr:rowOff>
        </xdr:to>
        <xdr:sp macro="" textlink="">
          <xdr:nvSpPr>
            <xdr:cNvPr id="1033" name="Label1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22</xdr:col>
          <xdr:colOff>0</xdr:colOff>
          <xdr:row>1</xdr:row>
          <xdr:rowOff>19050</xdr:rowOff>
        </xdr:from>
        <xdr:to>
          <xdr:col>23</xdr:col>
          <xdr:colOff>76200</xdr:colOff>
          <xdr:row>2</xdr:row>
          <xdr:rowOff>0</xdr:rowOff>
        </xdr:to>
        <xdr:sp macro="" textlink="">
          <xdr:nvSpPr>
            <xdr:cNvPr id="1034" name="Label2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50800</xdr:rowOff>
        </xdr:from>
        <xdr:to>
          <xdr:col>11</xdr:col>
          <xdr:colOff>88900</xdr:colOff>
          <xdr:row>2</xdr:row>
          <xdr:rowOff>139700</xdr:rowOff>
        </xdr:to>
        <xdr:sp macro="" textlink="">
          <xdr:nvSpPr>
            <xdr:cNvPr id="5121" name="btnPanel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B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88900</xdr:colOff>
          <xdr:row>0</xdr:row>
          <xdr:rowOff>127000</xdr:rowOff>
        </xdr:from>
        <xdr:to>
          <xdr:col>7</xdr:col>
          <xdr:colOff>368300</xdr:colOff>
          <xdr:row>2</xdr:row>
          <xdr:rowOff>63500</xdr:rowOff>
        </xdr:to>
        <xdr:sp macro="" textlink="">
          <xdr:nvSpPr>
            <xdr:cNvPr id="5122" name="btnPrint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B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628650</xdr:colOff>
          <xdr:row>0</xdr:row>
          <xdr:rowOff>146050</xdr:rowOff>
        </xdr:from>
        <xdr:to>
          <xdr:col>0</xdr:col>
          <xdr:colOff>1111250</xdr:colOff>
          <xdr:row>2</xdr:row>
          <xdr:rowOff>50800</xdr:rowOff>
        </xdr:to>
        <xdr:sp macro="" textlink="">
          <xdr:nvSpPr>
            <xdr:cNvPr id="5123" name="spinPage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B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679450</xdr:colOff>
          <xdr:row>0</xdr:row>
          <xdr:rowOff>127000</xdr:rowOff>
        </xdr:from>
        <xdr:to>
          <xdr:col>2</xdr:col>
          <xdr:colOff>69850</xdr:colOff>
          <xdr:row>2</xdr:row>
          <xdr:rowOff>63500</xdr:rowOff>
        </xdr:to>
        <xdr:sp macro="" textlink="">
          <xdr:nvSpPr>
            <xdr:cNvPr id="5124" name="txtFrom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B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0</xdr:colOff>
          <xdr:row>0</xdr:row>
          <xdr:rowOff>127000</xdr:rowOff>
        </xdr:from>
        <xdr:to>
          <xdr:col>3</xdr:col>
          <xdr:colOff>552450</xdr:colOff>
          <xdr:row>2</xdr:row>
          <xdr:rowOff>63500</xdr:rowOff>
        </xdr:to>
        <xdr:sp macro="" textlink="">
          <xdr:nvSpPr>
            <xdr:cNvPr id="5125" name="txtTo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B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57150</xdr:colOff>
          <xdr:row>0</xdr:row>
          <xdr:rowOff>127000</xdr:rowOff>
        </xdr:from>
        <xdr:to>
          <xdr:col>0</xdr:col>
          <xdr:colOff>609600</xdr:colOff>
          <xdr:row>2</xdr:row>
          <xdr:rowOff>63500</xdr:rowOff>
        </xdr:to>
        <xdr:sp macro="" textlink="">
          <xdr:nvSpPr>
            <xdr:cNvPr id="5126" name="txtPage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B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19050</xdr:colOff>
          <xdr:row>0</xdr:row>
          <xdr:rowOff>127000</xdr:rowOff>
        </xdr:from>
        <xdr:to>
          <xdr:col>6</xdr:col>
          <xdr:colOff>82550</xdr:colOff>
          <xdr:row>2</xdr:row>
          <xdr:rowOff>63500</xdr:rowOff>
        </xdr:to>
        <xdr:sp macro="" textlink="">
          <xdr:nvSpPr>
            <xdr:cNvPr id="5127" name="btnPreview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B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412750</xdr:colOff>
          <xdr:row>0</xdr:row>
          <xdr:rowOff>127000</xdr:rowOff>
        </xdr:from>
        <xdr:to>
          <xdr:col>9</xdr:col>
          <xdr:colOff>476250</xdr:colOff>
          <xdr:row>2</xdr:row>
          <xdr:rowOff>63500</xdr:rowOff>
        </xdr:to>
        <xdr:sp macro="" textlink="">
          <xdr:nvSpPr>
            <xdr:cNvPr id="5128" name="btnList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B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0</xdr:colOff>
          <xdr:row>1</xdr:row>
          <xdr:rowOff>19050</xdr:rowOff>
        </xdr:from>
        <xdr:to>
          <xdr:col>1</xdr:col>
          <xdr:colOff>704850</xdr:colOff>
          <xdr:row>2</xdr:row>
          <xdr:rowOff>57150</xdr:rowOff>
        </xdr:to>
        <xdr:sp macro="" textlink="">
          <xdr:nvSpPr>
            <xdr:cNvPr id="5129" name="Label1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B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38100</xdr:colOff>
          <xdr:row>1</xdr:row>
          <xdr:rowOff>19050</xdr:rowOff>
        </xdr:from>
        <xdr:to>
          <xdr:col>2</xdr:col>
          <xdr:colOff>228600</xdr:colOff>
          <xdr:row>2</xdr:row>
          <xdr:rowOff>6350</xdr:rowOff>
        </xdr:to>
        <xdr:sp macro="" textlink="">
          <xdr:nvSpPr>
            <xdr:cNvPr id="5130" name="Label2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B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6.xml"/><Relationship Id="rId18" Type="http://schemas.openxmlformats.org/officeDocument/2006/relationships/control" Target="../activeX/activeX9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8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6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8.xml"/><Relationship Id="rId20" Type="http://schemas.openxmlformats.org/officeDocument/2006/relationships/control" Target="../activeX/activeX10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5.emf"/><Relationship Id="rId10" Type="http://schemas.openxmlformats.org/officeDocument/2006/relationships/control" Target="../activeX/activeX4.xml"/><Relationship Id="rId19" Type="http://schemas.openxmlformats.org/officeDocument/2006/relationships/image" Target="../media/image7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7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13" Type="http://schemas.openxmlformats.org/officeDocument/2006/relationships/control" Target="../activeX/activeX16.xml"/><Relationship Id="rId18" Type="http://schemas.openxmlformats.org/officeDocument/2006/relationships/control" Target="../activeX/activeX19.xml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3.emf"/><Relationship Id="rId7" Type="http://schemas.openxmlformats.org/officeDocument/2006/relationships/image" Target="../media/image9.emf"/><Relationship Id="rId12" Type="http://schemas.openxmlformats.org/officeDocument/2006/relationships/control" Target="../activeX/activeX15.xml"/><Relationship Id="rId17" Type="http://schemas.openxmlformats.org/officeDocument/2006/relationships/image" Target="../media/image11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8.xml"/><Relationship Id="rId20" Type="http://schemas.openxmlformats.org/officeDocument/2006/relationships/control" Target="../activeX/activeX20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10.emf"/><Relationship Id="rId10" Type="http://schemas.openxmlformats.org/officeDocument/2006/relationships/control" Target="../activeX/activeX14.xml"/><Relationship Id="rId19" Type="http://schemas.openxmlformats.org/officeDocument/2006/relationships/image" Target="../media/image12.emf"/><Relationship Id="rId4" Type="http://schemas.openxmlformats.org/officeDocument/2006/relationships/control" Target="../activeX/activeX11.xml"/><Relationship Id="rId9" Type="http://schemas.openxmlformats.org/officeDocument/2006/relationships/image" Target="../media/image3.emf"/><Relationship Id="rId14" Type="http://schemas.openxmlformats.org/officeDocument/2006/relationships/control" Target="../activeX/activeX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4:BK66"/>
  <sheetViews>
    <sheetView view="pageBreakPreview" zoomScaleNormal="85" zoomScaleSheetLayoutView="100" workbookViewId="0">
      <selection activeCell="AS7" sqref="AS7"/>
    </sheetView>
  </sheetViews>
  <sheetFormatPr defaultColWidth="9" defaultRowHeight="13.5" customHeight="1" x14ac:dyDescent="0.2"/>
  <cols>
    <col min="1" max="1" width="1.6328125" style="5" customWidth="1"/>
    <col min="2" max="32" width="1.6328125" style="4" customWidth="1"/>
    <col min="33" max="33" width="1.6328125" style="5" customWidth="1"/>
    <col min="34" max="61" width="1.6328125" style="4" customWidth="1"/>
    <col min="62" max="63" width="9" style="4"/>
    <col min="64" max="16384" width="9" style="5"/>
  </cols>
  <sheetData>
    <row r="4" spans="2:62" ht="11.25" customHeight="1" x14ac:dyDescent="0.2"/>
    <row r="5" spans="2:62" ht="13" x14ac:dyDescent="0.2">
      <c r="H5" s="4" t="e">
        <f ca="1">郵便番号</f>
        <v>#NAME?</v>
      </c>
      <c r="AG5" s="4"/>
    </row>
    <row r="6" spans="2:62" ht="14.15" customHeight="1" x14ac:dyDescent="0.2">
      <c r="I6" s="4" t="e">
        <f ca="1">住所</f>
        <v>#NAME?</v>
      </c>
      <c r="AG6" s="4"/>
    </row>
    <row r="7" spans="2:62" ht="14.15" customHeight="1" x14ac:dyDescent="0.2">
      <c r="I7" s="4" t="e">
        <f ca="1">方書</f>
        <v>#NAME?</v>
      </c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2:62" s="6" customFormat="1" ht="18" customHeight="1" x14ac:dyDescent="0.2">
      <c r="J8" s="154" t="e">
        <f ca="1">氏名</f>
        <v>#NAME?</v>
      </c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spans="2:62" ht="13.5" customHeight="1" x14ac:dyDescent="0.2"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M9" s="5"/>
      <c r="BB9" s="8"/>
      <c r="BC9" s="8"/>
      <c r="BD9" s="8"/>
      <c r="BE9" s="8"/>
      <c r="BF9" s="8"/>
      <c r="BG9" s="8"/>
      <c r="BH9" s="8"/>
    </row>
    <row r="10" spans="2:62" ht="13" x14ac:dyDescent="0.2"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</row>
    <row r="11" spans="2:62" ht="17.25" customHeight="1" x14ac:dyDescent="0.2">
      <c r="J11" s="153" t="e">
        <f ca="1">世帯主氏名</f>
        <v>#NAME?</v>
      </c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BI11" s="8"/>
      <c r="BJ11" s="8"/>
    </row>
    <row r="12" spans="2:62" ht="13" x14ac:dyDescent="0.2"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</row>
    <row r="13" spans="2:62" ht="13" x14ac:dyDescent="0.2">
      <c r="I13" s="4" t="e">
        <f ca="1">行政区CD</f>
        <v>#NAME?</v>
      </c>
      <c r="K13" s="5"/>
      <c r="L13" s="4" t="e">
        <f ca="1">行政区</f>
        <v>#NAME?</v>
      </c>
      <c r="AG13" s="4"/>
    </row>
    <row r="14" spans="2:62" ht="13" x14ac:dyDescent="0.2">
      <c r="B14" s="138"/>
      <c r="C14" s="138"/>
      <c r="D14" s="138"/>
      <c r="E14" s="138"/>
      <c r="F14" s="138"/>
      <c r="G14" s="138"/>
      <c r="H14" s="138"/>
      <c r="I14" s="138"/>
      <c r="J14" s="137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7"/>
      <c r="AG14" s="137"/>
      <c r="AH14" s="138"/>
      <c r="AI14" s="138"/>
      <c r="AJ14" s="138"/>
      <c r="AK14" s="138"/>
      <c r="AL14" s="138"/>
      <c r="AM14" s="138"/>
      <c r="AN14" s="138"/>
      <c r="AO14" s="138"/>
      <c r="AP14" s="138"/>
      <c r="AQ14" s="138"/>
      <c r="AR14" s="138"/>
      <c r="AS14" s="138"/>
      <c r="AT14" s="138"/>
      <c r="AU14" s="138"/>
      <c r="AV14" s="138"/>
      <c r="AW14" s="138"/>
      <c r="AX14" s="138"/>
      <c r="AY14" s="138"/>
      <c r="AZ14" s="138"/>
      <c r="BA14" s="138"/>
      <c r="BB14" s="138"/>
      <c r="BC14" s="138"/>
      <c r="BD14" s="138"/>
      <c r="BE14" s="138"/>
      <c r="BF14" s="138"/>
      <c r="BG14" s="138"/>
      <c r="BH14" s="138"/>
    </row>
    <row r="15" spans="2:62" s="137" customFormat="1" ht="13.5" customHeight="1" x14ac:dyDescent="0.2">
      <c r="BI15" s="138"/>
      <c r="BJ15" s="138"/>
    </row>
    <row r="16" spans="2:62" s="137" customFormat="1" ht="13.5" customHeight="1" x14ac:dyDescent="0.2"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9"/>
      <c r="BA16" s="139"/>
      <c r="BB16" s="139"/>
      <c r="BC16" s="139"/>
      <c r="BD16" s="139"/>
      <c r="BE16" s="139"/>
      <c r="BF16" s="139"/>
      <c r="BG16" s="139"/>
      <c r="BH16" s="139"/>
    </row>
    <row r="17" spans="2:62" s="139" customFormat="1" ht="13.5" customHeight="1" x14ac:dyDescent="0.2"/>
    <row r="18" spans="2:62" ht="13" x14ac:dyDescent="0.2">
      <c r="AG18" s="4"/>
      <c r="AI18" s="5"/>
    </row>
    <row r="19" spans="2:62" s="136" customFormat="1" ht="16.5" customHeight="1" x14ac:dyDescent="0.2">
      <c r="B19" s="152" t="e">
        <f ca="1">タイトル</f>
        <v>#NAME?</v>
      </c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2"/>
      <c r="BA19" s="152"/>
      <c r="BB19" s="152"/>
      <c r="BC19" s="152"/>
      <c r="BD19" s="152"/>
      <c r="BE19" s="152"/>
      <c r="BF19" s="152"/>
      <c r="BG19" s="152"/>
      <c r="BH19" s="152"/>
    </row>
    <row r="20" spans="2:62" s="139" customFormat="1" ht="13.5" customHeight="1" x14ac:dyDescent="0.2"/>
    <row r="21" spans="2:62" s="139" customFormat="1" ht="13.5" customHeight="1" x14ac:dyDescent="0.2"/>
    <row r="22" spans="2:62" s="139" customFormat="1" ht="13.5" customHeight="1" x14ac:dyDescent="0.2">
      <c r="F22" s="139" t="e">
        <f ca="1">文章1</f>
        <v>#NAME?</v>
      </c>
    </row>
    <row r="23" spans="2:62" s="139" customFormat="1" ht="13.5" customHeight="1" x14ac:dyDescent="0.2">
      <c r="F23" s="139" t="e">
        <f ca="1">文章2</f>
        <v>#NAME?</v>
      </c>
    </row>
    <row r="24" spans="2:62" s="139" customFormat="1" ht="13.5" customHeight="1" x14ac:dyDescent="0.2">
      <c r="F24" s="139" t="e">
        <f ca="1">文章3</f>
        <v>#NAME?</v>
      </c>
    </row>
    <row r="25" spans="2:62" s="139" customFormat="1" ht="13.5" customHeight="1" x14ac:dyDescent="0.2">
      <c r="F25" s="139" t="e">
        <f ca="1">文章4</f>
        <v>#NAME?</v>
      </c>
    </row>
    <row r="26" spans="2:62" s="139" customFormat="1" ht="13" x14ac:dyDescent="0.2">
      <c r="F26" s="139" t="e">
        <f ca="1">文章5</f>
        <v>#NAME?</v>
      </c>
      <c r="V26" s="140"/>
      <c r="W26" s="140"/>
      <c r="X26" s="140"/>
      <c r="Y26" s="140"/>
      <c r="Z26" s="140"/>
      <c r="AA26" s="140"/>
      <c r="AB26" s="140"/>
      <c r="AC26" s="140"/>
      <c r="AD26" s="140"/>
      <c r="BB26" s="140"/>
      <c r="BC26" s="140"/>
      <c r="BD26" s="140"/>
      <c r="BE26" s="140"/>
      <c r="BF26" s="140"/>
      <c r="BG26" s="140"/>
      <c r="BH26" s="140"/>
      <c r="BI26" s="140"/>
      <c r="BJ26" s="140"/>
    </row>
    <row r="27" spans="2:62" s="139" customFormat="1" ht="13.5" customHeight="1" x14ac:dyDescent="0.2">
      <c r="F27" s="139" t="e">
        <f ca="1">文章6</f>
        <v>#NAME?</v>
      </c>
    </row>
    <row r="28" spans="2:62" s="139" customFormat="1" ht="13.5" customHeight="1" x14ac:dyDescent="0.2">
      <c r="F28" s="139" t="e">
        <f ca="1">文章7</f>
        <v>#NAME?</v>
      </c>
    </row>
    <row r="29" spans="2:62" s="139" customFormat="1" ht="13.5" customHeight="1" x14ac:dyDescent="0.2">
      <c r="F29" s="139" t="e">
        <f ca="1">文章8</f>
        <v>#NAME?</v>
      </c>
    </row>
    <row r="30" spans="2:62" s="139" customFormat="1" ht="13.5" customHeight="1" x14ac:dyDescent="0.2">
      <c r="F30" s="139" t="e">
        <f ca="1">文章9</f>
        <v>#NAME?</v>
      </c>
    </row>
    <row r="31" spans="2:62" s="139" customFormat="1" ht="13.5" customHeight="1" x14ac:dyDescent="0.2">
      <c r="F31" s="139" t="e">
        <f ca="1">文章10</f>
        <v>#NAME?</v>
      </c>
    </row>
    <row r="32" spans="2:62" s="139" customFormat="1" ht="13.5" customHeight="1" x14ac:dyDescent="0.2">
      <c r="F32" s="139" t="e">
        <f ca="1">文章11</f>
        <v>#NAME?</v>
      </c>
    </row>
    <row r="33" spans="5:62" s="139" customFormat="1" ht="13.5" customHeight="1" x14ac:dyDescent="0.2">
      <c r="F33" s="139" t="e">
        <f ca="1">文章12</f>
        <v>#NAME?</v>
      </c>
    </row>
    <row r="34" spans="5:62" s="139" customFormat="1" ht="13.5" customHeight="1" x14ac:dyDescent="0.2">
      <c r="F34" s="139" t="e">
        <f ca="1">文章13</f>
        <v>#NAME?</v>
      </c>
      <c r="V34" s="140"/>
      <c r="W34" s="140"/>
      <c r="X34" s="140"/>
      <c r="Y34" s="140"/>
      <c r="Z34" s="140"/>
      <c r="AA34" s="140"/>
      <c r="AB34" s="140"/>
      <c r="AC34" s="140"/>
      <c r="AD34" s="140"/>
      <c r="BE34" s="140"/>
      <c r="BF34" s="140"/>
      <c r="BG34" s="140"/>
      <c r="BH34" s="140"/>
      <c r="BI34" s="140"/>
      <c r="BJ34" s="140"/>
    </row>
    <row r="35" spans="5:62" s="139" customFormat="1" ht="13.5" customHeight="1" x14ac:dyDescent="0.2">
      <c r="F35" s="139" t="e">
        <f ca="1">文章14</f>
        <v>#NAME?</v>
      </c>
    </row>
    <row r="36" spans="5:62" s="139" customFormat="1" ht="13.5" customHeight="1" x14ac:dyDescent="0.2">
      <c r="F36" s="139" t="e">
        <f ca="1">文章15</f>
        <v>#NAME?</v>
      </c>
    </row>
    <row r="37" spans="5:62" s="139" customFormat="1" ht="13.5" customHeight="1" x14ac:dyDescent="0.2">
      <c r="F37" s="139" t="e">
        <f ca="1">文章16</f>
        <v>#NAME?</v>
      </c>
    </row>
    <row r="38" spans="5:62" s="139" customFormat="1" ht="13.5" customHeight="1" x14ac:dyDescent="0.2">
      <c r="F38" s="139" t="e">
        <f ca="1">文章17</f>
        <v>#NAME?</v>
      </c>
    </row>
    <row r="39" spans="5:62" s="139" customFormat="1" ht="13.5" customHeight="1" x14ac:dyDescent="0.2">
      <c r="F39" s="139" t="e">
        <f ca="1">文章18</f>
        <v>#NAME?</v>
      </c>
      <c r="V39" s="140"/>
      <c r="W39" s="140"/>
      <c r="X39" s="140"/>
      <c r="Y39" s="140"/>
      <c r="Z39" s="140"/>
      <c r="AA39" s="140"/>
      <c r="AB39" s="140"/>
      <c r="AC39" s="140"/>
      <c r="AD39" s="140"/>
      <c r="BB39" s="140"/>
      <c r="BC39" s="140"/>
      <c r="BD39" s="140"/>
      <c r="BE39" s="140"/>
      <c r="BF39" s="140"/>
      <c r="BG39" s="140"/>
      <c r="BH39" s="140"/>
      <c r="BI39" s="140"/>
      <c r="BJ39" s="140"/>
    </row>
    <row r="40" spans="5:62" s="139" customFormat="1" ht="13.5" customHeight="1" x14ac:dyDescent="0.2"/>
    <row r="41" spans="5:62" s="139" customFormat="1" ht="13.5" customHeight="1" x14ac:dyDescent="0.2">
      <c r="E41" s="141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2"/>
      <c r="AZ41" s="142"/>
      <c r="BA41" s="142"/>
      <c r="BB41" s="142"/>
      <c r="BC41" s="142"/>
      <c r="BD41" s="142"/>
      <c r="BE41" s="142"/>
      <c r="BF41" s="143"/>
    </row>
    <row r="42" spans="5:62" s="139" customFormat="1" ht="13.5" customHeight="1" x14ac:dyDescent="0.2">
      <c r="E42" s="144"/>
      <c r="F42" s="139" t="e">
        <f ca="1">文章19</f>
        <v>#NAME?</v>
      </c>
      <c r="BF42" s="145"/>
    </row>
    <row r="43" spans="5:62" s="139" customFormat="1" ht="13.5" customHeight="1" x14ac:dyDescent="0.2">
      <c r="E43" s="144"/>
      <c r="F43" s="139" t="e">
        <f ca="1">文章20</f>
        <v>#NAME?</v>
      </c>
      <c r="BF43" s="145"/>
    </row>
    <row r="44" spans="5:62" s="139" customFormat="1" ht="13.5" customHeight="1" x14ac:dyDescent="0.2">
      <c r="E44" s="144"/>
      <c r="F44" s="139" t="e">
        <f ca="1">文章21</f>
        <v>#NAME?</v>
      </c>
      <c r="BF44" s="145"/>
    </row>
    <row r="45" spans="5:62" s="139" customFormat="1" ht="13.5" customHeight="1" x14ac:dyDescent="0.2">
      <c r="E45" s="144"/>
      <c r="F45" s="139" t="e">
        <f ca="1">文章22</f>
        <v>#NAME?</v>
      </c>
      <c r="BF45" s="145"/>
    </row>
    <row r="46" spans="5:62" s="139" customFormat="1" ht="13.5" customHeight="1" x14ac:dyDescent="0.2">
      <c r="E46" s="144"/>
      <c r="F46" s="139" t="e">
        <f ca="1">文章23</f>
        <v>#NAME?</v>
      </c>
      <c r="BF46" s="145"/>
    </row>
    <row r="47" spans="5:62" s="139" customFormat="1" ht="13.5" customHeight="1" x14ac:dyDescent="0.2">
      <c r="E47" s="144"/>
      <c r="F47" s="139" t="e">
        <f ca="1">文章24</f>
        <v>#NAME?</v>
      </c>
      <c r="V47" s="140"/>
      <c r="W47" s="140"/>
      <c r="X47" s="140"/>
      <c r="Y47" s="140"/>
      <c r="Z47" s="140"/>
      <c r="AA47" s="140"/>
      <c r="AB47" s="140"/>
      <c r="AC47" s="140"/>
      <c r="AD47" s="140"/>
      <c r="BB47" s="140"/>
      <c r="BC47" s="140"/>
      <c r="BD47" s="140"/>
      <c r="BE47" s="140"/>
      <c r="BF47" s="146"/>
      <c r="BG47" s="140"/>
      <c r="BH47" s="140"/>
      <c r="BI47" s="140"/>
      <c r="BJ47" s="140"/>
    </row>
    <row r="48" spans="5:62" s="139" customFormat="1" ht="13.5" customHeight="1" x14ac:dyDescent="0.2">
      <c r="E48" s="144"/>
      <c r="F48" s="139" t="e">
        <f ca="1">文章25</f>
        <v>#NAME?</v>
      </c>
      <c r="BF48" s="145"/>
    </row>
    <row r="49" spans="5:62" s="139" customFormat="1" ht="13.5" customHeight="1" x14ac:dyDescent="0.2">
      <c r="E49" s="144"/>
      <c r="F49" s="139" t="e">
        <f ca="1">文章26</f>
        <v>#NAME?</v>
      </c>
      <c r="BF49" s="145"/>
    </row>
    <row r="50" spans="5:62" s="139" customFormat="1" ht="13.5" customHeight="1" x14ac:dyDescent="0.2">
      <c r="E50" s="144"/>
      <c r="F50" s="139" t="e">
        <f ca="1">文章27</f>
        <v>#NAME?</v>
      </c>
      <c r="BF50" s="145"/>
    </row>
    <row r="51" spans="5:62" s="139" customFormat="1" ht="13.5" customHeight="1" x14ac:dyDescent="0.2">
      <c r="E51" s="144"/>
      <c r="F51" s="139" t="e">
        <f ca="1">文章28</f>
        <v>#NAME?</v>
      </c>
      <c r="BF51" s="145"/>
    </row>
    <row r="52" spans="5:62" s="139" customFormat="1" ht="13.5" customHeight="1" x14ac:dyDescent="0.2">
      <c r="E52" s="144"/>
      <c r="F52" s="139" t="e">
        <f ca="1">文章29</f>
        <v>#NAME?</v>
      </c>
      <c r="BF52" s="145"/>
    </row>
    <row r="53" spans="5:62" s="139" customFormat="1" ht="13.5" customHeight="1" x14ac:dyDescent="0.2">
      <c r="E53" s="144"/>
      <c r="F53" s="139" t="e">
        <f ca="1">文章30</f>
        <v>#NAME?</v>
      </c>
      <c r="V53" s="140"/>
      <c r="W53" s="140"/>
      <c r="X53" s="140"/>
      <c r="Y53" s="140"/>
      <c r="Z53" s="140"/>
      <c r="AA53" s="140"/>
      <c r="AB53" s="140"/>
      <c r="AC53" s="140"/>
      <c r="AD53" s="140"/>
      <c r="BB53" s="140"/>
      <c r="BC53" s="140"/>
      <c r="BD53" s="140"/>
      <c r="BE53" s="140"/>
      <c r="BF53" s="146"/>
      <c r="BG53" s="140"/>
      <c r="BH53" s="140"/>
      <c r="BI53" s="140"/>
      <c r="BJ53" s="140"/>
    </row>
    <row r="54" spans="5:62" s="139" customFormat="1" ht="13.5" customHeight="1" x14ac:dyDescent="0.2">
      <c r="E54" s="144"/>
      <c r="F54" s="139" t="e">
        <f ca="1">文章31</f>
        <v>#NAME?</v>
      </c>
      <c r="BF54" s="145"/>
    </row>
    <row r="55" spans="5:62" s="139" customFormat="1" ht="13.5" customHeight="1" x14ac:dyDescent="0.2">
      <c r="E55" s="144"/>
      <c r="F55" s="139" t="e">
        <f ca="1">文章32</f>
        <v>#NAME?</v>
      </c>
      <c r="BF55" s="145"/>
    </row>
    <row r="56" spans="5:62" s="139" customFormat="1" ht="13.5" customHeight="1" x14ac:dyDescent="0.2">
      <c r="E56" s="144"/>
      <c r="F56" s="139" t="e">
        <f ca="1">文章33</f>
        <v>#NAME?</v>
      </c>
      <c r="BF56" s="145"/>
    </row>
    <row r="57" spans="5:62" s="139" customFormat="1" ht="13.5" customHeight="1" x14ac:dyDescent="0.2">
      <c r="E57" s="144"/>
      <c r="F57" s="139" t="e">
        <f ca="1">文章34</f>
        <v>#NAME?</v>
      </c>
      <c r="BF57" s="145"/>
    </row>
    <row r="58" spans="5:62" s="139" customFormat="1" ht="13.5" customHeight="1" x14ac:dyDescent="0.2">
      <c r="E58" s="144"/>
      <c r="F58" s="139" t="e">
        <f ca="1">文章35</f>
        <v>#NAME?</v>
      </c>
      <c r="BF58" s="145"/>
    </row>
    <row r="59" spans="5:62" s="139" customFormat="1" ht="13.5" customHeight="1" x14ac:dyDescent="0.2">
      <c r="E59" s="144"/>
      <c r="F59" s="139" t="e">
        <f ca="1">文章36</f>
        <v>#NAME?</v>
      </c>
      <c r="BF59" s="145"/>
    </row>
    <row r="60" spans="5:62" s="139" customFormat="1" ht="13.5" customHeight="1" x14ac:dyDescent="0.2">
      <c r="E60" s="144"/>
      <c r="F60" s="139" t="e">
        <f ca="1">文章37</f>
        <v>#NAME?</v>
      </c>
      <c r="BF60" s="145"/>
    </row>
    <row r="61" spans="5:62" s="139" customFormat="1" ht="13.5" customHeight="1" x14ac:dyDescent="0.2">
      <c r="E61" s="147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8"/>
      <c r="AP61" s="148"/>
      <c r="AQ61" s="148"/>
      <c r="AR61" s="148"/>
      <c r="AS61" s="148"/>
      <c r="AT61" s="148"/>
      <c r="AU61" s="148"/>
      <c r="AV61" s="148"/>
      <c r="AW61" s="148"/>
      <c r="AX61" s="148"/>
      <c r="AY61" s="148"/>
      <c r="AZ61" s="148"/>
      <c r="BA61" s="148"/>
      <c r="BB61" s="148"/>
      <c r="BC61" s="148"/>
      <c r="BD61" s="148"/>
      <c r="BE61" s="148"/>
      <c r="BF61" s="149"/>
    </row>
    <row r="62" spans="5:62" s="139" customFormat="1" ht="13.5" customHeight="1" x14ac:dyDescent="0.2"/>
    <row r="63" spans="5:62" s="139" customFormat="1" ht="13.5" customHeight="1" x14ac:dyDescent="0.2"/>
    <row r="64" spans="5:62" ht="13.5" customHeight="1" x14ac:dyDescent="0.2">
      <c r="V64" s="8"/>
      <c r="W64" s="8"/>
      <c r="X64" s="8"/>
      <c r="Y64" s="8"/>
      <c r="Z64" s="8"/>
      <c r="AA64" s="8"/>
      <c r="AB64" s="8"/>
      <c r="AC64" s="8"/>
      <c r="AD64" s="8"/>
      <c r="AK64" s="5"/>
      <c r="BB64" s="8"/>
      <c r="BC64" s="8"/>
      <c r="BD64" s="8"/>
      <c r="BE64" s="8"/>
      <c r="BF64" s="8"/>
      <c r="BG64" s="8"/>
      <c r="BH64" s="8"/>
      <c r="BI64" s="8"/>
      <c r="BJ64" s="8"/>
    </row>
    <row r="66" spans="2:62" ht="13.5" customHeight="1" x14ac:dyDescent="0.2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</row>
  </sheetData>
  <mergeCells count="3">
    <mergeCell ref="B19:BH19"/>
    <mergeCell ref="J11:AI12"/>
    <mergeCell ref="J8:AI10"/>
  </mergeCells>
  <phoneticPr fontId="1"/>
  <pageMargins left="0.15748031496062992" right="0.15748031496062992" top="0.59055118110236227" bottom="0.47244094488188981" header="0" footer="0"/>
  <pageSetup paperSize="9" orientation="portrait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btnPanel">
          <controlPr defaultSize="0" print="0" disabled="1" autoFill="0" autoLine="0" r:id="rId5">
            <anchor>
              <from>
                <xdr:col>0</xdr:col>
                <xdr:colOff>0</xdr:colOff>
                <xdr:row>0</xdr:row>
                <xdr:rowOff>50800</xdr:rowOff>
              </from>
              <to>
                <xdr:col>54</xdr:col>
                <xdr:colOff>63500</xdr:colOff>
                <xdr:row>2</xdr:row>
                <xdr:rowOff>127000</xdr:rowOff>
              </to>
            </anchor>
          </controlPr>
        </control>
      </mc:Choice>
      <mc:Fallback>
        <control shapeId="1025" r:id="rId4" name="btnPanel"/>
      </mc:Fallback>
    </mc:AlternateContent>
    <mc:AlternateContent xmlns:mc="http://schemas.openxmlformats.org/markup-compatibility/2006">
      <mc:Choice Requires="x14">
        <control shapeId="1026" r:id="rId6" name="btnPrint">
          <controlPr defaultSize="0" print="0" disabled="1" autoFill="0" autoLine="0" r:id="rId7">
            <anchor>
              <from>
                <xdr:col>37</xdr:col>
                <xdr:colOff>57150</xdr:colOff>
                <xdr:row>0</xdr:row>
                <xdr:rowOff>127000</xdr:rowOff>
              </from>
              <to>
                <xdr:col>42</xdr:col>
                <xdr:colOff>19050</xdr:colOff>
                <xdr:row>2</xdr:row>
                <xdr:rowOff>50800</xdr:rowOff>
              </to>
            </anchor>
          </controlPr>
        </control>
      </mc:Choice>
      <mc:Fallback>
        <control shapeId="1026" r:id="rId6" name="btnPrint"/>
      </mc:Fallback>
    </mc:AlternateContent>
    <mc:AlternateContent xmlns:mc="http://schemas.openxmlformats.org/markup-compatibility/2006">
      <mc:Choice Requires="x14">
        <control shapeId="1027" r:id="rId8" name="spinPage">
          <controlPr defaultSize="0" print="0" disabled="1" autoFill="0" autoLine="0" r:id="rId9">
            <anchor>
              <from>
                <xdr:col>5</xdr:col>
                <xdr:colOff>12700</xdr:colOff>
                <xdr:row>0</xdr:row>
                <xdr:rowOff>146050</xdr:rowOff>
              </from>
              <to>
                <xdr:col>9</xdr:col>
                <xdr:colOff>38100</xdr:colOff>
                <xdr:row>2</xdr:row>
                <xdr:rowOff>38100</xdr:rowOff>
              </to>
            </anchor>
          </controlPr>
        </control>
      </mc:Choice>
      <mc:Fallback>
        <control shapeId="1027" r:id="rId8" name="spinPage"/>
      </mc:Fallback>
    </mc:AlternateContent>
    <mc:AlternateContent xmlns:mc="http://schemas.openxmlformats.org/markup-compatibility/2006">
      <mc:Choice Requires="x14">
        <control shapeId="1028" r:id="rId10" name="txtFrom">
          <controlPr defaultSize="0" print="0" disabled="1" autoFill="0" autoLine="0" r:id="rId11">
            <anchor>
              <from>
                <xdr:col>17</xdr:col>
                <xdr:colOff>0</xdr:colOff>
                <xdr:row>0</xdr:row>
                <xdr:rowOff>127000</xdr:rowOff>
              </from>
              <to>
                <xdr:col>21</xdr:col>
                <xdr:colOff>95250</xdr:colOff>
                <xdr:row>2</xdr:row>
                <xdr:rowOff>50800</xdr:rowOff>
              </to>
            </anchor>
          </controlPr>
        </control>
      </mc:Choice>
      <mc:Fallback>
        <control shapeId="1028" r:id="rId10" name="txtFrom"/>
      </mc:Fallback>
    </mc:AlternateContent>
    <mc:AlternateContent xmlns:mc="http://schemas.openxmlformats.org/markup-compatibility/2006">
      <mc:Choice Requires="x14">
        <control shapeId="1029" r:id="rId12" name="txtTo">
          <controlPr defaultSize="0" print="0" disabled="1" autoFill="0" autoLine="0" r:id="rId11">
            <anchor>
              <from>
                <xdr:col>23</xdr:col>
                <xdr:colOff>95250</xdr:colOff>
                <xdr:row>0</xdr:row>
                <xdr:rowOff>127000</xdr:rowOff>
              </from>
              <to>
                <xdr:col>28</xdr:col>
                <xdr:colOff>76200</xdr:colOff>
                <xdr:row>2</xdr:row>
                <xdr:rowOff>50800</xdr:rowOff>
              </to>
            </anchor>
          </controlPr>
        </control>
      </mc:Choice>
      <mc:Fallback>
        <control shapeId="1029" r:id="rId12" name="txtTo"/>
      </mc:Fallback>
    </mc:AlternateContent>
    <mc:AlternateContent xmlns:mc="http://schemas.openxmlformats.org/markup-compatibility/2006">
      <mc:Choice Requires="x14">
        <control shapeId="1030" r:id="rId13" name="txtPage">
          <controlPr defaultSize="0" print="0" disabled="1" autoFill="0" autoLine="0" r:id="rId11">
            <anchor>
              <from>
                <xdr:col>0</xdr:col>
                <xdr:colOff>57150</xdr:colOff>
                <xdr:row>0</xdr:row>
                <xdr:rowOff>127000</xdr:rowOff>
              </from>
              <to>
                <xdr:col>5</xdr:col>
                <xdr:colOff>38100</xdr:colOff>
                <xdr:row>2</xdr:row>
                <xdr:rowOff>50800</xdr:rowOff>
              </to>
            </anchor>
          </controlPr>
        </control>
      </mc:Choice>
      <mc:Fallback>
        <control shapeId="1030" r:id="rId13" name="txtPage"/>
      </mc:Fallback>
    </mc:AlternateContent>
    <mc:AlternateContent xmlns:mc="http://schemas.openxmlformats.org/markup-compatibility/2006">
      <mc:Choice Requires="x14">
        <control shapeId="1031" r:id="rId14" name="btnPreview">
          <controlPr defaultSize="0" print="0" disabled="1" autoFill="0" autoLine="0" r:id="rId15">
            <anchor>
              <from>
                <xdr:col>29</xdr:col>
                <xdr:colOff>50800</xdr:colOff>
                <xdr:row>0</xdr:row>
                <xdr:rowOff>127000</xdr:rowOff>
              </from>
              <to>
                <xdr:col>37</xdr:col>
                <xdr:colOff>57150</xdr:colOff>
                <xdr:row>2</xdr:row>
                <xdr:rowOff>50800</xdr:rowOff>
              </to>
            </anchor>
          </controlPr>
        </control>
      </mc:Choice>
      <mc:Fallback>
        <control shapeId="1031" r:id="rId14" name="btnPreview"/>
      </mc:Fallback>
    </mc:AlternateContent>
    <mc:AlternateContent xmlns:mc="http://schemas.openxmlformats.org/markup-compatibility/2006">
      <mc:Choice Requires="x14">
        <control shapeId="1032" r:id="rId16" name="btnList">
          <controlPr defaultSize="0" print="0" autoFill="0" autoLine="0" r:id="rId17">
            <anchor>
              <from>
                <xdr:col>42</xdr:col>
                <xdr:colOff>38100</xdr:colOff>
                <xdr:row>0</xdr:row>
                <xdr:rowOff>127000</xdr:rowOff>
              </from>
              <to>
                <xdr:col>50</xdr:col>
                <xdr:colOff>44450</xdr:colOff>
                <xdr:row>2</xdr:row>
                <xdr:rowOff>50800</xdr:rowOff>
              </to>
            </anchor>
          </controlPr>
        </control>
      </mc:Choice>
      <mc:Fallback>
        <control shapeId="1032" r:id="rId16" name="btnList"/>
      </mc:Fallback>
    </mc:AlternateContent>
    <mc:AlternateContent xmlns:mc="http://schemas.openxmlformats.org/markup-compatibility/2006">
      <mc:Choice Requires="x14">
        <control shapeId="1033" r:id="rId18" name="Label1">
          <controlPr print="0" autoFill="0" autoLine="0" r:id="rId19">
            <anchor>
              <from>
                <xdr:col>11</xdr:col>
                <xdr:colOff>19050</xdr:colOff>
                <xdr:row>1</xdr:row>
                <xdr:rowOff>19050</xdr:rowOff>
              </from>
              <to>
                <xdr:col>17</xdr:col>
                <xdr:colOff>38100</xdr:colOff>
                <xdr:row>2</xdr:row>
                <xdr:rowOff>50800</xdr:rowOff>
              </to>
            </anchor>
          </controlPr>
        </control>
      </mc:Choice>
      <mc:Fallback>
        <control shapeId="1033" r:id="rId18" name="Label1"/>
      </mc:Fallback>
    </mc:AlternateContent>
    <mc:AlternateContent xmlns:mc="http://schemas.openxmlformats.org/markup-compatibility/2006">
      <mc:Choice Requires="x14">
        <control shapeId="1034" r:id="rId20" name="Label2">
          <controlPr print="0" autoFill="0" autoLine="0" r:id="rId21">
            <anchor>
              <from>
                <xdr:col>22</xdr:col>
                <xdr:colOff>0</xdr:colOff>
                <xdr:row>1</xdr:row>
                <xdr:rowOff>19050</xdr:rowOff>
              </from>
              <to>
                <xdr:col>23</xdr:col>
                <xdr:colOff>76200</xdr:colOff>
                <xdr:row>2</xdr:row>
                <xdr:rowOff>0</xdr:rowOff>
              </to>
            </anchor>
          </controlPr>
        </control>
      </mc:Choice>
      <mc:Fallback>
        <control shapeId="1034" r:id="rId20" name="Label2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/>
  <dimension ref="A1:M118"/>
  <sheetViews>
    <sheetView zoomScaleNormal="100" workbookViewId="0"/>
  </sheetViews>
  <sheetFormatPr defaultColWidth="3.453125" defaultRowHeight="13" x14ac:dyDescent="0.2"/>
  <cols>
    <col min="1" max="1" width="18.6328125" customWidth="1"/>
    <col min="2" max="2" width="16.6328125" style="9" customWidth="1"/>
    <col min="3" max="3" width="3.6328125" customWidth="1"/>
    <col min="4" max="4" width="8.6328125" customWidth="1"/>
    <col min="5" max="5" width="3.6328125" customWidth="1"/>
    <col min="6" max="6" width="8.6328125" customWidth="1"/>
    <col min="7" max="7" width="3.6328125" customWidth="1"/>
    <col min="8" max="8" width="8.6328125" customWidth="1"/>
    <col min="9" max="9" width="3.6328125" customWidth="1"/>
    <col min="10" max="10" width="8.6328125" customWidth="1"/>
    <col min="11" max="11" width="3.6328125" customWidth="1"/>
    <col min="12" max="12" width="8.6328125" customWidth="1"/>
  </cols>
  <sheetData>
    <row r="1" spans="1:12" ht="12.75" customHeight="1" x14ac:dyDescent="0.2">
      <c r="A1" s="171"/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</row>
    <row r="2" spans="1:12" ht="22.5" customHeight="1" x14ac:dyDescent="0.2">
      <c r="A2" s="194" t="s">
        <v>285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6"/>
    </row>
    <row r="3" spans="1:12" ht="12.75" customHeight="1" x14ac:dyDescent="0.2">
      <c r="A3" s="12" t="s">
        <v>200</v>
      </c>
      <c r="B3" s="13" t="s">
        <v>199</v>
      </c>
      <c r="C3" s="172" t="s">
        <v>201</v>
      </c>
      <c r="D3" s="173"/>
      <c r="E3" s="183"/>
      <c r="F3" s="13" t="s">
        <v>167</v>
      </c>
      <c r="G3" s="13" t="s">
        <v>168</v>
      </c>
      <c r="H3" s="172" t="s">
        <v>202</v>
      </c>
      <c r="I3" s="173"/>
      <c r="J3" s="172" t="s">
        <v>203</v>
      </c>
      <c r="K3" s="173"/>
      <c r="L3" s="174"/>
    </row>
    <row r="4" spans="1:12" ht="13" customHeight="1" x14ac:dyDescent="0.2">
      <c r="A4" s="14"/>
      <c r="B4" s="15"/>
      <c r="C4" s="184"/>
      <c r="D4" s="185"/>
      <c r="E4" s="186"/>
      <c r="F4" s="18"/>
      <c r="G4" s="15"/>
      <c r="H4" s="175"/>
      <c r="I4" s="176"/>
      <c r="J4" s="204"/>
      <c r="K4" s="205"/>
      <c r="L4" s="206"/>
    </row>
    <row r="5" spans="1:12" ht="13" customHeight="1" x14ac:dyDescent="0.2">
      <c r="A5" s="258" t="s">
        <v>197</v>
      </c>
      <c r="B5" s="15" t="s">
        <v>278</v>
      </c>
      <c r="C5" s="163"/>
      <c r="D5" s="166"/>
      <c r="E5" s="163"/>
      <c r="F5" s="166"/>
      <c r="G5" s="163"/>
      <c r="H5" s="166"/>
      <c r="I5" s="163"/>
      <c r="J5" s="166"/>
      <c r="K5" s="163"/>
      <c r="L5" s="164"/>
    </row>
    <row r="6" spans="1:12" ht="13" customHeight="1" x14ac:dyDescent="0.2">
      <c r="A6" s="259"/>
      <c r="B6" s="15" t="s">
        <v>279</v>
      </c>
      <c r="C6" s="165" t="s">
        <v>280</v>
      </c>
      <c r="D6" s="168"/>
      <c r="E6" s="167" t="s">
        <v>281</v>
      </c>
      <c r="F6" s="167"/>
      <c r="G6" s="167" t="s">
        <v>282</v>
      </c>
      <c r="H6" s="167"/>
      <c r="I6" s="167" t="s">
        <v>283</v>
      </c>
      <c r="J6" s="167"/>
      <c r="K6" s="165" t="s">
        <v>284</v>
      </c>
      <c r="L6" s="164"/>
    </row>
    <row r="7" spans="1:12" s="11" customFormat="1" ht="13" customHeight="1" x14ac:dyDescent="0.2">
      <c r="A7" s="20" t="s">
        <v>182</v>
      </c>
      <c r="B7" s="21"/>
      <c r="C7" s="16"/>
      <c r="D7" s="22"/>
      <c r="E7" s="16"/>
      <c r="F7" s="17"/>
      <c r="G7" s="16"/>
      <c r="H7" s="17"/>
      <c r="I7" s="16"/>
      <c r="J7" s="17"/>
      <c r="K7" s="66"/>
      <c r="L7" s="71"/>
    </row>
    <row r="8" spans="1:12" s="11" customFormat="1" ht="13" customHeight="1" x14ac:dyDescent="0.2">
      <c r="A8" s="23" t="s">
        <v>204</v>
      </c>
      <c r="B8" s="21" t="s">
        <v>463</v>
      </c>
      <c r="C8" s="16"/>
      <c r="D8" s="24"/>
      <c r="E8" s="16"/>
      <c r="F8" s="61"/>
      <c r="G8" s="16"/>
      <c r="H8" s="24"/>
      <c r="I8" s="16"/>
      <c r="J8" s="24"/>
      <c r="K8" s="16"/>
      <c r="L8" s="72"/>
    </row>
    <row r="9" spans="1:12" s="11" customFormat="1" ht="13" customHeight="1" x14ac:dyDescent="0.2">
      <c r="A9" s="23" t="s">
        <v>205</v>
      </c>
      <c r="B9" s="21" t="s">
        <v>464</v>
      </c>
      <c r="C9" s="16"/>
      <c r="D9" s="24"/>
      <c r="E9" s="16"/>
      <c r="F9" s="61"/>
      <c r="G9" s="16"/>
      <c r="H9" s="24"/>
      <c r="I9" s="16"/>
      <c r="J9" s="24"/>
      <c r="K9" s="16"/>
      <c r="L9" s="72"/>
    </row>
    <row r="10" spans="1:12" s="11" customFormat="1" ht="13" customHeight="1" x14ac:dyDescent="0.2">
      <c r="A10" s="23" t="s">
        <v>198</v>
      </c>
      <c r="B10" s="21" t="s">
        <v>465</v>
      </c>
      <c r="C10" s="16"/>
      <c r="D10" s="25"/>
      <c r="E10" s="16"/>
      <c r="F10" s="69"/>
      <c r="G10" s="16"/>
      <c r="H10" s="25"/>
      <c r="I10" s="16"/>
      <c r="J10" s="25"/>
      <c r="K10" s="16"/>
      <c r="L10" s="73"/>
    </row>
    <row r="11" spans="1:12" s="11" customFormat="1" ht="13" customHeight="1" x14ac:dyDescent="0.2">
      <c r="A11" s="23" t="s">
        <v>466</v>
      </c>
      <c r="B11" s="21" t="s">
        <v>364</v>
      </c>
      <c r="C11" s="19"/>
      <c r="D11" s="83"/>
      <c r="E11" s="19"/>
      <c r="F11" s="83"/>
      <c r="G11" s="19"/>
      <c r="H11" s="83"/>
      <c r="I11" s="19"/>
      <c r="J11" s="83"/>
      <c r="K11" s="19"/>
      <c r="L11" s="85"/>
    </row>
    <row r="12" spans="1:12" s="11" customFormat="1" ht="13" customHeight="1" x14ac:dyDescent="0.2">
      <c r="A12" s="23" t="s">
        <v>467</v>
      </c>
      <c r="B12" s="21" t="s">
        <v>468</v>
      </c>
      <c r="C12" s="19"/>
      <c r="D12" s="84"/>
      <c r="E12" s="19"/>
      <c r="F12" s="86"/>
      <c r="G12" s="19"/>
      <c r="H12" s="84"/>
      <c r="I12" s="19"/>
      <c r="J12" s="84"/>
      <c r="K12" s="19"/>
      <c r="L12" s="87"/>
    </row>
    <row r="13" spans="1:12" s="11" customFormat="1" ht="13" customHeight="1" x14ac:dyDescent="0.2">
      <c r="A13" s="23" t="s">
        <v>469</v>
      </c>
      <c r="B13" s="21" t="s">
        <v>470</v>
      </c>
      <c r="C13" s="16"/>
      <c r="D13" s="26"/>
      <c r="E13" s="16"/>
      <c r="F13" s="70"/>
      <c r="G13" s="16"/>
      <c r="H13" s="26"/>
      <c r="I13" s="16"/>
      <c r="J13" s="26"/>
      <c r="K13" s="16"/>
      <c r="L13" s="74"/>
    </row>
    <row r="14" spans="1:12" s="11" customFormat="1" ht="13" customHeight="1" x14ac:dyDescent="0.2">
      <c r="A14" s="23" t="s">
        <v>471</v>
      </c>
      <c r="B14" s="21" t="s">
        <v>472</v>
      </c>
      <c r="C14" s="16"/>
      <c r="D14" s="26"/>
      <c r="E14" s="16"/>
      <c r="F14" s="70"/>
      <c r="G14" s="16"/>
      <c r="H14" s="26"/>
      <c r="I14" s="16"/>
      <c r="J14" s="26"/>
      <c r="K14" s="16"/>
      <c r="L14" s="74"/>
    </row>
    <row r="15" spans="1:12" s="11" customFormat="1" ht="13" customHeight="1" x14ac:dyDescent="0.2">
      <c r="A15" s="23" t="s">
        <v>473</v>
      </c>
      <c r="B15" s="21" t="s">
        <v>474</v>
      </c>
      <c r="C15" s="16"/>
      <c r="D15" s="26"/>
      <c r="E15" s="16"/>
      <c r="F15" s="70"/>
      <c r="G15" s="16"/>
      <c r="H15" s="26"/>
      <c r="I15" s="16"/>
      <c r="J15" s="26"/>
      <c r="K15" s="16"/>
      <c r="L15" s="74"/>
    </row>
    <row r="16" spans="1:12" s="11" customFormat="1" ht="13" customHeight="1" x14ac:dyDescent="0.2">
      <c r="A16" s="23" t="s">
        <v>475</v>
      </c>
      <c r="B16" s="21" t="s">
        <v>476</v>
      </c>
      <c r="C16" s="19"/>
      <c r="D16" s="84"/>
      <c r="E16" s="67"/>
      <c r="F16" s="86"/>
      <c r="G16" s="67"/>
      <c r="H16" s="84"/>
      <c r="I16" s="67"/>
      <c r="J16" s="84"/>
      <c r="K16" s="67"/>
      <c r="L16" s="87"/>
    </row>
    <row r="17" spans="1:12" s="11" customFormat="1" ht="13" customHeight="1" x14ac:dyDescent="0.2">
      <c r="A17" s="23" t="s">
        <v>477</v>
      </c>
      <c r="B17" s="21" t="s">
        <v>478</v>
      </c>
      <c r="C17" s="16"/>
      <c r="D17" s="26"/>
      <c r="E17" s="16"/>
      <c r="F17" s="70"/>
      <c r="G17" s="16"/>
      <c r="H17" s="26"/>
      <c r="I17" s="16"/>
      <c r="J17" s="26"/>
      <c r="K17" s="16"/>
      <c r="L17" s="74"/>
    </row>
    <row r="18" spans="1:12" s="11" customFormat="1" ht="13" customHeight="1" x14ac:dyDescent="0.2">
      <c r="A18" s="23" t="s">
        <v>479</v>
      </c>
      <c r="B18" s="21" t="s">
        <v>480</v>
      </c>
      <c r="C18" s="19"/>
      <c r="D18" s="84"/>
      <c r="E18" s="67"/>
      <c r="F18" s="86"/>
      <c r="G18" s="67"/>
      <c r="H18" s="84"/>
      <c r="I18" s="67"/>
      <c r="J18" s="84"/>
      <c r="K18" s="67"/>
      <c r="L18" s="87"/>
    </row>
    <row r="19" spans="1:12" s="11" customFormat="1" ht="13" customHeight="1" x14ac:dyDescent="0.2">
      <c r="A19" s="23" t="s">
        <v>206</v>
      </c>
      <c r="B19" s="21" t="s">
        <v>481</v>
      </c>
      <c r="C19" s="16"/>
      <c r="D19" s="24"/>
      <c r="E19" s="16"/>
      <c r="F19" s="61"/>
      <c r="G19" s="16"/>
      <c r="H19" s="24"/>
      <c r="I19" s="16"/>
      <c r="J19" s="24"/>
      <c r="K19" s="16"/>
      <c r="L19" s="72"/>
    </row>
    <row r="20" spans="1:12" s="11" customFormat="1" ht="13" customHeight="1" x14ac:dyDescent="0.2">
      <c r="A20" s="23" t="s">
        <v>207</v>
      </c>
      <c r="B20" s="21" t="s">
        <v>482</v>
      </c>
      <c r="C20" s="19"/>
      <c r="D20" s="88"/>
      <c r="E20" s="19"/>
      <c r="F20" s="88"/>
      <c r="G20" s="19"/>
      <c r="H20" s="88"/>
      <c r="I20" s="19"/>
      <c r="J20" s="88"/>
      <c r="K20" s="19"/>
      <c r="L20" s="89"/>
    </row>
    <row r="21" spans="1:12" s="11" customFormat="1" ht="13" customHeight="1" x14ac:dyDescent="0.2">
      <c r="A21" s="23" t="s">
        <v>208</v>
      </c>
      <c r="B21" s="21" t="s">
        <v>365</v>
      </c>
      <c r="C21" s="19"/>
      <c r="D21" s="55"/>
      <c r="E21" s="19"/>
      <c r="F21" s="55"/>
      <c r="G21" s="19"/>
      <c r="H21" s="55"/>
      <c r="I21" s="19"/>
      <c r="J21" s="55"/>
      <c r="K21" s="19"/>
      <c r="L21" s="75"/>
    </row>
    <row r="22" spans="1:12" s="11" customFormat="1" ht="13" customHeight="1" x14ac:dyDescent="0.2">
      <c r="A22" s="23"/>
      <c r="B22" s="21"/>
      <c r="C22" s="16" t="s">
        <v>372</v>
      </c>
      <c r="D22" s="22"/>
      <c r="E22" s="16"/>
      <c r="F22" s="17"/>
      <c r="G22" s="16"/>
      <c r="H22" s="17"/>
      <c r="I22" s="16"/>
      <c r="J22" s="17"/>
      <c r="K22" s="16"/>
      <c r="L22" s="76"/>
    </row>
    <row r="23" spans="1:12" s="11" customFormat="1" ht="13" customHeight="1" x14ac:dyDescent="0.2">
      <c r="A23" s="23"/>
      <c r="B23" s="21"/>
      <c r="C23" s="16" t="s">
        <v>372</v>
      </c>
      <c r="D23" s="22"/>
      <c r="E23" s="16"/>
      <c r="F23" s="17"/>
      <c r="G23" s="16"/>
      <c r="H23" s="17"/>
      <c r="I23" s="16"/>
      <c r="J23" s="17"/>
      <c r="K23" s="16"/>
      <c r="L23" s="76"/>
    </row>
    <row r="24" spans="1:12" s="11" customFormat="1" ht="13" customHeight="1" x14ac:dyDescent="0.2">
      <c r="A24" s="23" t="s">
        <v>209</v>
      </c>
      <c r="B24" s="21" t="s">
        <v>483</v>
      </c>
      <c r="C24" s="19"/>
      <c r="D24" s="84"/>
      <c r="E24" s="67"/>
      <c r="F24" s="84"/>
      <c r="G24" s="67"/>
      <c r="H24" s="84"/>
      <c r="I24" s="67"/>
      <c r="J24" s="84"/>
      <c r="K24" s="67"/>
      <c r="L24" s="87"/>
    </row>
    <row r="25" spans="1:12" s="11" customFormat="1" ht="13" customHeight="1" x14ac:dyDescent="0.2">
      <c r="A25" s="20" t="s">
        <v>210</v>
      </c>
      <c r="B25" s="21"/>
      <c r="C25" s="16" t="s">
        <v>372</v>
      </c>
      <c r="D25" s="22"/>
      <c r="E25" s="16"/>
      <c r="F25" s="17"/>
      <c r="G25" s="16"/>
      <c r="H25" s="17"/>
      <c r="I25" s="16"/>
      <c r="J25" s="17"/>
      <c r="K25" s="16"/>
      <c r="L25" s="76"/>
    </row>
    <row r="26" spans="1:12" s="11" customFormat="1" ht="13" customHeight="1" x14ac:dyDescent="0.2">
      <c r="A26" s="23" t="s">
        <v>211</v>
      </c>
      <c r="B26" s="21" t="s">
        <v>484</v>
      </c>
      <c r="C26" s="16"/>
      <c r="D26" s="27"/>
      <c r="E26" s="16"/>
      <c r="F26" s="62"/>
      <c r="G26" s="16"/>
      <c r="H26" s="27"/>
      <c r="I26" s="16"/>
      <c r="J26" s="27"/>
      <c r="K26" s="16"/>
      <c r="L26" s="77"/>
    </row>
    <row r="27" spans="1:12" s="11" customFormat="1" ht="13" customHeight="1" x14ac:dyDescent="0.2">
      <c r="A27" s="23" t="s">
        <v>212</v>
      </c>
      <c r="B27" s="21" t="s">
        <v>485</v>
      </c>
      <c r="C27" s="16"/>
      <c r="D27" s="27"/>
      <c r="E27" s="16"/>
      <c r="F27" s="62"/>
      <c r="G27" s="16"/>
      <c r="H27" s="27"/>
      <c r="I27" s="16"/>
      <c r="J27" s="27"/>
      <c r="K27" s="16"/>
      <c r="L27" s="77"/>
    </row>
    <row r="28" spans="1:12" s="11" customFormat="1" ht="13" customHeight="1" x14ac:dyDescent="0.2">
      <c r="A28" s="23" t="s">
        <v>0</v>
      </c>
      <c r="B28" s="21" t="s">
        <v>1</v>
      </c>
      <c r="C28" s="16"/>
      <c r="D28" s="27"/>
      <c r="E28" s="16"/>
      <c r="F28" s="62"/>
      <c r="G28" s="16"/>
      <c r="H28" s="27"/>
      <c r="I28" s="16"/>
      <c r="J28" s="27"/>
      <c r="K28" s="16"/>
      <c r="L28" s="77"/>
    </row>
    <row r="29" spans="1:12" s="11" customFormat="1" ht="13" customHeight="1" x14ac:dyDescent="0.2">
      <c r="A29" s="23" t="s">
        <v>2</v>
      </c>
      <c r="B29" s="21" t="s">
        <v>366</v>
      </c>
      <c r="C29" s="16"/>
      <c r="D29" s="27"/>
      <c r="E29" s="16"/>
      <c r="F29" s="62"/>
      <c r="G29" s="16"/>
      <c r="H29" s="27"/>
      <c r="I29" s="16"/>
      <c r="J29" s="27"/>
      <c r="K29" s="16"/>
      <c r="L29" s="77"/>
    </row>
    <row r="30" spans="1:12" s="11" customFormat="1" ht="13" customHeight="1" x14ac:dyDescent="0.2">
      <c r="A30" s="20" t="s">
        <v>184</v>
      </c>
      <c r="B30" s="21"/>
      <c r="C30" s="16" t="s">
        <v>372</v>
      </c>
      <c r="D30" s="22"/>
      <c r="E30" s="16"/>
      <c r="F30" s="56"/>
      <c r="G30" s="16"/>
      <c r="H30" s="17"/>
      <c r="I30" s="16"/>
      <c r="J30" s="17"/>
      <c r="K30" s="16"/>
      <c r="L30" s="76"/>
    </row>
    <row r="31" spans="1:12" s="11" customFormat="1" ht="13" customHeight="1" x14ac:dyDescent="0.2">
      <c r="A31" s="23" t="s">
        <v>213</v>
      </c>
      <c r="B31" s="21" t="s">
        <v>443</v>
      </c>
      <c r="C31" s="16"/>
      <c r="D31" s="24"/>
      <c r="E31" s="16"/>
      <c r="F31" s="61"/>
      <c r="G31" s="16"/>
      <c r="H31" s="24"/>
      <c r="I31" s="16"/>
      <c r="J31" s="24"/>
      <c r="K31" s="16"/>
      <c r="L31" s="72"/>
    </row>
    <row r="32" spans="1:12" s="11" customFormat="1" ht="13" customHeight="1" x14ac:dyDescent="0.2">
      <c r="A32" s="20" t="s">
        <v>214</v>
      </c>
      <c r="B32" s="21"/>
      <c r="C32" s="16" t="s">
        <v>372</v>
      </c>
      <c r="D32" s="22"/>
      <c r="E32" s="16"/>
      <c r="F32" s="56"/>
      <c r="G32" s="16"/>
      <c r="H32" s="17"/>
      <c r="I32" s="16"/>
      <c r="J32" s="17"/>
      <c r="K32" s="16"/>
      <c r="L32" s="76"/>
    </row>
    <row r="33" spans="1:12" s="11" customFormat="1" ht="13" customHeight="1" x14ac:dyDescent="0.2">
      <c r="A33" s="23" t="s">
        <v>215</v>
      </c>
      <c r="B33" s="21" t="s">
        <v>3</v>
      </c>
      <c r="C33" s="19"/>
      <c r="D33" s="90"/>
      <c r="E33" s="58"/>
      <c r="F33" s="91"/>
      <c r="G33" s="58"/>
      <c r="H33" s="90"/>
      <c r="I33" s="58"/>
      <c r="J33" s="90"/>
      <c r="K33" s="58"/>
      <c r="L33" s="92"/>
    </row>
    <row r="34" spans="1:12" s="11" customFormat="1" ht="13" customHeight="1" x14ac:dyDescent="0.2">
      <c r="A34" s="23" t="s">
        <v>4</v>
      </c>
      <c r="B34" s="21" t="s">
        <v>5</v>
      </c>
      <c r="C34" s="16"/>
      <c r="D34" s="28"/>
      <c r="E34" s="16"/>
      <c r="F34" s="59"/>
      <c r="G34" s="16"/>
      <c r="H34" s="28"/>
      <c r="I34" s="16"/>
      <c r="J34" s="28"/>
      <c r="K34" s="16"/>
      <c r="L34" s="78"/>
    </row>
    <row r="35" spans="1:12" s="11" customFormat="1" ht="13" customHeight="1" x14ac:dyDescent="0.2">
      <c r="A35" s="23" t="s">
        <v>6</v>
      </c>
      <c r="B35" s="21" t="s">
        <v>7</v>
      </c>
      <c r="C35" s="19"/>
      <c r="D35" s="84"/>
      <c r="E35" s="67"/>
      <c r="F35" s="84"/>
      <c r="G35" s="67"/>
      <c r="H35" s="84"/>
      <c r="I35" s="67"/>
      <c r="J35" s="84"/>
      <c r="K35" s="67"/>
      <c r="L35" s="87"/>
    </row>
    <row r="36" spans="1:12" s="11" customFormat="1" ht="13" customHeight="1" x14ac:dyDescent="0.2">
      <c r="A36" s="23" t="s">
        <v>8</v>
      </c>
      <c r="B36" s="21" t="s">
        <v>9</v>
      </c>
      <c r="C36" s="19"/>
      <c r="D36" s="90"/>
      <c r="E36" s="58"/>
      <c r="F36" s="90"/>
      <c r="G36" s="58"/>
      <c r="H36" s="90"/>
      <c r="I36" s="58"/>
      <c r="J36" s="90"/>
      <c r="K36" s="58"/>
      <c r="L36" s="92"/>
    </row>
    <row r="37" spans="1:12" s="11" customFormat="1" ht="13" customHeight="1" x14ac:dyDescent="0.2">
      <c r="A37" s="23" t="s">
        <v>10</v>
      </c>
      <c r="B37" s="21" t="s">
        <v>11</v>
      </c>
      <c r="C37" s="19"/>
      <c r="D37" s="84"/>
      <c r="E37" s="67"/>
      <c r="F37" s="84"/>
      <c r="G37" s="67"/>
      <c r="H37" s="84"/>
      <c r="I37" s="67"/>
      <c r="J37" s="84"/>
      <c r="K37" s="67"/>
      <c r="L37" s="87"/>
    </row>
    <row r="38" spans="1:12" s="11" customFormat="1" ht="13" customHeight="1" x14ac:dyDescent="0.2">
      <c r="A38" s="23" t="s">
        <v>12</v>
      </c>
      <c r="B38" s="21" t="s">
        <v>13</v>
      </c>
      <c r="C38" s="19"/>
      <c r="D38" s="90"/>
      <c r="E38" s="58"/>
      <c r="F38" s="90"/>
      <c r="G38" s="58"/>
      <c r="H38" s="90"/>
      <c r="I38" s="58"/>
      <c r="J38" s="90"/>
      <c r="K38" s="58"/>
      <c r="L38" s="92"/>
    </row>
    <row r="39" spans="1:12" s="11" customFormat="1" ht="13" customHeight="1" x14ac:dyDescent="0.2">
      <c r="A39" s="23" t="s">
        <v>14</v>
      </c>
      <c r="B39" s="21" t="s">
        <v>15</v>
      </c>
      <c r="C39" s="19"/>
      <c r="D39" s="90"/>
      <c r="E39" s="58"/>
      <c r="F39" s="90"/>
      <c r="G39" s="58"/>
      <c r="H39" s="90"/>
      <c r="I39" s="58"/>
      <c r="J39" s="90"/>
      <c r="K39" s="58"/>
      <c r="L39" s="92"/>
    </row>
    <row r="40" spans="1:12" s="11" customFormat="1" ht="13" customHeight="1" x14ac:dyDescent="0.2">
      <c r="A40" s="20" t="s">
        <v>216</v>
      </c>
      <c r="B40" s="21"/>
      <c r="C40" s="16" t="s">
        <v>372</v>
      </c>
      <c r="D40" s="22"/>
      <c r="E40" s="16"/>
      <c r="F40" s="17"/>
      <c r="G40" s="16"/>
      <c r="H40" s="17"/>
      <c r="I40" s="16"/>
      <c r="J40" s="17"/>
      <c r="K40" s="16"/>
      <c r="L40" s="76"/>
    </row>
    <row r="41" spans="1:12" s="11" customFormat="1" ht="13" customHeight="1" x14ac:dyDescent="0.2">
      <c r="A41" s="23" t="s">
        <v>16</v>
      </c>
      <c r="B41" s="21" t="s">
        <v>17</v>
      </c>
      <c r="C41" s="16"/>
      <c r="D41" s="24"/>
      <c r="E41" s="16"/>
      <c r="F41" s="61"/>
      <c r="G41" s="16"/>
      <c r="H41" s="24"/>
      <c r="I41" s="16"/>
      <c r="J41" s="24"/>
      <c r="K41" s="16"/>
      <c r="L41" s="72"/>
    </row>
    <row r="42" spans="1:12" s="11" customFormat="1" ht="13" customHeight="1" x14ac:dyDescent="0.2">
      <c r="A42" s="23" t="s">
        <v>217</v>
      </c>
      <c r="B42" s="21" t="s">
        <v>18</v>
      </c>
      <c r="C42" s="16"/>
      <c r="D42" s="27"/>
      <c r="E42" s="16"/>
      <c r="F42" s="62"/>
      <c r="G42" s="16"/>
      <c r="H42" s="27"/>
      <c r="I42" s="16"/>
      <c r="J42" s="27"/>
      <c r="K42" s="16"/>
      <c r="L42" s="77"/>
    </row>
    <row r="43" spans="1:12" s="11" customFormat="1" ht="13" customHeight="1" x14ac:dyDescent="0.2">
      <c r="A43" s="23" t="s">
        <v>218</v>
      </c>
      <c r="B43" s="21" t="s">
        <v>446</v>
      </c>
      <c r="C43" s="19"/>
      <c r="D43" s="84"/>
      <c r="E43" s="67"/>
      <c r="F43" s="86"/>
      <c r="G43" s="67"/>
      <c r="H43" s="84"/>
      <c r="I43" s="67"/>
      <c r="J43" s="84"/>
      <c r="K43" s="67"/>
      <c r="L43" s="87"/>
    </row>
    <row r="44" spans="1:12" s="11" customFormat="1" ht="13" customHeight="1" x14ac:dyDescent="0.2">
      <c r="A44" s="23" t="s">
        <v>219</v>
      </c>
      <c r="B44" s="21" t="s">
        <v>444</v>
      </c>
      <c r="C44" s="19"/>
      <c r="D44" s="84"/>
      <c r="E44" s="67"/>
      <c r="F44" s="86"/>
      <c r="G44" s="67"/>
      <c r="H44" s="84"/>
      <c r="I44" s="67"/>
      <c r="J44" s="84"/>
      <c r="K44" s="67"/>
      <c r="L44" s="87"/>
    </row>
    <row r="45" spans="1:12" s="11" customFormat="1" ht="13" customHeight="1" x14ac:dyDescent="0.2">
      <c r="A45" s="23" t="s">
        <v>265</v>
      </c>
      <c r="B45" s="21" t="s">
        <v>19</v>
      </c>
      <c r="C45" s="19"/>
      <c r="D45" s="84"/>
      <c r="E45" s="67"/>
      <c r="F45" s="86"/>
      <c r="G45" s="67"/>
      <c r="H45" s="84"/>
      <c r="I45" s="67"/>
      <c r="J45" s="84"/>
      <c r="K45" s="67"/>
      <c r="L45" s="87"/>
    </row>
    <row r="46" spans="1:12" s="11" customFormat="1" ht="13" customHeight="1" x14ac:dyDescent="0.2">
      <c r="A46" s="23" t="s">
        <v>20</v>
      </c>
      <c r="B46" s="21" t="s">
        <v>21</v>
      </c>
      <c r="C46" s="19"/>
      <c r="D46" s="84"/>
      <c r="E46" s="67"/>
      <c r="F46" s="86"/>
      <c r="G46" s="67"/>
      <c r="H46" s="84"/>
      <c r="I46" s="67"/>
      <c r="J46" s="84"/>
      <c r="K46" s="67"/>
      <c r="L46" s="87"/>
    </row>
    <row r="47" spans="1:12" s="11" customFormat="1" ht="13" customHeight="1" x14ac:dyDescent="0.2">
      <c r="A47" s="23" t="s">
        <v>22</v>
      </c>
      <c r="B47" s="21" t="s">
        <v>21</v>
      </c>
      <c r="C47" s="19"/>
      <c r="D47" s="84"/>
      <c r="E47" s="67"/>
      <c r="F47" s="86"/>
      <c r="G47" s="67"/>
      <c r="H47" s="84"/>
      <c r="I47" s="67"/>
      <c r="J47" s="84"/>
      <c r="K47" s="67"/>
      <c r="L47" s="87"/>
    </row>
    <row r="48" spans="1:12" s="11" customFormat="1" ht="13" customHeight="1" x14ac:dyDescent="0.2">
      <c r="A48" s="20" t="s">
        <v>185</v>
      </c>
      <c r="B48" s="21"/>
      <c r="C48" s="16" t="s">
        <v>372</v>
      </c>
      <c r="D48" s="22"/>
      <c r="E48" s="16"/>
      <c r="F48" s="56"/>
      <c r="G48" s="16"/>
      <c r="H48" s="17"/>
      <c r="I48" s="16"/>
      <c r="J48" s="17"/>
      <c r="K48" s="16"/>
      <c r="L48" s="76"/>
    </row>
    <row r="49" spans="1:12" s="11" customFormat="1" ht="13" customHeight="1" x14ac:dyDescent="0.2">
      <c r="A49" s="23" t="s">
        <v>266</v>
      </c>
      <c r="B49" s="21" t="s">
        <v>23</v>
      </c>
      <c r="C49" s="16"/>
      <c r="D49" s="24"/>
      <c r="E49" s="16"/>
      <c r="F49" s="61"/>
      <c r="G49" s="16"/>
      <c r="H49" s="24"/>
      <c r="I49" s="16"/>
      <c r="J49" s="24"/>
      <c r="K49" s="16"/>
      <c r="L49" s="72"/>
    </row>
    <row r="50" spans="1:12" s="11" customFormat="1" ht="13" customHeight="1" x14ac:dyDescent="0.2">
      <c r="A50" s="23" t="s">
        <v>267</v>
      </c>
      <c r="B50" s="21" t="s">
        <v>24</v>
      </c>
      <c r="C50" s="16"/>
      <c r="D50" s="27"/>
      <c r="E50" s="16"/>
      <c r="F50" s="62"/>
      <c r="G50" s="16"/>
      <c r="H50" s="27"/>
      <c r="I50" s="16"/>
      <c r="J50" s="27"/>
      <c r="K50" s="16"/>
      <c r="L50" s="77"/>
    </row>
    <row r="51" spans="1:12" s="11" customFormat="1" ht="13" customHeight="1" x14ac:dyDescent="0.2">
      <c r="A51" s="155" t="s">
        <v>268</v>
      </c>
      <c r="B51" s="29" t="s">
        <v>25</v>
      </c>
      <c r="C51" s="157"/>
      <c r="D51" s="159"/>
      <c r="E51" s="157"/>
      <c r="F51" s="159"/>
      <c r="G51" s="157"/>
      <c r="H51" s="159"/>
      <c r="I51" s="157"/>
      <c r="J51" s="199"/>
      <c r="K51" s="157"/>
      <c r="L51" s="161"/>
    </row>
    <row r="52" spans="1:12" s="11" customFormat="1" ht="13" customHeight="1" x14ac:dyDescent="0.2">
      <c r="A52" s="156"/>
      <c r="B52" s="31" t="s">
        <v>26</v>
      </c>
      <c r="C52" s="172"/>
      <c r="D52" s="160"/>
      <c r="E52" s="172"/>
      <c r="F52" s="201"/>
      <c r="G52" s="172"/>
      <c r="H52" s="201"/>
      <c r="I52" s="172"/>
      <c r="J52" s="200"/>
      <c r="K52" s="172"/>
      <c r="L52" s="162"/>
    </row>
    <row r="53" spans="1:12" s="11" customFormat="1" ht="13" customHeight="1" x14ac:dyDescent="0.2">
      <c r="A53" s="155" t="s">
        <v>27</v>
      </c>
      <c r="B53" s="29" t="s">
        <v>28</v>
      </c>
      <c r="C53" s="157"/>
      <c r="D53" s="159"/>
      <c r="E53" s="157"/>
      <c r="F53" s="159"/>
      <c r="G53" s="157"/>
      <c r="H53" s="159"/>
      <c r="I53" s="157"/>
      <c r="J53" s="199"/>
      <c r="K53" s="157"/>
      <c r="L53" s="161"/>
    </row>
    <row r="54" spans="1:12" s="11" customFormat="1" ht="13" customHeight="1" x14ac:dyDescent="0.2">
      <c r="A54" s="156"/>
      <c r="B54" s="31" t="s">
        <v>29</v>
      </c>
      <c r="C54" s="172"/>
      <c r="D54" s="160"/>
      <c r="E54" s="172"/>
      <c r="F54" s="201"/>
      <c r="G54" s="172"/>
      <c r="H54" s="201"/>
      <c r="I54" s="172"/>
      <c r="J54" s="200"/>
      <c r="K54" s="172"/>
      <c r="L54" s="162"/>
    </row>
    <row r="55" spans="1:12" s="11" customFormat="1" ht="13" customHeight="1" x14ac:dyDescent="0.2">
      <c r="A55" s="155" t="s">
        <v>269</v>
      </c>
      <c r="B55" s="29" t="s">
        <v>30</v>
      </c>
      <c r="C55" s="157"/>
      <c r="D55" s="159"/>
      <c r="E55" s="157"/>
      <c r="F55" s="159"/>
      <c r="G55" s="157"/>
      <c r="H55" s="159"/>
      <c r="I55" s="157"/>
      <c r="J55" s="199"/>
      <c r="K55" s="157"/>
      <c r="L55" s="161"/>
    </row>
    <row r="56" spans="1:12" s="11" customFormat="1" ht="13" customHeight="1" x14ac:dyDescent="0.2">
      <c r="A56" s="156"/>
      <c r="B56" s="31" t="s">
        <v>31</v>
      </c>
      <c r="C56" s="172"/>
      <c r="D56" s="160"/>
      <c r="E56" s="172"/>
      <c r="F56" s="201"/>
      <c r="G56" s="172"/>
      <c r="H56" s="201"/>
      <c r="I56" s="172"/>
      <c r="J56" s="200"/>
      <c r="K56" s="172"/>
      <c r="L56" s="162"/>
    </row>
    <row r="57" spans="1:12" s="11" customFormat="1" ht="13" customHeight="1" x14ac:dyDescent="0.2">
      <c r="A57" s="155" t="s">
        <v>270</v>
      </c>
      <c r="B57" s="29" t="s">
        <v>32</v>
      </c>
      <c r="C57" s="157"/>
      <c r="D57" s="159"/>
      <c r="E57" s="157"/>
      <c r="F57" s="159"/>
      <c r="G57" s="157"/>
      <c r="H57" s="159"/>
      <c r="I57" s="157"/>
      <c r="J57" s="199"/>
      <c r="K57" s="157"/>
      <c r="L57" s="161"/>
    </row>
    <row r="58" spans="1:12" s="11" customFormat="1" ht="13" customHeight="1" x14ac:dyDescent="0.2">
      <c r="A58" s="156"/>
      <c r="B58" s="31" t="s">
        <v>33</v>
      </c>
      <c r="C58" s="172"/>
      <c r="D58" s="160"/>
      <c r="E58" s="172"/>
      <c r="F58" s="201"/>
      <c r="G58" s="172"/>
      <c r="H58" s="201"/>
      <c r="I58" s="172"/>
      <c r="J58" s="200"/>
      <c r="K58" s="172"/>
      <c r="L58" s="162"/>
    </row>
    <row r="59" spans="1:12" s="11" customFormat="1" ht="13" customHeight="1" x14ac:dyDescent="0.2">
      <c r="A59" s="155" t="s">
        <v>271</v>
      </c>
      <c r="B59" s="29" t="s">
        <v>34</v>
      </c>
      <c r="C59" s="157"/>
      <c r="D59" s="159"/>
      <c r="E59" s="157"/>
      <c r="F59" s="159"/>
      <c r="G59" s="157"/>
      <c r="H59" s="159"/>
      <c r="I59" s="157"/>
      <c r="J59" s="199"/>
      <c r="K59" s="157"/>
      <c r="L59" s="161"/>
    </row>
    <row r="60" spans="1:12" s="11" customFormat="1" ht="13" customHeight="1" x14ac:dyDescent="0.2">
      <c r="A60" s="156"/>
      <c r="B60" s="31" t="s">
        <v>35</v>
      </c>
      <c r="C60" s="172"/>
      <c r="D60" s="160"/>
      <c r="E60" s="172"/>
      <c r="F60" s="201"/>
      <c r="G60" s="172"/>
      <c r="H60" s="201"/>
      <c r="I60" s="172"/>
      <c r="J60" s="200"/>
      <c r="K60" s="172"/>
      <c r="L60" s="162"/>
    </row>
    <row r="61" spans="1:12" s="11" customFormat="1" ht="13" customHeight="1" x14ac:dyDescent="0.2">
      <c r="A61" s="23" t="s">
        <v>272</v>
      </c>
      <c r="B61" s="33" t="s">
        <v>445</v>
      </c>
      <c r="C61" s="19"/>
      <c r="D61" s="93"/>
      <c r="E61" s="19"/>
      <c r="F61" s="93"/>
      <c r="G61" s="19"/>
      <c r="H61" s="94"/>
      <c r="I61" s="19"/>
      <c r="J61" s="94"/>
      <c r="K61" s="19"/>
      <c r="L61" s="95"/>
    </row>
    <row r="62" spans="1:12" s="11" customFormat="1" ht="13" customHeight="1" x14ac:dyDescent="0.2">
      <c r="A62" s="23" t="s">
        <v>273</v>
      </c>
      <c r="B62" s="33" t="s">
        <v>36</v>
      </c>
      <c r="C62" s="16"/>
      <c r="D62" s="24"/>
      <c r="E62" s="16"/>
      <c r="F62" s="61"/>
      <c r="G62" s="16"/>
      <c r="H62" s="61"/>
      <c r="I62" s="16"/>
      <c r="J62" s="61"/>
      <c r="K62" s="16"/>
      <c r="L62" s="72"/>
    </row>
    <row r="63" spans="1:12" s="11" customFormat="1" ht="13" customHeight="1" x14ac:dyDescent="0.2">
      <c r="A63" s="20" t="s">
        <v>186</v>
      </c>
      <c r="B63" s="33"/>
      <c r="C63" s="16" t="s">
        <v>372</v>
      </c>
      <c r="D63" s="22"/>
      <c r="E63" s="16"/>
      <c r="F63" s="17"/>
      <c r="G63" s="16"/>
      <c r="H63" s="56"/>
      <c r="I63" s="16"/>
      <c r="J63" s="56"/>
      <c r="K63" s="16"/>
      <c r="L63" s="76"/>
    </row>
    <row r="64" spans="1:12" s="11" customFormat="1" ht="13" customHeight="1" x14ac:dyDescent="0.2">
      <c r="A64" s="23" t="s">
        <v>274</v>
      </c>
      <c r="B64" s="33" t="s">
        <v>37</v>
      </c>
      <c r="C64" s="16"/>
      <c r="D64" s="103"/>
      <c r="E64" s="16"/>
      <c r="F64" s="68"/>
      <c r="G64" s="16"/>
      <c r="H64" s="68"/>
      <c r="I64" s="16"/>
      <c r="J64" s="68"/>
      <c r="K64" s="16"/>
      <c r="L64" s="79"/>
    </row>
    <row r="65" spans="1:12" s="11" customFormat="1" ht="13" customHeight="1" x14ac:dyDescent="0.2">
      <c r="A65" s="23" t="s">
        <v>275</v>
      </c>
      <c r="B65" s="33" t="s">
        <v>38</v>
      </c>
      <c r="C65" s="16"/>
      <c r="D65" s="103"/>
      <c r="E65" s="16"/>
      <c r="F65" s="68"/>
      <c r="G65" s="16"/>
      <c r="H65" s="68"/>
      <c r="I65" s="16"/>
      <c r="J65" s="68"/>
      <c r="K65" s="16"/>
      <c r="L65" s="80"/>
    </row>
    <row r="66" spans="1:12" s="11" customFormat="1" ht="13" customHeight="1" x14ac:dyDescent="0.2">
      <c r="A66" s="23" t="s">
        <v>276</v>
      </c>
      <c r="B66" s="33" t="s">
        <v>39</v>
      </c>
      <c r="C66" s="16"/>
      <c r="D66" s="103"/>
      <c r="E66" s="16"/>
      <c r="F66" s="68"/>
      <c r="G66" s="16"/>
      <c r="H66" s="68"/>
      <c r="I66" s="16"/>
      <c r="J66" s="68"/>
      <c r="K66" s="16"/>
      <c r="L66" s="80"/>
    </row>
    <row r="67" spans="1:12" s="11" customFormat="1" ht="12.75" customHeight="1" x14ac:dyDescent="0.2">
      <c r="A67" s="34" t="s">
        <v>277</v>
      </c>
      <c r="B67" s="35" t="s">
        <v>40</v>
      </c>
      <c r="C67" s="36"/>
      <c r="D67" s="96"/>
      <c r="E67" s="36"/>
      <c r="F67" s="97"/>
      <c r="G67" s="36"/>
      <c r="H67" s="97"/>
      <c r="I67" s="36"/>
      <c r="J67" s="97"/>
      <c r="K67" s="36"/>
      <c r="L67" s="98"/>
    </row>
    <row r="68" spans="1:12" ht="13" customHeight="1" x14ac:dyDescent="0.2">
      <c r="A68" s="2" t="s">
        <v>173</v>
      </c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</row>
    <row r="69" spans="1:12" ht="12.75" customHeight="1" x14ac:dyDescent="0.2"/>
    <row r="70" spans="1:12" ht="22.5" customHeight="1" x14ac:dyDescent="0.2">
      <c r="A70" s="194" t="s">
        <v>286</v>
      </c>
      <c r="B70" s="195"/>
      <c r="C70" s="195"/>
      <c r="D70" s="195"/>
      <c r="E70" s="195"/>
      <c r="F70" s="195"/>
      <c r="G70" s="195"/>
      <c r="H70" s="195"/>
      <c r="I70" s="195"/>
      <c r="J70" s="195"/>
      <c r="K70" s="195"/>
      <c r="L70" s="196"/>
    </row>
    <row r="71" spans="1:12" ht="17.5" customHeight="1" x14ac:dyDescent="0.2">
      <c r="A71" s="12" t="s">
        <v>288</v>
      </c>
      <c r="B71" s="13" t="s">
        <v>164</v>
      </c>
      <c r="C71" s="172" t="s">
        <v>287</v>
      </c>
      <c r="D71" s="173"/>
      <c r="E71" s="183"/>
      <c r="F71" s="13" t="s">
        <v>289</v>
      </c>
      <c r="G71" s="13" t="s">
        <v>168</v>
      </c>
      <c r="H71" s="172" t="s">
        <v>356</v>
      </c>
      <c r="I71" s="173"/>
      <c r="J71" s="197" t="s">
        <v>203</v>
      </c>
      <c r="K71" s="172"/>
      <c r="L71" s="198"/>
    </row>
    <row r="72" spans="1:12" ht="17.5" customHeight="1" x14ac:dyDescent="0.2">
      <c r="A72" s="14"/>
      <c r="B72" s="15"/>
      <c r="C72" s="184"/>
      <c r="D72" s="185"/>
      <c r="E72" s="186"/>
      <c r="F72" s="18"/>
      <c r="G72" s="15"/>
      <c r="H72" s="175"/>
      <c r="I72" s="176"/>
      <c r="J72" s="204"/>
      <c r="K72" s="205"/>
      <c r="L72" s="206"/>
    </row>
    <row r="73" spans="1:12" ht="17.5" customHeight="1" x14ac:dyDescent="0.2">
      <c r="A73" s="254" t="s">
        <v>290</v>
      </c>
      <c r="B73" s="16" t="s">
        <v>291</v>
      </c>
      <c r="C73" s="163"/>
      <c r="D73" s="166"/>
      <c r="E73" s="163"/>
      <c r="F73" s="166"/>
      <c r="G73" s="163"/>
      <c r="H73" s="166"/>
      <c r="I73" s="163"/>
      <c r="J73" s="207"/>
      <c r="K73" s="163"/>
      <c r="L73" s="164"/>
    </row>
    <row r="74" spans="1:12" ht="17.5" customHeight="1" x14ac:dyDescent="0.2">
      <c r="A74" s="254"/>
      <c r="B74" s="16" t="s">
        <v>292</v>
      </c>
      <c r="C74" s="165" t="s">
        <v>280</v>
      </c>
      <c r="D74" s="168"/>
      <c r="E74" s="165" t="s">
        <v>281</v>
      </c>
      <c r="F74" s="214"/>
      <c r="G74" s="165" t="s">
        <v>282</v>
      </c>
      <c r="H74" s="214"/>
      <c r="I74" s="165" t="s">
        <v>283</v>
      </c>
      <c r="J74" s="214"/>
      <c r="K74" s="165" t="s">
        <v>284</v>
      </c>
      <c r="L74" s="164"/>
    </row>
    <row r="75" spans="1:12" ht="17.5" customHeight="1" x14ac:dyDescent="0.2">
      <c r="A75" s="20" t="s">
        <v>293</v>
      </c>
      <c r="B75" s="16"/>
      <c r="C75" s="16"/>
      <c r="D75" s="17"/>
      <c r="E75" s="16"/>
      <c r="F75" s="17"/>
      <c r="G75" s="16"/>
      <c r="H75" s="56"/>
      <c r="I75" s="16"/>
      <c r="J75" s="56"/>
      <c r="K75" s="16"/>
      <c r="L75" s="76"/>
    </row>
    <row r="76" spans="1:12" ht="17.5" customHeight="1" x14ac:dyDescent="0.2">
      <c r="A76" s="251" t="s">
        <v>294</v>
      </c>
      <c r="B76" s="38" t="s">
        <v>367</v>
      </c>
      <c r="C76" s="30"/>
      <c r="D76" s="39"/>
      <c r="E76" s="30"/>
      <c r="F76" s="39"/>
      <c r="G76" s="30"/>
      <c r="H76" s="65"/>
      <c r="I76" s="30"/>
      <c r="J76" s="65"/>
      <c r="K76" s="30"/>
      <c r="L76" s="81"/>
    </row>
    <row r="77" spans="1:12" ht="17.5" customHeight="1" x14ac:dyDescent="0.2">
      <c r="A77" s="252"/>
      <c r="B77" s="40" t="s">
        <v>368</v>
      </c>
      <c r="C77" s="32"/>
      <c r="D77" s="41"/>
      <c r="E77" s="32"/>
      <c r="F77" s="41"/>
      <c r="G77" s="32"/>
      <c r="H77" s="64"/>
      <c r="I77" s="32"/>
      <c r="J77" s="64"/>
      <c r="K77" s="32"/>
      <c r="L77" s="82"/>
    </row>
    <row r="78" spans="1:12" ht="17.5" customHeight="1" x14ac:dyDescent="0.2">
      <c r="A78" s="23" t="s">
        <v>295</v>
      </c>
      <c r="B78" s="33" t="s">
        <v>21</v>
      </c>
      <c r="C78" s="19"/>
      <c r="D78" s="93"/>
      <c r="E78" s="60"/>
      <c r="F78" s="93"/>
      <c r="G78" s="60"/>
      <c r="H78" s="94"/>
      <c r="I78" s="60"/>
      <c r="J78" s="94"/>
      <c r="K78" s="60"/>
      <c r="L78" s="95"/>
    </row>
    <row r="79" spans="1:12" ht="17.5" customHeight="1" x14ac:dyDescent="0.2">
      <c r="A79" s="23" t="s">
        <v>298</v>
      </c>
      <c r="B79" s="33" t="s">
        <v>446</v>
      </c>
      <c r="C79" s="16"/>
      <c r="D79" s="24"/>
      <c r="E79" s="16"/>
      <c r="F79" s="24"/>
      <c r="G79" s="16"/>
      <c r="H79" s="61"/>
      <c r="I79" s="16"/>
      <c r="J79" s="61"/>
      <c r="K79" s="16"/>
      <c r="L79" s="72"/>
    </row>
    <row r="80" spans="1:12" ht="17.5" customHeight="1" x14ac:dyDescent="0.2">
      <c r="A80" s="23" t="s">
        <v>299</v>
      </c>
      <c r="B80" s="33" t="s">
        <v>446</v>
      </c>
      <c r="C80" s="16"/>
      <c r="D80" s="24"/>
      <c r="E80" s="16"/>
      <c r="F80" s="24"/>
      <c r="G80" s="16"/>
      <c r="H80" s="61"/>
      <c r="I80" s="16"/>
      <c r="J80" s="61"/>
      <c r="K80" s="16"/>
      <c r="L80" s="72"/>
    </row>
    <row r="81" spans="1:13" ht="17.5" customHeight="1" x14ac:dyDescent="0.2">
      <c r="A81" s="23" t="s">
        <v>301</v>
      </c>
      <c r="B81" s="33" t="s">
        <v>41</v>
      </c>
      <c r="C81" s="19"/>
      <c r="D81" s="83"/>
      <c r="E81" s="63"/>
      <c r="F81" s="83"/>
      <c r="G81" s="63"/>
      <c r="H81" s="99"/>
      <c r="I81" s="63"/>
      <c r="J81" s="99"/>
      <c r="K81" s="63"/>
      <c r="L81" s="85"/>
    </row>
    <row r="82" spans="1:13" ht="17.5" customHeight="1" x14ac:dyDescent="0.2">
      <c r="A82" s="23" t="s">
        <v>42</v>
      </c>
      <c r="B82" s="33" t="s">
        <v>369</v>
      </c>
      <c r="C82" s="16"/>
      <c r="D82" s="24"/>
      <c r="E82" s="16"/>
      <c r="F82" s="24"/>
      <c r="G82" s="16"/>
      <c r="H82" s="61"/>
      <c r="I82" s="16"/>
      <c r="J82" s="61"/>
      <c r="K82" s="16"/>
      <c r="L82" s="72"/>
    </row>
    <row r="83" spans="1:13" ht="17.5" customHeight="1" x14ac:dyDescent="0.2">
      <c r="A83" s="23" t="s">
        <v>296</v>
      </c>
      <c r="B83" s="42" t="s">
        <v>370</v>
      </c>
      <c r="C83" s="16"/>
      <c r="D83" s="27"/>
      <c r="E83" s="16"/>
      <c r="F83" s="27"/>
      <c r="G83" s="16"/>
      <c r="H83" s="62"/>
      <c r="I83" s="16"/>
      <c r="J83" s="62"/>
      <c r="K83" s="16"/>
      <c r="L83" s="77"/>
    </row>
    <row r="84" spans="1:13" ht="17.5" customHeight="1" x14ac:dyDescent="0.2">
      <c r="A84" s="23" t="s">
        <v>43</v>
      </c>
      <c r="B84" s="33" t="s">
        <v>371</v>
      </c>
      <c r="C84" s="19"/>
      <c r="D84" s="93"/>
      <c r="E84" s="60"/>
      <c r="F84" s="93"/>
      <c r="G84" s="60"/>
      <c r="H84" s="94"/>
      <c r="I84" s="60"/>
      <c r="J84" s="94"/>
      <c r="K84" s="60"/>
      <c r="L84" s="95"/>
    </row>
    <row r="85" spans="1:13" ht="17.5" customHeight="1" x14ac:dyDescent="0.2">
      <c r="A85" s="23" t="s">
        <v>297</v>
      </c>
      <c r="B85" s="33" t="s">
        <v>446</v>
      </c>
      <c r="C85" s="19"/>
      <c r="D85" s="90"/>
      <c r="E85" s="58"/>
      <c r="F85" s="90"/>
      <c r="G85" s="58"/>
      <c r="H85" s="91"/>
      <c r="I85" s="58"/>
      <c r="J85" s="91"/>
      <c r="K85" s="58"/>
      <c r="L85" s="92"/>
    </row>
    <row r="86" spans="1:13" ht="17.5" customHeight="1" x14ac:dyDescent="0.2">
      <c r="A86" s="23" t="s">
        <v>343</v>
      </c>
      <c r="B86" s="33" t="s">
        <v>446</v>
      </c>
      <c r="C86" s="19"/>
      <c r="D86" s="90"/>
      <c r="E86" s="58"/>
      <c r="F86" s="90"/>
      <c r="G86" s="58"/>
      <c r="H86" s="91"/>
      <c r="I86" s="58"/>
      <c r="J86" s="91"/>
      <c r="K86" s="58"/>
      <c r="L86" s="92"/>
    </row>
    <row r="87" spans="1:13" ht="17.5" customHeight="1" x14ac:dyDescent="0.2">
      <c r="A87" s="23" t="s">
        <v>300</v>
      </c>
      <c r="B87" s="33" t="s">
        <v>44</v>
      </c>
      <c r="C87" s="16"/>
      <c r="D87" s="28"/>
      <c r="E87" s="16"/>
      <c r="F87" s="28"/>
      <c r="G87" s="16"/>
      <c r="H87" s="59"/>
      <c r="I87" s="16"/>
      <c r="J87" s="59"/>
      <c r="K87" s="16"/>
      <c r="L87" s="78"/>
    </row>
    <row r="88" spans="1:13" ht="17.5" customHeight="1" x14ac:dyDescent="0.2">
      <c r="A88" s="34" t="s">
        <v>45</v>
      </c>
      <c r="B88" s="35" t="s">
        <v>44</v>
      </c>
      <c r="C88" s="36"/>
      <c r="D88" s="100"/>
      <c r="E88" s="57"/>
      <c r="F88" s="100"/>
      <c r="G88" s="57"/>
      <c r="H88" s="101"/>
      <c r="I88" s="57"/>
      <c r="J88" s="101"/>
      <c r="K88" s="57"/>
      <c r="L88" s="102"/>
    </row>
    <row r="89" spans="1:13" ht="17.5" customHeight="1" x14ac:dyDescent="0.2">
      <c r="A89" s="1"/>
      <c r="B89" s="10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22.5" customHeight="1" x14ac:dyDescent="0.2">
      <c r="A90" s="194" t="s">
        <v>302</v>
      </c>
      <c r="B90" s="195"/>
      <c r="C90" s="195"/>
      <c r="D90" s="195"/>
      <c r="E90" s="195"/>
      <c r="F90" s="195"/>
      <c r="G90" s="195"/>
      <c r="H90" s="195"/>
      <c r="I90" s="195"/>
      <c r="J90" s="195"/>
      <c r="K90" s="195"/>
      <c r="L90" s="196"/>
    </row>
    <row r="91" spans="1:13" ht="17.5" customHeight="1" x14ac:dyDescent="0.2">
      <c r="A91" s="43"/>
      <c r="B91" s="44"/>
      <c r="C91" s="212"/>
      <c r="D91" s="215"/>
      <c r="E91" s="212"/>
      <c r="F91" s="213"/>
      <c r="G91" s="212"/>
      <c r="H91" s="213"/>
      <c r="I91" s="212"/>
      <c r="J91" s="213"/>
      <c r="K91" s="213"/>
      <c r="L91" s="253"/>
    </row>
    <row r="92" spans="1:13" ht="17.5" customHeight="1" x14ac:dyDescent="0.2">
      <c r="A92" s="45" t="s">
        <v>303</v>
      </c>
      <c r="B92" s="46" t="s">
        <v>166</v>
      </c>
      <c r="C92" s="210"/>
      <c r="D92" s="211"/>
      <c r="E92" s="210"/>
      <c r="F92" s="211"/>
      <c r="G92" s="210"/>
      <c r="H92" s="211"/>
      <c r="I92" s="210"/>
      <c r="J92" s="211"/>
      <c r="K92" s="210"/>
      <c r="L92" s="256"/>
    </row>
    <row r="93" spans="1:13" ht="17.5" customHeight="1" x14ac:dyDescent="0.2">
      <c r="A93" s="47"/>
      <c r="B93" s="48" t="s">
        <v>308</v>
      </c>
      <c r="C93" s="208"/>
      <c r="D93" s="209"/>
      <c r="E93" s="208"/>
      <c r="F93" s="209"/>
      <c r="G93" s="208"/>
      <c r="H93" s="209"/>
      <c r="I93" s="208"/>
      <c r="J93" s="209"/>
      <c r="K93" s="208"/>
      <c r="L93" s="257"/>
    </row>
    <row r="94" spans="1:13" ht="17.5" customHeight="1" x14ac:dyDescent="0.2">
      <c r="A94" s="49"/>
      <c r="B94" s="50" t="s">
        <v>334</v>
      </c>
      <c r="C94" s="202"/>
      <c r="D94" s="203"/>
      <c r="E94" s="202"/>
      <c r="F94" s="203"/>
      <c r="G94" s="202"/>
      <c r="H94" s="203"/>
      <c r="I94" s="202"/>
      <c r="J94" s="203"/>
      <c r="K94" s="202"/>
      <c r="L94" s="255"/>
    </row>
    <row r="95" spans="1:13" ht="17.5" customHeight="1" x14ac:dyDescent="0.2">
      <c r="A95" s="51" t="s">
        <v>304</v>
      </c>
      <c r="B95" s="46" t="s">
        <v>344</v>
      </c>
      <c r="C95" s="210"/>
      <c r="D95" s="211"/>
      <c r="E95" s="210"/>
      <c r="F95" s="211"/>
      <c r="G95" s="210"/>
      <c r="H95" s="211"/>
      <c r="I95" s="210"/>
      <c r="J95" s="211"/>
      <c r="K95" s="210"/>
      <c r="L95" s="256"/>
    </row>
    <row r="96" spans="1:13" ht="17.5" customHeight="1" x14ac:dyDescent="0.2">
      <c r="A96" s="47"/>
      <c r="B96" s="48" t="s">
        <v>46</v>
      </c>
      <c r="C96" s="208"/>
      <c r="D96" s="209"/>
      <c r="E96" s="208"/>
      <c r="F96" s="209"/>
      <c r="G96" s="208"/>
      <c r="H96" s="209"/>
      <c r="I96" s="208"/>
      <c r="J96" s="209"/>
      <c r="K96" s="208"/>
      <c r="L96" s="257"/>
    </row>
    <row r="97" spans="1:13" ht="17.5" customHeight="1" x14ac:dyDescent="0.2">
      <c r="A97" s="52"/>
      <c r="B97" s="50" t="s">
        <v>47</v>
      </c>
      <c r="C97" s="202"/>
      <c r="D97" s="203"/>
      <c r="E97" s="202"/>
      <c r="F97" s="203"/>
      <c r="G97" s="202"/>
      <c r="H97" s="203"/>
      <c r="I97" s="202"/>
      <c r="J97" s="203"/>
      <c r="K97" s="202"/>
      <c r="L97" s="255"/>
    </row>
    <row r="98" spans="1:13" ht="17.5" customHeight="1" x14ac:dyDescent="0.2">
      <c r="A98" s="51" t="s">
        <v>305</v>
      </c>
      <c r="B98" s="46" t="s">
        <v>48</v>
      </c>
      <c r="C98" s="210"/>
      <c r="D98" s="211"/>
      <c r="E98" s="210"/>
      <c r="F98" s="211"/>
      <c r="G98" s="210"/>
      <c r="H98" s="211"/>
      <c r="I98" s="210"/>
      <c r="J98" s="211"/>
      <c r="K98" s="210"/>
      <c r="L98" s="256"/>
    </row>
    <row r="99" spans="1:13" ht="17.5" customHeight="1" x14ac:dyDescent="0.2">
      <c r="A99" s="47"/>
      <c r="B99" s="48" t="s">
        <v>335</v>
      </c>
      <c r="C99" s="216"/>
      <c r="D99" s="217"/>
      <c r="E99" s="216"/>
      <c r="F99" s="217"/>
      <c r="G99" s="216"/>
      <c r="H99" s="217"/>
      <c r="I99" s="216"/>
      <c r="J99" s="217"/>
      <c r="K99" s="216"/>
      <c r="L99" s="250"/>
    </row>
    <row r="100" spans="1:13" ht="17.5" customHeight="1" x14ac:dyDescent="0.2">
      <c r="A100" s="47"/>
      <c r="B100" s="48" t="s">
        <v>336</v>
      </c>
      <c r="C100" s="216"/>
      <c r="D100" s="217"/>
      <c r="E100" s="216"/>
      <c r="F100" s="217"/>
      <c r="G100" s="216"/>
      <c r="H100" s="217"/>
      <c r="I100" s="216"/>
      <c r="J100" s="217"/>
      <c r="K100" s="216"/>
      <c r="L100" s="250"/>
    </row>
    <row r="101" spans="1:13" ht="17.5" customHeight="1" x14ac:dyDescent="0.2">
      <c r="A101" s="52"/>
      <c r="B101" s="50" t="s">
        <v>334</v>
      </c>
      <c r="C101" s="202"/>
      <c r="D101" s="203"/>
      <c r="E101" s="202"/>
      <c r="F101" s="203"/>
      <c r="G101" s="202"/>
      <c r="H101" s="203"/>
      <c r="I101" s="202"/>
      <c r="J101" s="203"/>
      <c r="K101" s="202"/>
      <c r="L101" s="223"/>
    </row>
    <row r="102" spans="1:13" ht="17.5" customHeight="1" x14ac:dyDescent="0.2">
      <c r="A102" s="45" t="s">
        <v>306</v>
      </c>
      <c r="B102" s="46" t="s">
        <v>49</v>
      </c>
      <c r="C102" s="210"/>
      <c r="D102" s="211"/>
      <c r="E102" s="210"/>
      <c r="F102" s="211"/>
      <c r="G102" s="210"/>
      <c r="H102" s="211"/>
      <c r="I102" s="210"/>
      <c r="J102" s="211"/>
      <c r="K102" s="210"/>
      <c r="L102" s="249"/>
    </row>
    <row r="103" spans="1:13" ht="17.5" customHeight="1" x14ac:dyDescent="0.2">
      <c r="A103" s="53"/>
      <c r="B103" s="50" t="s">
        <v>334</v>
      </c>
      <c r="C103" s="202"/>
      <c r="D103" s="203"/>
      <c r="E103" s="202"/>
      <c r="F103" s="203"/>
      <c r="G103" s="202"/>
      <c r="H103" s="203"/>
      <c r="I103" s="202"/>
      <c r="J103" s="203"/>
      <c r="K103" s="202"/>
      <c r="L103" s="223"/>
    </row>
    <row r="104" spans="1:13" ht="17.5" customHeight="1" x14ac:dyDescent="0.2">
      <c r="A104" s="45" t="s">
        <v>307</v>
      </c>
      <c r="B104" s="46" t="s">
        <v>48</v>
      </c>
      <c r="C104" s="210"/>
      <c r="D104" s="211"/>
      <c r="E104" s="210"/>
      <c r="F104" s="211"/>
      <c r="G104" s="210"/>
      <c r="H104" s="211"/>
      <c r="I104" s="210"/>
      <c r="J104" s="211"/>
      <c r="K104" s="210"/>
      <c r="L104" s="249"/>
    </row>
    <row r="105" spans="1:13" ht="17.5" customHeight="1" x14ac:dyDescent="0.2">
      <c r="A105" s="53"/>
      <c r="B105" s="50" t="s">
        <v>334</v>
      </c>
      <c r="C105" s="202"/>
      <c r="D105" s="203"/>
      <c r="E105" s="202"/>
      <c r="F105" s="203"/>
      <c r="G105" s="202"/>
      <c r="H105" s="203"/>
      <c r="I105" s="202"/>
      <c r="J105" s="203"/>
      <c r="K105" s="202"/>
      <c r="L105" s="223"/>
    </row>
    <row r="106" spans="1:13" ht="17.5" customHeight="1" x14ac:dyDescent="0.2">
      <c r="A106" s="1"/>
      <c r="B106" s="10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22.5" customHeight="1" x14ac:dyDescent="0.2">
      <c r="A107" s="194" t="s">
        <v>337</v>
      </c>
      <c r="B107" s="195"/>
      <c r="C107" s="195"/>
      <c r="D107" s="195"/>
      <c r="E107" s="195"/>
      <c r="F107" s="195"/>
      <c r="G107" s="195"/>
      <c r="H107" s="195"/>
      <c r="I107" s="195"/>
      <c r="J107" s="195"/>
      <c r="K107" s="195"/>
      <c r="L107" s="196"/>
    </row>
    <row r="108" spans="1:13" ht="17.5" customHeight="1" x14ac:dyDescent="0.2">
      <c r="A108" s="218" t="s">
        <v>347</v>
      </c>
      <c r="B108" s="219"/>
      <c r="C108" s="219"/>
      <c r="D108" s="219"/>
      <c r="E108" s="220" t="s">
        <v>338</v>
      </c>
      <c r="F108" s="221"/>
      <c r="G108" s="221"/>
      <c r="H108" s="221"/>
      <c r="I108" s="221"/>
      <c r="J108" s="221"/>
      <c r="K108" s="221"/>
      <c r="L108" s="222"/>
    </row>
    <row r="109" spans="1:13" ht="17.5" customHeight="1" x14ac:dyDescent="0.2">
      <c r="A109" s="235" t="s">
        <v>348</v>
      </c>
      <c r="B109" s="236"/>
      <c r="C109" s="236"/>
      <c r="D109" s="236"/>
      <c r="E109" s="237"/>
      <c r="F109" s="238"/>
      <c r="G109" s="238"/>
      <c r="H109" s="238"/>
      <c r="I109" s="238"/>
      <c r="J109" s="238"/>
      <c r="K109" s="238"/>
      <c r="L109" s="239"/>
    </row>
    <row r="110" spans="1:13" ht="17.5" customHeight="1" x14ac:dyDescent="0.2">
      <c r="A110" s="240" t="s">
        <v>349</v>
      </c>
      <c r="B110" s="241"/>
      <c r="C110" s="241"/>
      <c r="D110" s="241"/>
      <c r="E110" s="242"/>
      <c r="F110" s="243"/>
      <c r="G110" s="243"/>
      <c r="H110" s="243"/>
      <c r="I110" s="243"/>
      <c r="J110" s="243"/>
      <c r="K110" s="243"/>
      <c r="L110" s="244"/>
    </row>
    <row r="111" spans="1:13" ht="17.5" customHeight="1" x14ac:dyDescent="0.2">
      <c r="A111" s="226" t="s">
        <v>352</v>
      </c>
      <c r="B111" s="227"/>
      <c r="C111" s="214" t="s">
        <v>340</v>
      </c>
      <c r="D111" s="214"/>
      <c r="E111" s="19"/>
      <c r="F111" s="247"/>
      <c r="G111" s="247"/>
      <c r="H111" s="247"/>
      <c r="I111" s="248"/>
      <c r="J111" s="248"/>
      <c r="K111" s="245"/>
      <c r="L111" s="246"/>
    </row>
    <row r="112" spans="1:13" ht="17.5" customHeight="1" x14ac:dyDescent="0.2">
      <c r="A112" s="226" t="s">
        <v>353</v>
      </c>
      <c r="B112" s="227"/>
      <c r="C112" s="214" t="s">
        <v>339</v>
      </c>
      <c r="D112" s="214"/>
      <c r="E112" s="19"/>
      <c r="F112" s="247"/>
      <c r="G112" s="247"/>
      <c r="H112" s="247"/>
      <c r="I112" s="248"/>
      <c r="J112" s="248"/>
      <c r="K112" s="245"/>
      <c r="L112" s="246"/>
    </row>
    <row r="113" spans="1:13" ht="17.5" customHeight="1" x14ac:dyDescent="0.2">
      <c r="A113" s="226" t="s">
        <v>354</v>
      </c>
      <c r="B113" s="227"/>
      <c r="C113" s="214" t="s">
        <v>339</v>
      </c>
      <c r="D113" s="214"/>
      <c r="E113" s="233"/>
      <c r="F113" s="234"/>
      <c r="G113" s="234"/>
      <c r="H113" s="234"/>
      <c r="I113" s="234"/>
      <c r="J113" s="234"/>
      <c r="K113" s="234"/>
      <c r="L113" s="164"/>
    </row>
    <row r="114" spans="1:13" ht="17.5" customHeight="1" x14ac:dyDescent="0.2">
      <c r="A114" s="228" t="s">
        <v>355</v>
      </c>
      <c r="B114" s="229"/>
      <c r="C114" s="229"/>
      <c r="D114" s="229"/>
      <c r="E114" s="230"/>
      <c r="F114" s="231"/>
      <c r="G114" s="231"/>
      <c r="H114" s="231"/>
      <c r="I114" s="231"/>
      <c r="J114" s="231"/>
      <c r="K114" s="231"/>
      <c r="L114" s="232"/>
    </row>
    <row r="115" spans="1:13" ht="17.5" customHeight="1" x14ac:dyDescent="0.2">
      <c r="A115" s="1"/>
      <c r="B115" s="10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22.5" customHeight="1" x14ac:dyDescent="0.2">
      <c r="A116" s="194" t="s">
        <v>341</v>
      </c>
      <c r="B116" s="195"/>
      <c r="C116" s="195"/>
      <c r="D116" s="195"/>
      <c r="E116" s="195"/>
      <c r="F116" s="195"/>
      <c r="G116" s="195"/>
      <c r="H116" s="195"/>
      <c r="I116" s="195"/>
      <c r="J116" s="195"/>
      <c r="K116" s="195"/>
      <c r="L116" s="196"/>
    </row>
    <row r="117" spans="1:13" ht="17.25" customHeight="1" x14ac:dyDescent="0.2">
      <c r="A117" s="224" t="s">
        <v>342</v>
      </c>
      <c r="B117" s="213"/>
      <c r="C117" s="213"/>
      <c r="D117" s="213"/>
      <c r="E117" s="212"/>
      <c r="F117" s="213"/>
      <c r="G117" s="213"/>
      <c r="H117" s="213"/>
      <c r="I117" s="213"/>
      <c r="J117" s="213"/>
      <c r="K117" s="213"/>
      <c r="L117" s="225"/>
    </row>
    <row r="118" spans="1:13" ht="17.5" customHeight="1" x14ac:dyDescent="0.2"/>
  </sheetData>
  <mergeCells count="192">
    <mergeCell ref="A51:A52"/>
    <mergeCell ref="A53:A54"/>
    <mergeCell ref="A55:A56"/>
    <mergeCell ref="A57:A58"/>
    <mergeCell ref="I51:I52"/>
    <mergeCell ref="I53:I54"/>
    <mergeCell ref="G51:G52"/>
    <mergeCell ref="I57:I58"/>
    <mergeCell ref="H51:H52"/>
    <mergeCell ref="C55:C56"/>
    <mergeCell ref="C57:C58"/>
    <mergeCell ref="K5:L5"/>
    <mergeCell ref="K6:L6"/>
    <mergeCell ref="L51:L52"/>
    <mergeCell ref="L53:L54"/>
    <mergeCell ref="L55:L56"/>
    <mergeCell ref="L57:L58"/>
    <mergeCell ref="L59:L60"/>
    <mergeCell ref="H53:H54"/>
    <mergeCell ref="G53:G54"/>
    <mergeCell ref="H57:H58"/>
    <mergeCell ref="G55:G56"/>
    <mergeCell ref="G57:G58"/>
    <mergeCell ref="A5:A6"/>
    <mergeCell ref="E5:F5"/>
    <mergeCell ref="G5:H5"/>
    <mergeCell ref="I5:J5"/>
    <mergeCell ref="E6:F6"/>
    <mergeCell ref="G6:H6"/>
    <mergeCell ref="C5:D5"/>
    <mergeCell ref="I59:I60"/>
    <mergeCell ref="E59:E60"/>
    <mergeCell ref="C51:C52"/>
    <mergeCell ref="C53:C54"/>
    <mergeCell ref="J51:J52"/>
    <mergeCell ref="J53:J54"/>
    <mergeCell ref="D51:D52"/>
    <mergeCell ref="D53:D54"/>
    <mergeCell ref="F51:F52"/>
    <mergeCell ref="F53:F54"/>
    <mergeCell ref="D55:D56"/>
    <mergeCell ref="G59:G60"/>
    <mergeCell ref="I55:I56"/>
    <mergeCell ref="F57:F58"/>
    <mergeCell ref="H55:H56"/>
    <mergeCell ref="F55:F56"/>
    <mergeCell ref="A59:A60"/>
    <mergeCell ref="C6:D6"/>
    <mergeCell ref="K92:L92"/>
    <mergeCell ref="G93:H93"/>
    <mergeCell ref="I93:J93"/>
    <mergeCell ref="G95:H95"/>
    <mergeCell ref="I95:J95"/>
    <mergeCell ref="K93:L93"/>
    <mergeCell ref="I92:J92"/>
    <mergeCell ref="K94:L94"/>
    <mergeCell ref="K95:L95"/>
    <mergeCell ref="E51:E52"/>
    <mergeCell ref="E53:E54"/>
    <mergeCell ref="I6:J6"/>
    <mergeCell ref="K51:K52"/>
    <mergeCell ref="K53:K54"/>
    <mergeCell ref="K59:K60"/>
    <mergeCell ref="K55:K56"/>
    <mergeCell ref="K57:K58"/>
    <mergeCell ref="E95:F95"/>
    <mergeCell ref="G91:H91"/>
    <mergeCell ref="I91:J91"/>
    <mergeCell ref="G92:H92"/>
    <mergeCell ref="C95:D95"/>
    <mergeCell ref="H72:I72"/>
    <mergeCell ref="K104:L104"/>
    <mergeCell ref="K99:L99"/>
    <mergeCell ref="K100:L100"/>
    <mergeCell ref="K101:L101"/>
    <mergeCell ref="K102:L102"/>
    <mergeCell ref="A76:A77"/>
    <mergeCell ref="K103:L103"/>
    <mergeCell ref="G74:H74"/>
    <mergeCell ref="A90:L90"/>
    <mergeCell ref="K91:L91"/>
    <mergeCell ref="A73:A74"/>
    <mergeCell ref="E73:F73"/>
    <mergeCell ref="G73:H73"/>
    <mergeCell ref="K97:L97"/>
    <mergeCell ref="K98:L98"/>
    <mergeCell ref="E96:F96"/>
    <mergeCell ref="K96:L96"/>
    <mergeCell ref="G94:H94"/>
    <mergeCell ref="G96:H96"/>
    <mergeCell ref="I96:J96"/>
    <mergeCell ref="I99:J99"/>
    <mergeCell ref="E100:F100"/>
    <mergeCell ref="G100:H100"/>
    <mergeCell ref="I100:J100"/>
    <mergeCell ref="E99:F99"/>
    <mergeCell ref="G99:H99"/>
    <mergeCell ref="I101:J101"/>
    <mergeCell ref="E102:F102"/>
    <mergeCell ref="G102:H102"/>
    <mergeCell ref="I102:J102"/>
    <mergeCell ref="E101:F101"/>
    <mergeCell ref="G97:H97"/>
    <mergeCell ref="I97:J97"/>
    <mergeCell ref="E98:F98"/>
    <mergeCell ref="G98:H98"/>
    <mergeCell ref="I98:J98"/>
    <mergeCell ref="E97:F97"/>
    <mergeCell ref="A117:D117"/>
    <mergeCell ref="E117:L117"/>
    <mergeCell ref="A113:B113"/>
    <mergeCell ref="A114:D114"/>
    <mergeCell ref="E114:L114"/>
    <mergeCell ref="C113:D113"/>
    <mergeCell ref="E113:L113"/>
    <mergeCell ref="A112:B112"/>
    <mergeCell ref="A109:D109"/>
    <mergeCell ref="E109:L109"/>
    <mergeCell ref="A110:D110"/>
    <mergeCell ref="E110:L110"/>
    <mergeCell ref="A111:B111"/>
    <mergeCell ref="C111:D111"/>
    <mergeCell ref="C112:D112"/>
    <mergeCell ref="K111:L111"/>
    <mergeCell ref="K112:L112"/>
    <mergeCell ref="F112:J112"/>
    <mergeCell ref="F111:J111"/>
    <mergeCell ref="A1:L1"/>
    <mergeCell ref="J3:L3"/>
    <mergeCell ref="H4:I4"/>
    <mergeCell ref="H3:I3"/>
    <mergeCell ref="J4:L4"/>
    <mergeCell ref="A2:L2"/>
    <mergeCell ref="C3:E3"/>
    <mergeCell ref="C4:E4"/>
    <mergeCell ref="A116:L116"/>
    <mergeCell ref="G105:H105"/>
    <mergeCell ref="I105:J105"/>
    <mergeCell ref="A108:D108"/>
    <mergeCell ref="E108:L108"/>
    <mergeCell ref="E105:F105"/>
    <mergeCell ref="A107:L107"/>
    <mergeCell ref="K105:L105"/>
    <mergeCell ref="C105:D105"/>
    <mergeCell ref="G103:H103"/>
    <mergeCell ref="I103:J103"/>
    <mergeCell ref="E104:F104"/>
    <mergeCell ref="G104:H104"/>
    <mergeCell ref="I104:J104"/>
    <mergeCell ref="E103:F103"/>
    <mergeCell ref="G101:H101"/>
    <mergeCell ref="C104:D104"/>
    <mergeCell ref="C103:D103"/>
    <mergeCell ref="C102:D102"/>
    <mergeCell ref="C101:D101"/>
    <mergeCell ref="C100:D100"/>
    <mergeCell ref="C98:D98"/>
    <mergeCell ref="C97:D97"/>
    <mergeCell ref="C96:D96"/>
    <mergeCell ref="C99:D99"/>
    <mergeCell ref="E94:F94"/>
    <mergeCell ref="J72:L72"/>
    <mergeCell ref="I73:J73"/>
    <mergeCell ref="C72:E72"/>
    <mergeCell ref="I94:J94"/>
    <mergeCell ref="E93:F93"/>
    <mergeCell ref="E92:F92"/>
    <mergeCell ref="E91:F91"/>
    <mergeCell ref="C94:D94"/>
    <mergeCell ref="K74:L74"/>
    <mergeCell ref="C73:D73"/>
    <mergeCell ref="C74:D74"/>
    <mergeCell ref="I74:J74"/>
    <mergeCell ref="E74:F74"/>
    <mergeCell ref="C91:D91"/>
    <mergeCell ref="C92:D92"/>
    <mergeCell ref="C93:D93"/>
    <mergeCell ref="A70:L70"/>
    <mergeCell ref="H71:I71"/>
    <mergeCell ref="J71:L71"/>
    <mergeCell ref="C71:E71"/>
    <mergeCell ref="K73:L73"/>
    <mergeCell ref="J59:J60"/>
    <mergeCell ref="F59:F60"/>
    <mergeCell ref="C59:C60"/>
    <mergeCell ref="J55:J56"/>
    <mergeCell ref="J57:J58"/>
    <mergeCell ref="H59:H60"/>
    <mergeCell ref="E55:E56"/>
    <mergeCell ref="E57:E58"/>
    <mergeCell ref="D57:D58"/>
    <mergeCell ref="D59:D60"/>
  </mergeCells>
  <phoneticPr fontId="1"/>
  <pageMargins left="0.75" right="0.75" top="1" bottom="1" header="0.51200000000000001" footer="0.5120000000000000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/>
  <dimension ref="A1:R47"/>
  <sheetViews>
    <sheetView workbookViewId="0"/>
  </sheetViews>
  <sheetFormatPr defaultRowHeight="13" x14ac:dyDescent="0.2"/>
  <cols>
    <col min="2" max="3" width="4.90625" customWidth="1"/>
    <col min="7" max="8" width="4.90625" customWidth="1"/>
    <col min="10" max="10" width="4.7265625" customWidth="1"/>
  </cols>
  <sheetData>
    <row r="1" spans="1:18" ht="16.5" customHeight="1" x14ac:dyDescent="0.2">
      <c r="A1" s="194" t="s">
        <v>196</v>
      </c>
      <c r="B1" s="195"/>
      <c r="C1" s="195"/>
      <c r="D1" s="195"/>
      <c r="E1" s="195"/>
      <c r="F1" s="195"/>
      <c r="G1" s="195"/>
      <c r="H1" s="195"/>
      <c r="I1" s="196"/>
      <c r="J1" s="1"/>
      <c r="K1" s="276" t="s">
        <v>162</v>
      </c>
      <c r="L1" s="277"/>
      <c r="M1" s="278"/>
      <c r="N1" s="1"/>
      <c r="O1" s="1"/>
      <c r="P1" s="1"/>
      <c r="Q1" s="1"/>
      <c r="R1" s="1"/>
    </row>
    <row r="2" spans="1:18" ht="6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">
      <c r="A3" s="292" t="s">
        <v>163</v>
      </c>
      <c r="B3" s="293"/>
      <c r="C3" s="291"/>
      <c r="D3" s="290" t="s">
        <v>165</v>
      </c>
      <c r="E3" s="292"/>
      <c r="F3" s="291" t="s">
        <v>167</v>
      </c>
      <c r="G3" s="289"/>
      <c r="H3" s="289" t="s">
        <v>169</v>
      </c>
      <c r="I3" s="290"/>
      <c r="J3" s="1"/>
      <c r="K3" s="3" t="s">
        <v>172</v>
      </c>
      <c r="L3" s="272" t="s">
        <v>192</v>
      </c>
      <c r="M3" s="273"/>
      <c r="N3" s="273"/>
      <c r="O3" s="273"/>
      <c r="P3" s="273"/>
      <c r="Q3" s="273"/>
      <c r="R3" s="273"/>
    </row>
    <row r="4" spans="1:18" x14ac:dyDescent="0.2">
      <c r="A4" s="294"/>
      <c r="B4" s="295"/>
      <c r="C4" s="296"/>
      <c r="D4" s="279"/>
      <c r="E4" s="280"/>
      <c r="F4" s="287"/>
      <c r="G4" s="288"/>
      <c r="H4" s="285"/>
      <c r="I4" s="286"/>
      <c r="J4" s="1"/>
      <c r="K4" s="274" t="s">
        <v>191</v>
      </c>
      <c r="L4" s="328"/>
      <c r="M4" s="329"/>
      <c r="N4" s="329"/>
      <c r="O4" s="329"/>
      <c r="P4" s="329"/>
      <c r="Q4" s="329"/>
      <c r="R4" s="330"/>
    </row>
    <row r="5" spans="1:18" x14ac:dyDescent="0.2">
      <c r="A5" s="282" t="s">
        <v>164</v>
      </c>
      <c r="B5" s="283"/>
      <c r="C5" s="284"/>
      <c r="D5" s="281" t="s">
        <v>166</v>
      </c>
      <c r="E5" s="282"/>
      <c r="F5" s="305" t="s">
        <v>168</v>
      </c>
      <c r="G5" s="306"/>
      <c r="H5" s="334" t="s">
        <v>170</v>
      </c>
      <c r="I5" s="281"/>
      <c r="J5" s="1"/>
      <c r="K5" s="275"/>
      <c r="L5" s="331"/>
      <c r="M5" s="332"/>
      <c r="N5" s="332"/>
      <c r="O5" s="332"/>
      <c r="P5" s="332"/>
      <c r="Q5" s="332"/>
      <c r="R5" s="333"/>
    </row>
    <row r="6" spans="1:18" x14ac:dyDescent="0.2">
      <c r="A6" s="335"/>
      <c r="B6" s="336"/>
      <c r="C6" s="303"/>
      <c r="D6" s="307"/>
      <c r="E6" s="308"/>
      <c r="F6" s="303"/>
      <c r="G6" s="304"/>
      <c r="H6" s="337"/>
      <c r="I6" s="338"/>
      <c r="J6" s="1"/>
      <c r="K6" s="1"/>
      <c r="L6" s="1"/>
      <c r="M6" s="1"/>
      <c r="N6" s="1"/>
      <c r="O6" s="1"/>
      <c r="P6" s="1"/>
      <c r="Q6" s="1"/>
      <c r="R6" s="1"/>
    </row>
    <row r="7" spans="1:18" ht="8.1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260" t="s">
        <v>193</v>
      </c>
      <c r="L7" s="261"/>
      <c r="M7" s="262"/>
      <c r="N7" s="1"/>
      <c r="O7" s="1"/>
      <c r="P7" s="1"/>
      <c r="Q7" s="1"/>
      <c r="R7" s="1"/>
    </row>
    <row r="8" spans="1:18" ht="8.15" customHeight="1" x14ac:dyDescent="0.2">
      <c r="A8" s="260" t="s">
        <v>171</v>
      </c>
      <c r="B8" s="261"/>
      <c r="C8" s="261"/>
      <c r="D8" s="262"/>
      <c r="E8" s="1"/>
      <c r="F8" s="1"/>
      <c r="G8" s="1"/>
      <c r="H8" s="1"/>
      <c r="I8" s="1"/>
      <c r="J8" s="1"/>
      <c r="K8" s="263"/>
      <c r="L8" s="264"/>
      <c r="M8" s="265"/>
      <c r="N8" s="1"/>
      <c r="O8" s="1"/>
      <c r="P8" s="1"/>
      <c r="Q8" s="1"/>
      <c r="R8" s="1"/>
    </row>
    <row r="9" spans="1:18" ht="8.15" customHeight="1" x14ac:dyDescent="0.2">
      <c r="A9" s="263"/>
      <c r="B9" s="264"/>
      <c r="C9" s="264"/>
      <c r="D9" s="265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7.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313" t="s">
        <v>194</v>
      </c>
      <c r="L10" s="315" t="s">
        <v>195</v>
      </c>
      <c r="M10" s="316"/>
      <c r="N10" s="316"/>
      <c r="O10" s="316"/>
      <c r="P10" s="316"/>
      <c r="Q10" s="316"/>
      <c r="R10" s="316"/>
    </row>
    <row r="11" spans="1:18" ht="12.75" customHeight="1" x14ac:dyDescent="0.2">
      <c r="A11" s="260" t="s">
        <v>172</v>
      </c>
      <c r="B11" s="261"/>
      <c r="C11" s="341" t="s">
        <v>174</v>
      </c>
      <c r="D11" s="261"/>
      <c r="E11" s="261"/>
      <c r="F11" s="261"/>
      <c r="G11" s="342"/>
      <c r="H11" s="345" t="s">
        <v>175</v>
      </c>
      <c r="I11" s="316"/>
      <c r="J11" s="1"/>
      <c r="K11" s="314"/>
      <c r="L11" s="317"/>
      <c r="M11" s="318"/>
      <c r="N11" s="318"/>
      <c r="O11" s="318"/>
      <c r="P11" s="318"/>
      <c r="Q11" s="318"/>
      <c r="R11" s="318"/>
    </row>
    <row r="12" spans="1:18" ht="12.75" customHeight="1" x14ac:dyDescent="0.2">
      <c r="A12" s="339"/>
      <c r="B12" s="340"/>
      <c r="C12" s="343"/>
      <c r="D12" s="340"/>
      <c r="E12" s="340"/>
      <c r="F12" s="340"/>
      <c r="G12" s="344"/>
      <c r="H12" s="346"/>
      <c r="I12" s="318"/>
      <c r="J12" s="1"/>
      <c r="K12" s="311"/>
      <c r="L12" s="270"/>
      <c r="M12" s="271"/>
      <c r="N12" s="271"/>
      <c r="O12" s="271"/>
      <c r="P12" s="271"/>
      <c r="Q12" s="271"/>
      <c r="R12" s="271"/>
    </row>
    <row r="13" spans="1:18" ht="12.75" customHeight="1" x14ac:dyDescent="0.2">
      <c r="A13" s="266" t="s">
        <v>357</v>
      </c>
      <c r="B13" s="267"/>
      <c r="C13" s="297"/>
      <c r="D13" s="298"/>
      <c r="E13" s="298"/>
      <c r="F13" s="298"/>
      <c r="G13" s="299"/>
      <c r="H13" s="302"/>
      <c r="I13" s="309"/>
      <c r="J13" s="1"/>
      <c r="K13" s="312"/>
      <c r="L13" s="270"/>
      <c r="M13" s="271"/>
      <c r="N13" s="271"/>
      <c r="O13" s="271"/>
      <c r="P13" s="271"/>
      <c r="Q13" s="271"/>
      <c r="R13" s="271"/>
    </row>
    <row r="14" spans="1:18" ht="12.75" customHeight="1" x14ac:dyDescent="0.2">
      <c r="A14" s="268"/>
      <c r="B14" s="269"/>
      <c r="C14" s="300"/>
      <c r="D14" s="301"/>
      <c r="E14" s="301"/>
      <c r="F14" s="301"/>
      <c r="G14" s="302"/>
      <c r="H14" s="310"/>
      <c r="I14" s="270"/>
      <c r="J14" s="1"/>
      <c r="K14" s="311"/>
      <c r="L14" s="270"/>
      <c r="M14" s="271"/>
      <c r="N14" s="271"/>
      <c r="O14" s="271"/>
      <c r="P14" s="271"/>
      <c r="Q14" s="271"/>
      <c r="R14" s="271"/>
    </row>
    <row r="15" spans="1:18" ht="12.75" customHeight="1" x14ac:dyDescent="0.2">
      <c r="A15" s="266" t="s">
        <v>176</v>
      </c>
      <c r="B15" s="267"/>
      <c r="C15" s="297"/>
      <c r="D15" s="298"/>
      <c r="E15" s="298"/>
      <c r="F15" s="298"/>
      <c r="G15" s="299"/>
      <c r="H15" s="302"/>
      <c r="I15" s="309"/>
      <c r="J15" s="1"/>
      <c r="K15" s="312"/>
      <c r="L15" s="270"/>
      <c r="M15" s="271"/>
      <c r="N15" s="271"/>
      <c r="O15" s="271"/>
      <c r="P15" s="271"/>
      <c r="Q15" s="271"/>
      <c r="R15" s="271"/>
    </row>
    <row r="16" spans="1:18" ht="12.75" customHeight="1" x14ac:dyDescent="0.2">
      <c r="A16" s="268"/>
      <c r="B16" s="269"/>
      <c r="C16" s="300"/>
      <c r="D16" s="301"/>
      <c r="E16" s="301"/>
      <c r="F16" s="301"/>
      <c r="G16" s="302"/>
      <c r="H16" s="310"/>
      <c r="I16" s="270"/>
      <c r="J16" s="1"/>
      <c r="K16" s="311"/>
      <c r="L16" s="270"/>
      <c r="M16" s="271"/>
      <c r="N16" s="271"/>
      <c r="O16" s="271"/>
      <c r="P16" s="271"/>
      <c r="Q16" s="271"/>
      <c r="R16" s="271"/>
    </row>
    <row r="17" spans="1:18" ht="12.75" customHeight="1" x14ac:dyDescent="0.2">
      <c r="A17" s="266" t="s">
        <v>177</v>
      </c>
      <c r="B17" s="267"/>
      <c r="C17" s="297"/>
      <c r="D17" s="298"/>
      <c r="E17" s="298"/>
      <c r="F17" s="298"/>
      <c r="G17" s="299"/>
      <c r="H17" s="302"/>
      <c r="I17" s="309"/>
      <c r="J17" s="1"/>
      <c r="K17" s="312"/>
      <c r="L17" s="270"/>
      <c r="M17" s="271"/>
      <c r="N17" s="271"/>
      <c r="O17" s="271"/>
      <c r="P17" s="271"/>
      <c r="Q17" s="271"/>
      <c r="R17" s="271"/>
    </row>
    <row r="18" spans="1:18" ht="12.75" customHeight="1" x14ac:dyDescent="0.2">
      <c r="A18" s="268"/>
      <c r="B18" s="269"/>
      <c r="C18" s="300"/>
      <c r="D18" s="301"/>
      <c r="E18" s="301"/>
      <c r="F18" s="301"/>
      <c r="G18" s="302"/>
      <c r="H18" s="310"/>
      <c r="I18" s="270"/>
      <c r="J18" s="1"/>
      <c r="K18" s="311"/>
      <c r="L18" s="270"/>
      <c r="M18" s="271"/>
      <c r="N18" s="271"/>
      <c r="O18" s="271"/>
      <c r="P18" s="271"/>
      <c r="Q18" s="271"/>
      <c r="R18" s="271"/>
    </row>
    <row r="19" spans="1:18" ht="12.75" customHeight="1" x14ac:dyDescent="0.2">
      <c r="A19" s="266" t="s">
        <v>178</v>
      </c>
      <c r="B19" s="267"/>
      <c r="C19" s="297"/>
      <c r="D19" s="298"/>
      <c r="E19" s="298"/>
      <c r="F19" s="298"/>
      <c r="G19" s="299"/>
      <c r="H19" s="302"/>
      <c r="I19" s="309"/>
      <c r="J19" s="1"/>
      <c r="K19" s="312"/>
      <c r="L19" s="270"/>
      <c r="M19" s="271"/>
      <c r="N19" s="271"/>
      <c r="O19" s="271"/>
      <c r="P19" s="271"/>
      <c r="Q19" s="271"/>
      <c r="R19" s="271"/>
    </row>
    <row r="20" spans="1:18" ht="12.75" customHeight="1" x14ac:dyDescent="0.2">
      <c r="A20" s="268"/>
      <c r="B20" s="269"/>
      <c r="C20" s="300"/>
      <c r="D20" s="301"/>
      <c r="E20" s="301"/>
      <c r="F20" s="301"/>
      <c r="G20" s="302"/>
      <c r="H20" s="310"/>
      <c r="I20" s="270"/>
      <c r="J20" s="1"/>
      <c r="K20" s="311"/>
      <c r="L20" s="270"/>
      <c r="M20" s="271"/>
      <c r="N20" s="271"/>
      <c r="O20" s="271"/>
      <c r="P20" s="271"/>
      <c r="Q20" s="271"/>
      <c r="R20" s="271"/>
    </row>
    <row r="21" spans="1:18" ht="12.75" customHeight="1" x14ac:dyDescent="0.2">
      <c r="A21" s="266" t="s">
        <v>179</v>
      </c>
      <c r="B21" s="267"/>
      <c r="C21" s="297"/>
      <c r="D21" s="298"/>
      <c r="E21" s="298"/>
      <c r="F21" s="298"/>
      <c r="G21" s="299"/>
      <c r="H21" s="302"/>
      <c r="I21" s="309"/>
      <c r="J21" s="1"/>
      <c r="K21" s="312"/>
      <c r="L21" s="270"/>
      <c r="M21" s="271"/>
      <c r="N21" s="271"/>
      <c r="O21" s="271"/>
      <c r="P21" s="271"/>
      <c r="Q21" s="271"/>
      <c r="R21" s="271"/>
    </row>
    <row r="22" spans="1:18" ht="12.75" customHeight="1" x14ac:dyDescent="0.2">
      <c r="A22" s="268"/>
      <c r="B22" s="269"/>
      <c r="C22" s="300"/>
      <c r="D22" s="301"/>
      <c r="E22" s="301"/>
      <c r="F22" s="301"/>
      <c r="G22" s="302"/>
      <c r="H22" s="310"/>
      <c r="I22" s="270"/>
      <c r="J22" s="1"/>
      <c r="K22" s="311"/>
      <c r="L22" s="270"/>
      <c r="M22" s="271"/>
      <c r="N22" s="271"/>
      <c r="O22" s="271"/>
      <c r="P22" s="271"/>
      <c r="Q22" s="271"/>
      <c r="R22" s="271"/>
    </row>
    <row r="23" spans="1:18" ht="12.75" customHeight="1" x14ac:dyDescent="0.2">
      <c r="A23" s="266" t="s">
        <v>180</v>
      </c>
      <c r="B23" s="267"/>
      <c r="C23" s="297"/>
      <c r="D23" s="298"/>
      <c r="E23" s="298"/>
      <c r="F23" s="298"/>
      <c r="G23" s="299"/>
      <c r="H23" s="302"/>
      <c r="I23" s="309"/>
      <c r="J23" s="1"/>
      <c r="K23" s="312"/>
      <c r="L23" s="270"/>
      <c r="M23" s="271"/>
      <c r="N23" s="271"/>
      <c r="O23" s="271"/>
      <c r="P23" s="271"/>
      <c r="Q23" s="271"/>
      <c r="R23" s="271"/>
    </row>
    <row r="24" spans="1:18" ht="12.75" customHeight="1" x14ac:dyDescent="0.2">
      <c r="A24" s="268"/>
      <c r="B24" s="269"/>
      <c r="C24" s="300"/>
      <c r="D24" s="301"/>
      <c r="E24" s="301"/>
      <c r="F24" s="301"/>
      <c r="G24" s="302"/>
      <c r="H24" s="310"/>
      <c r="I24" s="270"/>
      <c r="J24" s="1"/>
      <c r="K24" s="311"/>
      <c r="L24" s="270"/>
      <c r="M24" s="271"/>
      <c r="N24" s="271"/>
      <c r="O24" s="271"/>
      <c r="P24" s="271"/>
      <c r="Q24" s="271"/>
      <c r="R24" s="271"/>
    </row>
    <row r="25" spans="1:18" ht="12.75" customHeight="1" x14ac:dyDescent="0.2">
      <c r="A25" s="266" t="s">
        <v>181</v>
      </c>
      <c r="B25" s="267"/>
      <c r="C25" s="297"/>
      <c r="D25" s="298"/>
      <c r="E25" s="298"/>
      <c r="F25" s="298"/>
      <c r="G25" s="299"/>
      <c r="H25" s="302"/>
      <c r="I25" s="309"/>
      <c r="J25" s="1"/>
      <c r="K25" s="312"/>
      <c r="L25" s="270"/>
      <c r="M25" s="271"/>
      <c r="N25" s="271"/>
      <c r="O25" s="271"/>
      <c r="P25" s="271"/>
      <c r="Q25" s="271"/>
      <c r="R25" s="271"/>
    </row>
    <row r="26" spans="1:18" ht="12.75" customHeight="1" x14ac:dyDescent="0.2">
      <c r="A26" s="268"/>
      <c r="B26" s="269"/>
      <c r="C26" s="300"/>
      <c r="D26" s="301"/>
      <c r="E26" s="301"/>
      <c r="F26" s="301"/>
      <c r="G26" s="302"/>
      <c r="H26" s="310"/>
      <c r="I26" s="270"/>
      <c r="J26" s="1"/>
      <c r="K26" s="311"/>
      <c r="L26" s="270"/>
      <c r="M26" s="271"/>
      <c r="N26" s="271"/>
      <c r="O26" s="271"/>
      <c r="P26" s="271"/>
      <c r="Q26" s="271"/>
      <c r="R26" s="271"/>
    </row>
    <row r="27" spans="1:18" ht="12.75" customHeight="1" x14ac:dyDescent="0.2">
      <c r="A27" s="266" t="s">
        <v>462</v>
      </c>
      <c r="B27" s="267"/>
      <c r="C27" s="297"/>
      <c r="D27" s="298"/>
      <c r="E27" s="298"/>
      <c r="F27" s="298"/>
      <c r="G27" s="299"/>
      <c r="H27" s="302"/>
      <c r="I27" s="309"/>
      <c r="J27" s="1"/>
      <c r="K27" s="312"/>
      <c r="L27" s="270"/>
      <c r="M27" s="271"/>
      <c r="N27" s="271"/>
      <c r="O27" s="271"/>
      <c r="P27" s="271"/>
      <c r="Q27" s="271"/>
      <c r="R27" s="271"/>
    </row>
    <row r="28" spans="1:18" ht="12.75" customHeight="1" x14ac:dyDescent="0.2">
      <c r="A28" s="268"/>
      <c r="B28" s="269"/>
      <c r="C28" s="300"/>
      <c r="D28" s="301"/>
      <c r="E28" s="301"/>
      <c r="F28" s="301"/>
      <c r="G28" s="302"/>
      <c r="H28" s="310"/>
      <c r="I28" s="270"/>
      <c r="J28" s="1"/>
      <c r="K28" s="311"/>
      <c r="L28" s="270"/>
      <c r="M28" s="271"/>
      <c r="N28" s="271"/>
      <c r="O28" s="271"/>
      <c r="P28" s="271"/>
      <c r="Q28" s="271"/>
      <c r="R28" s="271"/>
    </row>
    <row r="29" spans="1:18" ht="12.75" customHeight="1" x14ac:dyDescent="0.2">
      <c r="A29" s="266" t="s">
        <v>183</v>
      </c>
      <c r="B29" s="267"/>
      <c r="C29" s="297"/>
      <c r="D29" s="298"/>
      <c r="E29" s="298"/>
      <c r="F29" s="298"/>
      <c r="G29" s="299"/>
      <c r="H29" s="302"/>
      <c r="I29" s="309"/>
      <c r="J29" s="1"/>
      <c r="K29" s="312"/>
      <c r="L29" s="270"/>
      <c r="M29" s="271"/>
      <c r="N29" s="271"/>
      <c r="O29" s="271"/>
      <c r="P29" s="271"/>
      <c r="Q29" s="271"/>
      <c r="R29" s="271"/>
    </row>
    <row r="30" spans="1:18" ht="12.75" customHeight="1" x14ac:dyDescent="0.2">
      <c r="A30" s="268"/>
      <c r="B30" s="269"/>
      <c r="C30" s="300"/>
      <c r="D30" s="301"/>
      <c r="E30" s="301"/>
      <c r="F30" s="301"/>
      <c r="G30" s="302"/>
      <c r="H30" s="310"/>
      <c r="I30" s="270"/>
      <c r="J30" s="1"/>
      <c r="K30" s="311"/>
      <c r="L30" s="270"/>
      <c r="M30" s="271"/>
      <c r="N30" s="271"/>
      <c r="O30" s="271"/>
      <c r="P30" s="271"/>
      <c r="Q30" s="271"/>
      <c r="R30" s="271"/>
    </row>
    <row r="31" spans="1:18" ht="12.75" customHeight="1" x14ac:dyDescent="0.2">
      <c r="A31" s="266" t="s">
        <v>184</v>
      </c>
      <c r="B31" s="267"/>
      <c r="C31" s="297"/>
      <c r="D31" s="298"/>
      <c r="E31" s="298"/>
      <c r="F31" s="298"/>
      <c r="G31" s="299"/>
      <c r="H31" s="302"/>
      <c r="I31" s="309"/>
      <c r="J31" s="1"/>
      <c r="K31" s="312"/>
      <c r="L31" s="270"/>
      <c r="M31" s="271"/>
      <c r="N31" s="271"/>
      <c r="O31" s="271"/>
      <c r="P31" s="271"/>
      <c r="Q31" s="271"/>
      <c r="R31" s="271"/>
    </row>
    <row r="32" spans="1:18" ht="12.75" customHeight="1" x14ac:dyDescent="0.2">
      <c r="A32" s="268"/>
      <c r="B32" s="269"/>
      <c r="C32" s="300"/>
      <c r="D32" s="301"/>
      <c r="E32" s="301"/>
      <c r="F32" s="301"/>
      <c r="G32" s="302"/>
      <c r="H32" s="310"/>
      <c r="I32" s="270"/>
      <c r="J32" s="1"/>
      <c r="K32" s="311"/>
      <c r="L32" s="270"/>
      <c r="M32" s="271"/>
      <c r="N32" s="271"/>
      <c r="O32" s="271"/>
      <c r="P32" s="271"/>
      <c r="Q32" s="271"/>
      <c r="R32" s="271"/>
    </row>
    <row r="33" spans="1:18" ht="12.75" customHeight="1" x14ac:dyDescent="0.2">
      <c r="A33" s="266" t="s">
        <v>185</v>
      </c>
      <c r="B33" s="267"/>
      <c r="C33" s="297"/>
      <c r="D33" s="298"/>
      <c r="E33" s="298"/>
      <c r="F33" s="298"/>
      <c r="G33" s="299"/>
      <c r="H33" s="302"/>
      <c r="I33" s="309"/>
      <c r="J33" s="1"/>
      <c r="K33" s="312"/>
      <c r="L33" s="270"/>
      <c r="M33" s="271"/>
      <c r="N33" s="271"/>
      <c r="O33" s="271"/>
      <c r="P33" s="271"/>
      <c r="Q33" s="271"/>
      <c r="R33" s="271"/>
    </row>
    <row r="34" spans="1:18" ht="12.75" customHeight="1" x14ac:dyDescent="0.2">
      <c r="A34" s="268"/>
      <c r="B34" s="269"/>
      <c r="C34" s="300"/>
      <c r="D34" s="301"/>
      <c r="E34" s="301"/>
      <c r="F34" s="301"/>
      <c r="G34" s="302"/>
      <c r="H34" s="310"/>
      <c r="I34" s="270"/>
      <c r="J34" s="1"/>
      <c r="K34" s="311"/>
      <c r="L34" s="270"/>
      <c r="M34" s="271"/>
      <c r="N34" s="271"/>
      <c r="O34" s="271"/>
      <c r="P34" s="271"/>
      <c r="Q34" s="271"/>
      <c r="R34" s="271"/>
    </row>
    <row r="35" spans="1:18" ht="12.75" customHeight="1" x14ac:dyDescent="0.2">
      <c r="A35" s="266" t="s">
        <v>186</v>
      </c>
      <c r="B35" s="267"/>
      <c r="C35" s="297"/>
      <c r="D35" s="298"/>
      <c r="E35" s="298"/>
      <c r="F35" s="298"/>
      <c r="G35" s="299"/>
      <c r="H35" s="302"/>
      <c r="I35" s="309"/>
      <c r="J35" s="1"/>
      <c r="K35" s="312"/>
      <c r="L35" s="270"/>
      <c r="M35" s="271"/>
      <c r="N35" s="271"/>
      <c r="O35" s="271"/>
      <c r="P35" s="271"/>
      <c r="Q35" s="271"/>
      <c r="R35" s="271"/>
    </row>
    <row r="36" spans="1:18" ht="12.75" customHeight="1" x14ac:dyDescent="0.2">
      <c r="A36" s="268"/>
      <c r="B36" s="269"/>
      <c r="C36" s="300"/>
      <c r="D36" s="301"/>
      <c r="E36" s="301"/>
      <c r="F36" s="301"/>
      <c r="G36" s="302"/>
      <c r="H36" s="310"/>
      <c r="I36" s="270"/>
      <c r="J36" s="1"/>
      <c r="K36" s="311"/>
      <c r="L36" s="270"/>
      <c r="M36" s="271"/>
      <c r="N36" s="271"/>
      <c r="O36" s="271"/>
      <c r="P36" s="271"/>
      <c r="Q36" s="271"/>
      <c r="R36" s="271"/>
    </row>
    <row r="37" spans="1:18" ht="12.75" customHeight="1" x14ac:dyDescent="0.2">
      <c r="A37" s="266" t="s">
        <v>187</v>
      </c>
      <c r="B37" s="267"/>
      <c r="C37" s="297"/>
      <c r="D37" s="298"/>
      <c r="E37" s="298"/>
      <c r="F37" s="298"/>
      <c r="G37" s="299"/>
      <c r="H37" s="302"/>
      <c r="I37" s="309"/>
      <c r="J37" s="1"/>
      <c r="K37" s="312"/>
      <c r="L37" s="270"/>
      <c r="M37" s="271"/>
      <c r="N37" s="271"/>
      <c r="O37" s="271"/>
      <c r="P37" s="271"/>
      <c r="Q37" s="271"/>
      <c r="R37" s="271"/>
    </row>
    <row r="38" spans="1:18" ht="12.75" customHeight="1" x14ac:dyDescent="0.2">
      <c r="A38" s="268"/>
      <c r="B38" s="269"/>
      <c r="C38" s="300"/>
      <c r="D38" s="301"/>
      <c r="E38" s="301"/>
      <c r="F38" s="301"/>
      <c r="G38" s="302"/>
      <c r="H38" s="310"/>
      <c r="I38" s="270"/>
      <c r="J38" s="1"/>
      <c r="K38" s="311"/>
      <c r="L38" s="270"/>
      <c r="M38" s="271"/>
      <c r="N38" s="271"/>
      <c r="O38" s="271"/>
      <c r="P38" s="271"/>
      <c r="Q38" s="271"/>
      <c r="R38" s="271"/>
    </row>
    <row r="39" spans="1:18" ht="12.75" customHeight="1" x14ac:dyDescent="0.2">
      <c r="A39" s="266" t="s">
        <v>188</v>
      </c>
      <c r="B39" s="267"/>
      <c r="C39" s="297"/>
      <c r="D39" s="298"/>
      <c r="E39" s="298"/>
      <c r="F39" s="298"/>
      <c r="G39" s="299"/>
      <c r="H39" s="302"/>
      <c r="I39" s="309"/>
      <c r="J39" s="1"/>
      <c r="K39" s="312"/>
      <c r="L39" s="270"/>
      <c r="M39" s="271"/>
      <c r="N39" s="271"/>
      <c r="O39" s="271"/>
      <c r="P39" s="271"/>
      <c r="Q39" s="271"/>
      <c r="R39" s="271"/>
    </row>
    <row r="40" spans="1:18" ht="12.75" customHeight="1" x14ac:dyDescent="0.2">
      <c r="A40" s="268"/>
      <c r="B40" s="269"/>
      <c r="C40" s="300"/>
      <c r="D40" s="301"/>
      <c r="E40" s="301"/>
      <c r="F40" s="301"/>
      <c r="G40" s="302"/>
      <c r="H40" s="310"/>
      <c r="I40" s="270"/>
      <c r="J40" s="1"/>
      <c r="K40" s="311"/>
      <c r="L40" s="270"/>
      <c r="M40" s="271"/>
      <c r="N40" s="271"/>
      <c r="O40" s="271"/>
      <c r="P40" s="271"/>
      <c r="Q40" s="271"/>
      <c r="R40" s="271"/>
    </row>
    <row r="41" spans="1:18" ht="12.75" customHeight="1" x14ac:dyDescent="0.2">
      <c r="A41" s="266" t="s">
        <v>189</v>
      </c>
      <c r="B41" s="267"/>
      <c r="C41" s="297" t="s">
        <v>447</v>
      </c>
      <c r="D41" s="298"/>
      <c r="E41" s="298"/>
      <c r="F41" s="298"/>
      <c r="G41" s="299"/>
      <c r="H41" s="302"/>
      <c r="I41" s="309"/>
      <c r="J41" s="1"/>
      <c r="K41" s="312"/>
      <c r="L41" s="270"/>
      <c r="M41" s="271"/>
      <c r="N41" s="271"/>
      <c r="O41" s="271"/>
      <c r="P41" s="271"/>
      <c r="Q41" s="271"/>
      <c r="R41" s="271"/>
    </row>
    <row r="42" spans="1:18" ht="12.75" customHeight="1" x14ac:dyDescent="0.2">
      <c r="A42" s="268"/>
      <c r="B42" s="269"/>
      <c r="C42" s="300"/>
      <c r="D42" s="301"/>
      <c r="E42" s="301"/>
      <c r="F42" s="301"/>
      <c r="G42" s="302"/>
      <c r="H42" s="310"/>
      <c r="I42" s="270"/>
      <c r="J42" s="1"/>
      <c r="K42" s="311"/>
      <c r="L42" s="270"/>
      <c r="M42" s="271"/>
      <c r="N42" s="271"/>
      <c r="O42" s="271"/>
      <c r="P42" s="271"/>
      <c r="Q42" s="271"/>
      <c r="R42" s="271"/>
    </row>
    <row r="43" spans="1:18" ht="12.75" customHeight="1" x14ac:dyDescent="0.2">
      <c r="A43" s="266" t="s">
        <v>190</v>
      </c>
      <c r="B43" s="267"/>
      <c r="C43" s="297" t="s">
        <v>448</v>
      </c>
      <c r="D43" s="298"/>
      <c r="E43" s="298"/>
      <c r="F43" s="298"/>
      <c r="G43" s="299"/>
      <c r="H43" s="302" t="s">
        <v>447</v>
      </c>
      <c r="I43" s="309"/>
      <c r="J43" s="1"/>
      <c r="K43" s="312"/>
      <c r="L43" s="270"/>
      <c r="M43" s="271"/>
      <c r="N43" s="271"/>
      <c r="O43" s="271"/>
      <c r="P43" s="271"/>
      <c r="Q43" s="271"/>
      <c r="R43" s="271"/>
    </row>
    <row r="44" spans="1:18" ht="12.75" customHeight="1" x14ac:dyDescent="0.2">
      <c r="A44" s="268"/>
      <c r="B44" s="269"/>
      <c r="C44" s="300"/>
      <c r="D44" s="301"/>
      <c r="E44" s="301"/>
      <c r="F44" s="301"/>
      <c r="G44" s="302"/>
      <c r="H44" s="310"/>
      <c r="I44" s="270"/>
      <c r="J44" s="1"/>
      <c r="K44" s="311"/>
      <c r="L44" s="270"/>
      <c r="M44" s="271"/>
      <c r="N44" s="271"/>
      <c r="O44" s="271"/>
      <c r="P44" s="271"/>
      <c r="Q44" s="271"/>
      <c r="R44" s="271"/>
    </row>
    <row r="45" spans="1:18" ht="12.75" customHeight="1" x14ac:dyDescent="0.2">
      <c r="A45" s="266"/>
      <c r="B45" s="267"/>
      <c r="C45" s="297"/>
      <c r="D45" s="298"/>
      <c r="E45" s="298"/>
      <c r="F45" s="298"/>
      <c r="G45" s="299"/>
      <c r="H45" s="310"/>
      <c r="I45" s="270"/>
      <c r="J45" s="1"/>
      <c r="K45" s="312"/>
      <c r="L45" s="270"/>
      <c r="M45" s="271"/>
      <c r="N45" s="271"/>
      <c r="O45" s="271"/>
      <c r="P45" s="271"/>
      <c r="Q45" s="271"/>
      <c r="R45" s="271"/>
    </row>
    <row r="46" spans="1:18" ht="12.75" customHeight="1" x14ac:dyDescent="0.2">
      <c r="A46" s="323"/>
      <c r="B46" s="324"/>
      <c r="C46" s="325"/>
      <c r="D46" s="326"/>
      <c r="E46" s="326"/>
      <c r="F46" s="326"/>
      <c r="G46" s="327"/>
      <c r="H46" s="348"/>
      <c r="I46" s="349"/>
      <c r="J46" s="1"/>
      <c r="K46" s="312"/>
      <c r="L46" s="319"/>
      <c r="M46" s="320"/>
      <c r="N46" s="320"/>
      <c r="O46" s="320"/>
      <c r="P46" s="320"/>
      <c r="Q46" s="320"/>
      <c r="R46" s="320"/>
    </row>
    <row r="47" spans="1:18" x14ac:dyDescent="0.2">
      <c r="A47" s="54" t="s">
        <v>173</v>
      </c>
      <c r="B47" s="54"/>
      <c r="C47" s="54"/>
      <c r="D47" s="54"/>
      <c r="E47" s="54"/>
      <c r="F47" s="54"/>
      <c r="G47" s="54"/>
      <c r="H47" s="54"/>
      <c r="I47" s="54"/>
      <c r="J47" s="1"/>
      <c r="K47" s="347"/>
      <c r="L47" s="321"/>
      <c r="M47" s="322"/>
      <c r="N47" s="322"/>
      <c r="O47" s="322"/>
      <c r="P47" s="322"/>
      <c r="Q47" s="322"/>
      <c r="R47" s="322"/>
    </row>
  </sheetData>
  <mergeCells count="116">
    <mergeCell ref="A45:B46"/>
    <mergeCell ref="C45:G46"/>
    <mergeCell ref="A43:B44"/>
    <mergeCell ref="A31:B32"/>
    <mergeCell ref="A33:B34"/>
    <mergeCell ref="L4:R4"/>
    <mergeCell ref="L5:R5"/>
    <mergeCell ref="H5:I5"/>
    <mergeCell ref="A6:C6"/>
    <mergeCell ref="H6:I6"/>
    <mergeCell ref="C33:G34"/>
    <mergeCell ref="A11:B12"/>
    <mergeCell ref="C11:G12"/>
    <mergeCell ref="A27:B28"/>
    <mergeCell ref="H25:I26"/>
    <mergeCell ref="C43:G44"/>
    <mergeCell ref="A15:B16"/>
    <mergeCell ref="H11:I12"/>
    <mergeCell ref="H13:I14"/>
    <mergeCell ref="K46:K47"/>
    <mergeCell ref="K44:K45"/>
    <mergeCell ref="K42:K43"/>
    <mergeCell ref="K40:K41"/>
    <mergeCell ref="H45:I46"/>
    <mergeCell ref="A41:B42"/>
    <mergeCell ref="A37:B38"/>
    <mergeCell ref="H39:I40"/>
    <mergeCell ref="C41:G42"/>
    <mergeCell ref="A39:B40"/>
    <mergeCell ref="C39:G40"/>
    <mergeCell ref="C37:G38"/>
    <mergeCell ref="A35:B36"/>
    <mergeCell ref="C35:G36"/>
    <mergeCell ref="C31:G32"/>
    <mergeCell ref="C19:G20"/>
    <mergeCell ref="C21:G22"/>
    <mergeCell ref="C27:G28"/>
    <mergeCell ref="C25:G26"/>
    <mergeCell ref="L46:R47"/>
    <mergeCell ref="L32:R33"/>
    <mergeCell ref="L34:R35"/>
    <mergeCell ref="H37:I38"/>
    <mergeCell ref="H41:I42"/>
    <mergeCell ref="H43:I44"/>
    <mergeCell ref="H33:I34"/>
    <mergeCell ref="L42:R43"/>
    <mergeCell ref="L40:R41"/>
    <mergeCell ref="L44:R45"/>
    <mergeCell ref="L38:R39"/>
    <mergeCell ref="H35:I36"/>
    <mergeCell ref="L36:R37"/>
    <mergeCell ref="K38:K39"/>
    <mergeCell ref="K36:K37"/>
    <mergeCell ref="K34:K35"/>
    <mergeCell ref="K32:K33"/>
    <mergeCell ref="H31:I32"/>
    <mergeCell ref="L28:R29"/>
    <mergeCell ref="L14:R15"/>
    <mergeCell ref="K10:K11"/>
    <mergeCell ref="L10:R11"/>
    <mergeCell ref="K14:K15"/>
    <mergeCell ref="K12:K13"/>
    <mergeCell ref="H15:I16"/>
    <mergeCell ref="H17:I18"/>
    <mergeCell ref="L12:R13"/>
    <mergeCell ref="H23:I24"/>
    <mergeCell ref="L20:R21"/>
    <mergeCell ref="L22:R23"/>
    <mergeCell ref="K16:K17"/>
    <mergeCell ref="K18:K19"/>
    <mergeCell ref="K26:K27"/>
    <mergeCell ref="K24:K25"/>
    <mergeCell ref="K22:K23"/>
    <mergeCell ref="K20:K21"/>
    <mergeCell ref="L24:R25"/>
    <mergeCell ref="L26:R27"/>
    <mergeCell ref="L30:R31"/>
    <mergeCell ref="K28:K29"/>
    <mergeCell ref="K30:K31"/>
    <mergeCell ref="C15:G16"/>
    <mergeCell ref="C13:G14"/>
    <mergeCell ref="A8:D9"/>
    <mergeCell ref="H19:I20"/>
    <mergeCell ref="H29:I30"/>
    <mergeCell ref="C29:G30"/>
    <mergeCell ref="H27:I28"/>
    <mergeCell ref="C23:G24"/>
    <mergeCell ref="H21:I22"/>
    <mergeCell ref="A21:B22"/>
    <mergeCell ref="A23:B24"/>
    <mergeCell ref="A29:B30"/>
    <mergeCell ref="A25:B26"/>
    <mergeCell ref="K7:M8"/>
    <mergeCell ref="A17:B18"/>
    <mergeCell ref="L16:R17"/>
    <mergeCell ref="L18:R19"/>
    <mergeCell ref="A19:B20"/>
    <mergeCell ref="A1:I1"/>
    <mergeCell ref="L3:R3"/>
    <mergeCell ref="K4:K5"/>
    <mergeCell ref="K1:M1"/>
    <mergeCell ref="D4:E4"/>
    <mergeCell ref="D5:E5"/>
    <mergeCell ref="A5:C5"/>
    <mergeCell ref="H4:I4"/>
    <mergeCell ref="F4:G4"/>
    <mergeCell ref="H3:I3"/>
    <mergeCell ref="F3:G3"/>
    <mergeCell ref="A3:C3"/>
    <mergeCell ref="A4:C4"/>
    <mergeCell ref="D3:E3"/>
    <mergeCell ref="C17:G18"/>
    <mergeCell ref="F6:G6"/>
    <mergeCell ref="F5:G5"/>
    <mergeCell ref="A13:B14"/>
    <mergeCell ref="D6:E6"/>
  </mergeCells>
  <phoneticPr fontId="1"/>
  <pageMargins left="0.75" right="0.75" top="1" bottom="1" header="0.51200000000000001" footer="0.5120000000000000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4:M121"/>
  <sheetViews>
    <sheetView view="pageBreakPreview" zoomScaleNormal="100" workbookViewId="0"/>
  </sheetViews>
  <sheetFormatPr defaultColWidth="3.453125" defaultRowHeight="13" x14ac:dyDescent="0.2"/>
  <cols>
    <col min="1" max="1" width="18.6328125" customWidth="1"/>
    <col min="2" max="2" width="16.6328125" style="9" customWidth="1"/>
    <col min="3" max="3" width="3.6328125" customWidth="1"/>
    <col min="4" max="4" width="8.6328125" customWidth="1"/>
    <col min="5" max="5" width="3.6328125" customWidth="1"/>
    <col min="6" max="6" width="8.6328125" customWidth="1"/>
    <col min="7" max="7" width="3.6328125" customWidth="1"/>
    <col min="8" max="8" width="8.6328125" customWidth="1"/>
    <col min="9" max="9" width="3.6328125" customWidth="1"/>
    <col min="10" max="10" width="8.6328125" customWidth="1"/>
    <col min="11" max="11" width="3.6328125" customWidth="1"/>
    <col min="12" max="12" width="8.6328125" customWidth="1"/>
  </cols>
  <sheetData>
    <row r="4" spans="1:12" ht="12.75" customHeight="1" x14ac:dyDescent="0.2">
      <c r="A4" s="171" t="e">
        <f ca="1">発行年月日</f>
        <v>#NAME?</v>
      </c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</row>
    <row r="5" spans="1:12" ht="20.149999999999999" customHeight="1" x14ac:dyDescent="0.2">
      <c r="A5" s="194" t="s">
        <v>285</v>
      </c>
      <c r="B5" s="195"/>
      <c r="C5" s="195"/>
      <c r="D5" s="195"/>
      <c r="E5" s="195"/>
      <c r="F5" s="195"/>
      <c r="G5" s="195"/>
      <c r="H5" s="195"/>
      <c r="I5" s="195"/>
      <c r="J5" s="195"/>
      <c r="K5" s="195"/>
      <c r="L5" s="196"/>
    </row>
    <row r="6" spans="1:12" ht="12.75" customHeight="1" x14ac:dyDescent="0.2">
      <c r="A6" s="12" t="s">
        <v>200</v>
      </c>
      <c r="B6" s="13" t="s">
        <v>199</v>
      </c>
      <c r="C6" s="172" t="s">
        <v>201</v>
      </c>
      <c r="D6" s="173"/>
      <c r="E6" s="183"/>
      <c r="F6" s="13" t="s">
        <v>167</v>
      </c>
      <c r="G6" s="13" t="s">
        <v>168</v>
      </c>
      <c r="H6" s="172" t="s">
        <v>202</v>
      </c>
      <c r="I6" s="173"/>
      <c r="J6" s="172" t="s">
        <v>203</v>
      </c>
      <c r="K6" s="173"/>
      <c r="L6" s="174"/>
    </row>
    <row r="7" spans="1:12" ht="13" customHeight="1" x14ac:dyDescent="0.2">
      <c r="A7" s="14" t="e">
        <f ca="1">氏名</f>
        <v>#NAME?</v>
      </c>
      <c r="B7" s="15" t="e">
        <f ca="1">整理番号</f>
        <v>#NAME?</v>
      </c>
      <c r="C7" s="184" t="e">
        <f ca="1">生年月日</f>
        <v>#NAME?</v>
      </c>
      <c r="D7" s="185"/>
      <c r="E7" s="186"/>
      <c r="F7" s="18" t="e">
        <f ca="1">年齢</f>
        <v>#NAME?</v>
      </c>
      <c r="G7" s="15" t="e">
        <f ca="1">性別</f>
        <v>#NAME?</v>
      </c>
      <c r="H7" s="175" t="e">
        <f ca="1">受診番号</f>
        <v>#NAME?</v>
      </c>
      <c r="I7" s="176"/>
      <c r="J7" s="177" t="e">
        <f ca="1">組合名</f>
        <v>#NAME?</v>
      </c>
      <c r="K7" s="178"/>
      <c r="L7" s="179"/>
    </row>
    <row r="8" spans="1:12" ht="13" customHeight="1" x14ac:dyDescent="0.2">
      <c r="A8" s="258" t="s">
        <v>197</v>
      </c>
      <c r="B8" s="15" t="s">
        <v>278</v>
      </c>
      <c r="C8" s="163" t="e">
        <f ca="1">受診日1</f>
        <v>#NAME?</v>
      </c>
      <c r="D8" s="166"/>
      <c r="E8" s="163" t="e">
        <f ca="1">受診日2</f>
        <v>#NAME?</v>
      </c>
      <c r="F8" s="166"/>
      <c r="G8" s="163" t="e">
        <f ca="1">受診日3</f>
        <v>#NAME?</v>
      </c>
      <c r="H8" s="166"/>
      <c r="I8" s="163" t="e">
        <f ca="1">受診日4</f>
        <v>#NAME?</v>
      </c>
      <c r="J8" s="166"/>
      <c r="K8" s="163" t="e">
        <f ca="1">受診日5</f>
        <v>#NAME?</v>
      </c>
      <c r="L8" s="164"/>
    </row>
    <row r="9" spans="1:12" ht="13" customHeight="1" x14ac:dyDescent="0.2">
      <c r="A9" s="259"/>
      <c r="B9" s="15" t="s">
        <v>279</v>
      </c>
      <c r="C9" s="165" t="s">
        <v>280</v>
      </c>
      <c r="D9" s="168"/>
      <c r="E9" s="167" t="s">
        <v>281</v>
      </c>
      <c r="F9" s="167"/>
      <c r="G9" s="167" t="s">
        <v>282</v>
      </c>
      <c r="H9" s="167"/>
      <c r="I9" s="167" t="s">
        <v>283</v>
      </c>
      <c r="J9" s="167"/>
      <c r="K9" s="165" t="s">
        <v>284</v>
      </c>
      <c r="L9" s="164"/>
    </row>
    <row r="10" spans="1:12" s="11" customFormat="1" ht="13" customHeight="1" x14ac:dyDescent="0.2">
      <c r="A10" s="20" t="s">
        <v>182</v>
      </c>
      <c r="B10" s="21"/>
      <c r="C10" s="16"/>
      <c r="D10" s="22"/>
      <c r="E10" s="16"/>
      <c r="F10" s="17"/>
      <c r="G10" s="16"/>
      <c r="H10" s="17"/>
      <c r="I10" s="16"/>
      <c r="J10" s="17"/>
      <c r="K10" s="66"/>
      <c r="L10" s="71"/>
    </row>
    <row r="11" spans="1:12" s="11" customFormat="1" ht="13" customHeight="1" x14ac:dyDescent="0.2">
      <c r="A11" s="23" t="s">
        <v>204</v>
      </c>
      <c r="B11" s="21" t="s">
        <v>463</v>
      </c>
      <c r="C11" s="16" t="e">
        <f>CD_IJO3A010_1</f>
        <v>#NAME?</v>
      </c>
      <c r="D11" s="24" t="e">
        <f>CD_3A010_1</f>
        <v>#NAME?</v>
      </c>
      <c r="E11" s="16" t="e">
        <f>CD_IJO3A010_2</f>
        <v>#NAME?</v>
      </c>
      <c r="F11" s="61" t="e">
        <f>CD_3A010_2</f>
        <v>#NAME?</v>
      </c>
      <c r="G11" s="16" t="e">
        <f>CD_IJO3A010_3</f>
        <v>#NAME?</v>
      </c>
      <c r="H11" s="24" t="e">
        <f>CD_3A010_3</f>
        <v>#NAME?</v>
      </c>
      <c r="I11" s="16" t="e">
        <f>CD_IJO3A010_4</f>
        <v>#NAME?</v>
      </c>
      <c r="J11" s="24" t="e">
        <f>CD_3A010_4</f>
        <v>#NAME?</v>
      </c>
      <c r="K11" s="16" t="e">
        <f>CD_IJO3A010_5</f>
        <v>#NAME?</v>
      </c>
      <c r="L11" s="72" t="e">
        <f>CD_3A010_5</f>
        <v>#NAME?</v>
      </c>
    </row>
    <row r="12" spans="1:12" s="11" customFormat="1" ht="13" customHeight="1" x14ac:dyDescent="0.2">
      <c r="A12" s="23" t="s">
        <v>205</v>
      </c>
      <c r="B12" s="21" t="s">
        <v>464</v>
      </c>
      <c r="C12" s="16" t="e">
        <f>CD_IJO3A015_1</f>
        <v>#NAME?</v>
      </c>
      <c r="D12" s="24" t="e">
        <f>CD_3A015_1</f>
        <v>#NAME?</v>
      </c>
      <c r="E12" s="16" t="e">
        <f>CD_IJO3A015_2</f>
        <v>#NAME?</v>
      </c>
      <c r="F12" s="61" t="e">
        <f>CD_3A015_2</f>
        <v>#NAME?</v>
      </c>
      <c r="G12" s="16" t="e">
        <f>CD_IJO3A015_3</f>
        <v>#NAME?</v>
      </c>
      <c r="H12" s="24" t="e">
        <f>CD_3A015_3</f>
        <v>#NAME?</v>
      </c>
      <c r="I12" s="16" t="e">
        <f>CD_IJO3A015_4</f>
        <v>#NAME?</v>
      </c>
      <c r="J12" s="24" t="e">
        <f>CD_3A015_4</f>
        <v>#NAME?</v>
      </c>
      <c r="K12" s="16" t="e">
        <f>CD_IJO3A015_5</f>
        <v>#NAME?</v>
      </c>
      <c r="L12" s="72" t="e">
        <f>CD_3A015_5</f>
        <v>#NAME?</v>
      </c>
    </row>
    <row r="13" spans="1:12" s="11" customFormat="1" ht="13" customHeight="1" x14ac:dyDescent="0.2">
      <c r="A13" s="23" t="s">
        <v>198</v>
      </c>
      <c r="B13" s="21" t="s">
        <v>309</v>
      </c>
      <c r="C13" s="16" t="e">
        <f>CD_IJO3A016_1</f>
        <v>#NAME?</v>
      </c>
      <c r="D13" s="25" t="e">
        <f>CD_3A016_1</f>
        <v>#NAME?</v>
      </c>
      <c r="E13" s="16" t="e">
        <f>CD_IJO3A016_2</f>
        <v>#NAME?</v>
      </c>
      <c r="F13" s="69" t="e">
        <f>CD_3A016_2</f>
        <v>#NAME?</v>
      </c>
      <c r="G13" s="16" t="e">
        <f>CD_IJO3A016_3</f>
        <v>#NAME?</v>
      </c>
      <c r="H13" s="25" t="e">
        <f>CD_3A016_3</f>
        <v>#NAME?</v>
      </c>
      <c r="I13" s="16" t="e">
        <f>CD_IJO3A016_4</f>
        <v>#NAME?</v>
      </c>
      <c r="J13" s="25" t="e">
        <f>CD_3A016_4</f>
        <v>#NAME?</v>
      </c>
      <c r="K13" s="16" t="e">
        <f>CD_IJO3A016_5</f>
        <v>#NAME?</v>
      </c>
      <c r="L13" s="73" t="e">
        <f>CD_3A016_5</f>
        <v>#NAME?</v>
      </c>
    </row>
    <row r="14" spans="1:12" s="11" customFormat="1" ht="13" customHeight="1" x14ac:dyDescent="0.2">
      <c r="A14" s="23" t="s">
        <v>310</v>
      </c>
      <c r="B14" s="21" t="s">
        <v>364</v>
      </c>
      <c r="C14" s="16" t="e">
        <f>CD_IJOZ0012_1</f>
        <v>#NAME?</v>
      </c>
      <c r="D14" s="24" t="e">
        <f>CD_Z0012_1</f>
        <v>#NAME?</v>
      </c>
      <c r="E14" s="16" t="e">
        <f>CD_IJOZ0012_2</f>
        <v>#NAME?</v>
      </c>
      <c r="F14" s="24" t="e">
        <f>CD_Z0012_2</f>
        <v>#NAME?</v>
      </c>
      <c r="G14" s="16" t="e">
        <f>CD_IJOZ0012_3</f>
        <v>#NAME?</v>
      </c>
      <c r="H14" s="24" t="e">
        <f>CD_Z0012_3</f>
        <v>#NAME?</v>
      </c>
      <c r="I14" s="16" t="e">
        <f>CD_IJOZ0012_4</f>
        <v>#NAME?</v>
      </c>
      <c r="J14" s="24" t="e">
        <f>CD_Z0012_4</f>
        <v>#NAME?</v>
      </c>
      <c r="K14" s="16" t="e">
        <f>CD_IJOZ0012_5</f>
        <v>#NAME?</v>
      </c>
      <c r="L14" s="72" t="e">
        <f>CD_Z0012_5</f>
        <v>#NAME?</v>
      </c>
    </row>
    <row r="15" spans="1:12" s="11" customFormat="1" ht="13" customHeight="1" x14ac:dyDescent="0.2">
      <c r="A15" s="23" t="s">
        <v>311</v>
      </c>
      <c r="B15" s="21" t="s">
        <v>312</v>
      </c>
      <c r="C15" s="16" t="e">
        <f>CD_IJOZ0011_1</f>
        <v>#NAME?</v>
      </c>
      <c r="D15" s="24" t="e">
        <f>CD_Z0011_1</f>
        <v>#NAME?</v>
      </c>
      <c r="E15" s="16" t="e">
        <f>CD_IJOZ0011_2</f>
        <v>#NAME?</v>
      </c>
      <c r="F15" s="61" t="e">
        <f>CD_Z0011_2</f>
        <v>#NAME?</v>
      </c>
      <c r="G15" s="16" t="e">
        <f>CD_IJOZ0011_3</f>
        <v>#NAME?</v>
      </c>
      <c r="H15" s="24" t="e">
        <f>CD_Z0011_3</f>
        <v>#NAME?</v>
      </c>
      <c r="I15" s="16" t="e">
        <f>CD_IJOZ0011_4</f>
        <v>#NAME?</v>
      </c>
      <c r="J15" s="24" t="e">
        <f>CD_Z0011_4</f>
        <v>#NAME?</v>
      </c>
      <c r="K15" s="16" t="e">
        <f>CD_IJOZ0011_5</f>
        <v>#NAME?</v>
      </c>
      <c r="L15" s="72" t="e">
        <f>CD_Z0011_5</f>
        <v>#NAME?</v>
      </c>
    </row>
    <row r="16" spans="1:12" s="11" customFormat="1" ht="13" customHeight="1" x14ac:dyDescent="0.2">
      <c r="A16" s="23" t="s">
        <v>313</v>
      </c>
      <c r="B16" s="21" t="s">
        <v>314</v>
      </c>
      <c r="C16" s="16" t="e">
        <f>CD_IJO3B035_1</f>
        <v>#NAME?</v>
      </c>
      <c r="D16" s="27" t="e">
        <f>CD_3B035_1</f>
        <v>#NAME?</v>
      </c>
      <c r="E16" s="16" t="e">
        <f>CD_IJO3B035_2</f>
        <v>#NAME?</v>
      </c>
      <c r="F16" s="62" t="e">
        <f>CD_3B035_2</f>
        <v>#NAME?</v>
      </c>
      <c r="G16" s="16" t="e">
        <f>CD_IJO3B035_3</f>
        <v>#NAME?</v>
      </c>
      <c r="H16" s="27" t="e">
        <f>CD_3B035_3</f>
        <v>#NAME?</v>
      </c>
      <c r="I16" s="16" t="e">
        <f>CD_IJO3B035_4</f>
        <v>#NAME?</v>
      </c>
      <c r="J16" s="27" t="e">
        <f>CD_3B035_4</f>
        <v>#NAME?</v>
      </c>
      <c r="K16" s="16" t="e">
        <f>CD_IJO3B035_5</f>
        <v>#NAME?</v>
      </c>
      <c r="L16" s="77" t="e">
        <f>CD_3B035_5</f>
        <v>#NAME?</v>
      </c>
    </row>
    <row r="17" spans="1:12" s="11" customFormat="1" ht="13" customHeight="1" x14ac:dyDescent="0.2">
      <c r="A17" s="23" t="s">
        <v>315</v>
      </c>
      <c r="B17" s="21" t="s">
        <v>316</v>
      </c>
      <c r="C17" s="16" t="e">
        <f>CD_IJO3B045_1</f>
        <v>#NAME?</v>
      </c>
      <c r="D17" s="27" t="e">
        <f>CD_3B045_1</f>
        <v>#NAME?</v>
      </c>
      <c r="E17" s="16" t="e">
        <f>CD_IJO3B045_2</f>
        <v>#NAME?</v>
      </c>
      <c r="F17" s="62" t="e">
        <f>CD_3B045_2</f>
        <v>#NAME?</v>
      </c>
      <c r="G17" s="16" t="e">
        <f>CD_IJO3B045_3</f>
        <v>#NAME?</v>
      </c>
      <c r="H17" s="27" t="e">
        <f>CD_3B045_3</f>
        <v>#NAME?</v>
      </c>
      <c r="I17" s="16" t="e">
        <f>CD_IJO3B045_4</f>
        <v>#NAME?</v>
      </c>
      <c r="J17" s="27" t="e">
        <f>CD_3B045_4</f>
        <v>#NAME?</v>
      </c>
      <c r="K17" s="16" t="e">
        <f>CD_IJO3B045_5</f>
        <v>#NAME?</v>
      </c>
      <c r="L17" s="77" t="e">
        <f>CD_3B045_5</f>
        <v>#NAME?</v>
      </c>
    </row>
    <row r="18" spans="1:12" s="11" customFormat="1" ht="13" customHeight="1" x14ac:dyDescent="0.2">
      <c r="A18" s="23" t="s">
        <v>317</v>
      </c>
      <c r="B18" s="21" t="s">
        <v>318</v>
      </c>
      <c r="C18" s="16" t="e">
        <f>CD_IJO3B070_1</f>
        <v>#NAME?</v>
      </c>
      <c r="D18" s="27" t="e">
        <f>CD_3B070_1</f>
        <v>#NAME?</v>
      </c>
      <c r="E18" s="16" t="e">
        <f>CD_IJO3B070_2</f>
        <v>#NAME?</v>
      </c>
      <c r="F18" s="62" t="e">
        <f>CD_3B070_2</f>
        <v>#NAME?</v>
      </c>
      <c r="G18" s="16" t="e">
        <f>CD_IJO3B070_3</f>
        <v>#NAME?</v>
      </c>
      <c r="H18" s="27" t="e">
        <f>CD_3B070_3</f>
        <v>#NAME?</v>
      </c>
      <c r="I18" s="16" t="e">
        <f>CD_IJO3B070_4</f>
        <v>#NAME?</v>
      </c>
      <c r="J18" s="27" t="e">
        <f>CD_3B070_4</f>
        <v>#NAME?</v>
      </c>
      <c r="K18" s="16" t="e">
        <f>CD_IJO3B070_5</f>
        <v>#NAME?</v>
      </c>
      <c r="L18" s="77" t="e">
        <f>CD_3B070_5</f>
        <v>#NAME?</v>
      </c>
    </row>
    <row r="19" spans="1:12" s="11" customFormat="1" ht="13" customHeight="1" x14ac:dyDescent="0.2">
      <c r="A19" s="23" t="s">
        <v>319</v>
      </c>
      <c r="B19" s="21" t="s">
        <v>320</v>
      </c>
      <c r="C19" s="16" t="e">
        <f>CD_IJOZ0013_1</f>
        <v>#NAME?</v>
      </c>
      <c r="D19" s="27" t="e">
        <f>CD_Z0013_1</f>
        <v>#NAME?</v>
      </c>
      <c r="E19" s="114" t="e">
        <f>CD_IJOZ0013_2</f>
        <v>#NAME?</v>
      </c>
      <c r="F19" s="62" t="e">
        <f>CD_Z0013_2</f>
        <v>#NAME?</v>
      </c>
      <c r="G19" s="114" t="e">
        <f>CD_IJOZ0013_3</f>
        <v>#NAME?</v>
      </c>
      <c r="H19" s="27" t="e">
        <f>CD_Z0013_3</f>
        <v>#NAME?</v>
      </c>
      <c r="I19" s="114" t="e">
        <f>CD_IJOZ0013_4</f>
        <v>#NAME?</v>
      </c>
      <c r="J19" s="27" t="e">
        <f>CD_Z0013_4</f>
        <v>#NAME?</v>
      </c>
      <c r="K19" s="114" t="e">
        <f>CD_IJOZ0013_5</f>
        <v>#NAME?</v>
      </c>
      <c r="L19" s="77" t="e">
        <f>CD_Z0013_5</f>
        <v>#NAME?</v>
      </c>
    </row>
    <row r="20" spans="1:12" s="11" customFormat="1" ht="13" customHeight="1" x14ac:dyDescent="0.2">
      <c r="A20" s="23" t="s">
        <v>321</v>
      </c>
      <c r="B20" s="21" t="s">
        <v>322</v>
      </c>
      <c r="C20" s="16" t="e">
        <f>CD_IJO3B090_1</f>
        <v>#NAME?</v>
      </c>
      <c r="D20" s="27" t="e">
        <f>CD_3B090_1</f>
        <v>#NAME?</v>
      </c>
      <c r="E20" s="16" t="e">
        <f>CD_IJO3B090_2</f>
        <v>#NAME?</v>
      </c>
      <c r="F20" s="62" t="e">
        <f>CD_3B090_2</f>
        <v>#NAME?</v>
      </c>
      <c r="G20" s="16" t="e">
        <f>CD_IJO3B090_3</f>
        <v>#NAME?</v>
      </c>
      <c r="H20" s="27" t="e">
        <f>CD_3B090_3</f>
        <v>#NAME?</v>
      </c>
      <c r="I20" s="16" t="e">
        <f>CD_IJO3B090_4</f>
        <v>#NAME?</v>
      </c>
      <c r="J20" s="27" t="e">
        <f>CD_3B090_4</f>
        <v>#NAME?</v>
      </c>
      <c r="K20" s="16" t="e">
        <f>CD_IJO3B090_5</f>
        <v>#NAME?</v>
      </c>
      <c r="L20" s="77" t="e">
        <f>CD_3B090_5</f>
        <v>#NAME?</v>
      </c>
    </row>
    <row r="21" spans="1:12" s="11" customFormat="1" ht="13" customHeight="1" x14ac:dyDescent="0.2">
      <c r="A21" s="23" t="s">
        <v>323</v>
      </c>
      <c r="B21" s="21" t="s">
        <v>324</v>
      </c>
      <c r="C21" s="16" t="e">
        <f>CD_IJOZ0014_1</f>
        <v>#NAME?</v>
      </c>
      <c r="D21" s="27" t="e">
        <f>CD_Z0014_1</f>
        <v>#NAME?</v>
      </c>
      <c r="E21" s="114" t="e">
        <f>CD_IJOZ0014_2</f>
        <v>#NAME?</v>
      </c>
      <c r="F21" s="62" t="e">
        <f>CD_Z0014_2</f>
        <v>#NAME?</v>
      </c>
      <c r="G21" s="114" t="e">
        <f>CD_IJOZ0014_3</f>
        <v>#NAME?</v>
      </c>
      <c r="H21" s="27" t="e">
        <f>CD_Z0014_3</f>
        <v>#NAME?</v>
      </c>
      <c r="I21" s="114" t="e">
        <f>CD_IJOZ0014_4</f>
        <v>#NAME?</v>
      </c>
      <c r="J21" s="27" t="e">
        <f>CD_Z0014_4</f>
        <v>#NAME?</v>
      </c>
      <c r="K21" s="114" t="e">
        <f>CD_IJOZ0014_5</f>
        <v>#NAME?</v>
      </c>
      <c r="L21" s="77" t="e">
        <f>CD_Z0014_5</f>
        <v>#NAME?</v>
      </c>
    </row>
    <row r="22" spans="1:12" s="11" customFormat="1" ht="13" customHeight="1" x14ac:dyDescent="0.2">
      <c r="A22" s="23" t="s">
        <v>206</v>
      </c>
      <c r="B22" s="21" t="s">
        <v>325</v>
      </c>
      <c r="C22" s="16" t="e">
        <f>CD_IJO3J010_1</f>
        <v>#NAME?</v>
      </c>
      <c r="D22" s="24" t="e">
        <f>CD_3J010_1</f>
        <v>#NAME?</v>
      </c>
      <c r="E22" s="16" t="e">
        <f>CD_IJO3J010_2</f>
        <v>#NAME?</v>
      </c>
      <c r="F22" s="61" t="e">
        <f>CD_3J010_2</f>
        <v>#NAME?</v>
      </c>
      <c r="G22" s="16" t="e">
        <f>CD_IJO3J010_3</f>
        <v>#NAME?</v>
      </c>
      <c r="H22" s="24" t="e">
        <f>CD_3J010_3</f>
        <v>#NAME?</v>
      </c>
      <c r="I22" s="16" t="e">
        <f>CD_IJO3J010_4</f>
        <v>#NAME?</v>
      </c>
      <c r="J22" s="24" t="e">
        <f>CD_3J010_4</f>
        <v>#NAME?</v>
      </c>
      <c r="K22" s="16" t="e">
        <f>CD_IJO3J010_5</f>
        <v>#NAME?</v>
      </c>
      <c r="L22" s="72" t="e">
        <f>CD_3J010_5</f>
        <v>#NAME?</v>
      </c>
    </row>
    <row r="23" spans="1:12" s="11" customFormat="1" ht="13" customHeight="1" x14ac:dyDescent="0.2">
      <c r="A23" s="23" t="s">
        <v>207</v>
      </c>
      <c r="B23" s="133" t="s">
        <v>55</v>
      </c>
      <c r="C23" s="16"/>
      <c r="D23" s="17" t="e">
        <f ca="1">CD_肝炎結果B1</f>
        <v>#NAME?</v>
      </c>
      <c r="E23" s="16"/>
      <c r="F23" s="17" t="e">
        <f ca="1">CD_肝炎結果B2</f>
        <v>#NAME?</v>
      </c>
      <c r="G23" s="16"/>
      <c r="H23" s="17" t="e">
        <f ca="1">CD_肝炎結果B3</f>
        <v>#NAME?</v>
      </c>
      <c r="I23" s="16"/>
      <c r="J23" s="17" t="e">
        <f ca="1">CD_肝炎結果B4</f>
        <v>#NAME?</v>
      </c>
      <c r="K23" s="16"/>
      <c r="L23" s="76" t="e">
        <f ca="1">CD_肝炎結果B5</f>
        <v>#NAME?</v>
      </c>
    </row>
    <row r="24" spans="1:12" s="11" customFormat="1" ht="13" customHeight="1" x14ac:dyDescent="0.2">
      <c r="A24" s="23" t="s">
        <v>208</v>
      </c>
      <c r="B24" s="21" t="s">
        <v>365</v>
      </c>
      <c r="C24" s="16" t="e">
        <f>CD_020_IJO01002_1</f>
        <v>#NAME?</v>
      </c>
      <c r="D24" s="25" t="e">
        <f>CD_020_01002_1</f>
        <v>#NAME?</v>
      </c>
      <c r="E24" s="16" t="e">
        <f>CD_020_IJO01002_2</f>
        <v>#NAME?</v>
      </c>
      <c r="F24" s="25" t="e">
        <f>CD_020_01002_2</f>
        <v>#NAME?</v>
      </c>
      <c r="G24" s="16" t="e">
        <f>CD_020_IJO01002_3</f>
        <v>#NAME?</v>
      </c>
      <c r="H24" s="25" t="e">
        <f>CD_020_01002_3</f>
        <v>#NAME?</v>
      </c>
      <c r="I24" s="16" t="e">
        <f>CD_020_IJO01002_4</f>
        <v>#NAME?</v>
      </c>
      <c r="J24" s="25" t="e">
        <f>CD_020_01002_4</f>
        <v>#NAME?</v>
      </c>
      <c r="K24" s="16" t="e">
        <f>CD_020_IJO01002_5</f>
        <v>#NAME?</v>
      </c>
      <c r="L24" s="73" t="e">
        <f>CD_020_01002_5</f>
        <v>#NAME?</v>
      </c>
    </row>
    <row r="25" spans="1:12" s="11" customFormat="1" ht="13" customHeight="1" x14ac:dyDescent="0.2">
      <c r="A25" s="23"/>
      <c r="B25" s="21"/>
      <c r="C25" s="16" t="s">
        <v>372</v>
      </c>
      <c r="D25" s="22"/>
      <c r="E25" s="16"/>
      <c r="F25" s="17"/>
      <c r="G25" s="16"/>
      <c r="H25" s="17"/>
      <c r="I25" s="16"/>
      <c r="J25" s="17"/>
      <c r="K25" s="16"/>
      <c r="L25" s="76"/>
    </row>
    <row r="26" spans="1:12" s="11" customFormat="1" ht="13" customHeight="1" x14ac:dyDescent="0.2">
      <c r="A26" s="23"/>
      <c r="B26" s="21"/>
      <c r="C26" s="16" t="s">
        <v>372</v>
      </c>
      <c r="D26" s="22"/>
      <c r="E26" s="16"/>
      <c r="F26" s="17"/>
      <c r="G26" s="16"/>
      <c r="H26" s="17"/>
      <c r="I26" s="16"/>
      <c r="J26" s="17"/>
      <c r="K26" s="16"/>
      <c r="L26" s="76"/>
    </row>
    <row r="27" spans="1:12" s="11" customFormat="1" ht="13" customHeight="1" x14ac:dyDescent="0.2">
      <c r="A27" s="23" t="s">
        <v>209</v>
      </c>
      <c r="B27" s="21" t="s">
        <v>483</v>
      </c>
      <c r="C27" s="16" t="e">
        <f>CD_IJOZ0016_1</f>
        <v>#NAME?</v>
      </c>
      <c r="D27" s="27" t="e">
        <f>CD_Z0016_1</f>
        <v>#NAME?</v>
      </c>
      <c r="E27" s="114" t="e">
        <f>CD_IJOZ0016_2</f>
        <v>#NAME?</v>
      </c>
      <c r="F27" s="27" t="e">
        <f>CD_Z0016_2</f>
        <v>#NAME?</v>
      </c>
      <c r="G27" s="114" t="e">
        <f>CD_IJOZ0016_3</f>
        <v>#NAME?</v>
      </c>
      <c r="H27" s="27" t="e">
        <f>CD_Z0016_3</f>
        <v>#NAME?</v>
      </c>
      <c r="I27" s="114" t="e">
        <f>CD_IJOZ0016_4</f>
        <v>#NAME?</v>
      </c>
      <c r="J27" s="27" t="e">
        <f>CD_Z0016_4</f>
        <v>#NAME?</v>
      </c>
      <c r="K27" s="114" t="e">
        <f>CD_IJOZ0016_5</f>
        <v>#NAME?</v>
      </c>
      <c r="L27" s="77" t="e">
        <f>CD_Z0016_5</f>
        <v>#NAME?</v>
      </c>
    </row>
    <row r="28" spans="1:12" s="11" customFormat="1" ht="13" customHeight="1" x14ac:dyDescent="0.2">
      <c r="A28" s="20" t="s">
        <v>210</v>
      </c>
      <c r="B28" s="21"/>
      <c r="C28" s="16"/>
      <c r="D28" s="22"/>
      <c r="E28" s="16"/>
      <c r="F28" s="17"/>
      <c r="G28" s="16"/>
      <c r="H28" s="17"/>
      <c r="I28" s="16"/>
      <c r="J28" s="17"/>
      <c r="K28" s="16"/>
      <c r="L28" s="76"/>
    </row>
    <row r="29" spans="1:12" s="11" customFormat="1" ht="13" customHeight="1" x14ac:dyDescent="0.2">
      <c r="A29" s="23" t="s">
        <v>211</v>
      </c>
      <c r="B29" s="21" t="s">
        <v>326</v>
      </c>
      <c r="C29" s="16" t="e">
        <f>CD_IJO3F050_1</f>
        <v>#NAME?</v>
      </c>
      <c r="D29" s="27" t="e">
        <f>CD_3F050_1</f>
        <v>#NAME?</v>
      </c>
      <c r="E29" s="16" t="e">
        <f>CD_IJO3F050_2</f>
        <v>#NAME?</v>
      </c>
      <c r="F29" s="62" t="e">
        <f>CD_3F050_2</f>
        <v>#NAME?</v>
      </c>
      <c r="G29" s="16" t="e">
        <f>CD_IJO3F050_3</f>
        <v>#NAME?</v>
      </c>
      <c r="H29" s="27" t="e">
        <f>CD_3F050_3</f>
        <v>#NAME?</v>
      </c>
      <c r="I29" s="16" t="e">
        <f>CD_IJO3F050_4</f>
        <v>#NAME?</v>
      </c>
      <c r="J29" s="27" t="e">
        <f>CD_3F050_4</f>
        <v>#NAME?</v>
      </c>
      <c r="K29" s="16" t="e">
        <f>CD_IJO3F050_5</f>
        <v>#NAME?</v>
      </c>
      <c r="L29" s="77" t="e">
        <f>CD_3F050_5</f>
        <v>#NAME?</v>
      </c>
    </row>
    <row r="30" spans="1:12" s="11" customFormat="1" ht="13" customHeight="1" x14ac:dyDescent="0.2">
      <c r="A30" s="23" t="s">
        <v>212</v>
      </c>
      <c r="B30" s="21" t="s">
        <v>485</v>
      </c>
      <c r="C30" s="16" t="e">
        <f>CD_IJO3F015_1</f>
        <v>#NAME?</v>
      </c>
      <c r="D30" s="27" t="e">
        <f>CD_3F015_1</f>
        <v>#NAME?</v>
      </c>
      <c r="E30" s="16" t="e">
        <f>CD_IJO3F015_2</f>
        <v>#NAME?</v>
      </c>
      <c r="F30" s="62" t="e">
        <f>CD_3F015_2</f>
        <v>#NAME?</v>
      </c>
      <c r="G30" s="16" t="e">
        <f>CD_IJO3F015_3</f>
        <v>#NAME?</v>
      </c>
      <c r="H30" s="27" t="e">
        <f>CD_3F015_3</f>
        <v>#NAME?</v>
      </c>
      <c r="I30" s="16" t="e">
        <f>CD_IJO3F015_4</f>
        <v>#NAME?</v>
      </c>
      <c r="J30" s="27" t="e">
        <f>CD_3F015_4</f>
        <v>#NAME?</v>
      </c>
      <c r="K30" s="16" t="e">
        <f>CD_IJO3F015_5</f>
        <v>#NAME?</v>
      </c>
      <c r="L30" s="77" t="e">
        <f>CD_3F015_5</f>
        <v>#NAME?</v>
      </c>
    </row>
    <row r="31" spans="1:12" s="11" customFormat="1" ht="13" customHeight="1" x14ac:dyDescent="0.2">
      <c r="A31" s="23" t="s">
        <v>0</v>
      </c>
      <c r="B31" s="21" t="s">
        <v>1</v>
      </c>
      <c r="C31" s="16" t="e">
        <f>CD_IJO3F070_1</f>
        <v>#NAME?</v>
      </c>
      <c r="D31" s="27" t="e">
        <f>CD_3F070_1</f>
        <v>#NAME?</v>
      </c>
      <c r="E31" s="16" t="e">
        <f>CD_IJO3F070_2</f>
        <v>#NAME?</v>
      </c>
      <c r="F31" s="62" t="e">
        <f>CD_3F070_2</f>
        <v>#NAME?</v>
      </c>
      <c r="G31" s="16" t="e">
        <f>CD_IJO3F070_3</f>
        <v>#NAME?</v>
      </c>
      <c r="H31" s="27" t="e">
        <f>CD_3F070_3</f>
        <v>#NAME?</v>
      </c>
      <c r="I31" s="16" t="e">
        <f>CD_IJO3F070_4</f>
        <v>#NAME?</v>
      </c>
      <c r="J31" s="27" t="e">
        <f>CD_3F070_4</f>
        <v>#NAME?</v>
      </c>
      <c r="K31" s="16" t="e">
        <f>CD_IJO3F070_5</f>
        <v>#NAME?</v>
      </c>
      <c r="L31" s="77" t="e">
        <f>CD_3F070_5</f>
        <v>#NAME?</v>
      </c>
    </row>
    <row r="32" spans="1:12" s="11" customFormat="1" ht="13" customHeight="1" x14ac:dyDescent="0.2">
      <c r="A32" s="23" t="s">
        <v>2</v>
      </c>
      <c r="B32" s="21" t="s">
        <v>366</v>
      </c>
      <c r="C32" s="16" t="e">
        <f>CD_IJO3F077_1</f>
        <v>#NAME?</v>
      </c>
      <c r="D32" s="27" t="e">
        <f>CD_3F077_1</f>
        <v>#NAME?</v>
      </c>
      <c r="E32" s="16" t="e">
        <f>CD_IJO3F077_2</f>
        <v>#NAME?</v>
      </c>
      <c r="F32" s="62" t="e">
        <f>CD_3F077_2</f>
        <v>#NAME?</v>
      </c>
      <c r="G32" s="16" t="e">
        <f>CD_IJO3F077_3</f>
        <v>#NAME?</v>
      </c>
      <c r="H32" s="27" t="e">
        <f>CD_3F077_3</f>
        <v>#NAME?</v>
      </c>
      <c r="I32" s="16" t="e">
        <f>CD_IJO3F077_4</f>
        <v>#NAME?</v>
      </c>
      <c r="J32" s="27" t="e">
        <f>CD_3F077_4</f>
        <v>#NAME?</v>
      </c>
      <c r="K32" s="16" t="e">
        <f>CD_IJO3F077_5</f>
        <v>#NAME?</v>
      </c>
      <c r="L32" s="77" t="e">
        <f>CD_3F077_5</f>
        <v>#NAME?</v>
      </c>
    </row>
    <row r="33" spans="1:12" s="11" customFormat="1" ht="13" customHeight="1" x14ac:dyDescent="0.2">
      <c r="A33" s="20" t="s">
        <v>184</v>
      </c>
      <c r="B33" s="21"/>
      <c r="C33" s="16"/>
      <c r="D33" s="22"/>
      <c r="E33" s="16"/>
      <c r="F33" s="56"/>
      <c r="G33" s="16"/>
      <c r="H33" s="17"/>
      <c r="I33" s="16"/>
      <c r="J33" s="17"/>
      <c r="K33" s="16"/>
      <c r="L33" s="76"/>
    </row>
    <row r="34" spans="1:12" s="11" customFormat="1" ht="13" customHeight="1" x14ac:dyDescent="0.2">
      <c r="A34" s="23" t="s">
        <v>213</v>
      </c>
      <c r="B34" s="21" t="s">
        <v>443</v>
      </c>
      <c r="C34" s="16" t="e">
        <f>CD_IJO3C020_1</f>
        <v>#NAME?</v>
      </c>
      <c r="D34" s="24" t="e">
        <f>CD_3C020_1</f>
        <v>#NAME?</v>
      </c>
      <c r="E34" s="16" t="e">
        <f>CD_IJO3C020_2</f>
        <v>#NAME?</v>
      </c>
      <c r="F34" s="61" t="e">
        <f>CD_3C020_2</f>
        <v>#NAME?</v>
      </c>
      <c r="G34" s="16" t="e">
        <f>CD_IJO3C020_3</f>
        <v>#NAME?</v>
      </c>
      <c r="H34" s="24" t="e">
        <f>CD_3C020_3</f>
        <v>#NAME?</v>
      </c>
      <c r="I34" s="16" t="e">
        <f>CD_IJO3C020_4</f>
        <v>#NAME?</v>
      </c>
      <c r="J34" s="24" t="e">
        <f>CD_3C020_4</f>
        <v>#NAME?</v>
      </c>
      <c r="K34" s="16" t="e">
        <f>CD_IJO3C020_5</f>
        <v>#NAME?</v>
      </c>
      <c r="L34" s="72" t="e">
        <f>CD_3C020_5</f>
        <v>#NAME?</v>
      </c>
    </row>
    <row r="35" spans="1:12" s="11" customFormat="1" ht="13" customHeight="1" x14ac:dyDescent="0.2">
      <c r="A35" s="20" t="s">
        <v>214</v>
      </c>
      <c r="B35" s="21"/>
      <c r="C35" s="16" t="s">
        <v>372</v>
      </c>
      <c r="D35" s="22"/>
      <c r="E35" s="16"/>
      <c r="F35" s="56"/>
      <c r="G35" s="16"/>
      <c r="H35" s="17"/>
      <c r="I35" s="16"/>
      <c r="J35" s="17"/>
      <c r="K35" s="16"/>
      <c r="L35" s="76"/>
    </row>
    <row r="36" spans="1:12" s="11" customFormat="1" ht="13" customHeight="1" x14ac:dyDescent="0.2">
      <c r="A36" s="23" t="s">
        <v>215</v>
      </c>
      <c r="B36" s="21" t="s">
        <v>3</v>
      </c>
      <c r="C36" s="16" t="e">
        <f>CD_IJOZ0018_1</f>
        <v>#NAME?</v>
      </c>
      <c r="D36" s="24" t="e">
        <f>CD_Z0018_1</f>
        <v>#NAME?</v>
      </c>
      <c r="E36" s="112" t="e">
        <f>CD_IJOZ0018_2</f>
        <v>#NAME?</v>
      </c>
      <c r="F36" s="61" t="e">
        <f>CD_Z0018_2</f>
        <v>#NAME?</v>
      </c>
      <c r="G36" s="112" t="e">
        <f>CD_IJOZ0018_3</f>
        <v>#NAME?</v>
      </c>
      <c r="H36" s="24" t="e">
        <f>CD_Z0018_3</f>
        <v>#NAME?</v>
      </c>
      <c r="I36" s="112" t="e">
        <f>CD_IJOZ0018_4</f>
        <v>#NAME?</v>
      </c>
      <c r="J36" s="24" t="e">
        <f>CD_Z0018_4</f>
        <v>#NAME?</v>
      </c>
      <c r="K36" s="112" t="e">
        <f>CD_IJOZ0018_5</f>
        <v>#NAME?</v>
      </c>
      <c r="L36" s="72" t="e">
        <f>CD_Z0018_5</f>
        <v>#NAME?</v>
      </c>
    </row>
    <row r="37" spans="1:12" s="11" customFormat="1" ht="13" customHeight="1" x14ac:dyDescent="0.2">
      <c r="A37" s="23" t="s">
        <v>4</v>
      </c>
      <c r="B37" s="21" t="s">
        <v>5</v>
      </c>
      <c r="C37" s="16" t="e">
        <f>CD_IJO3C015_1</f>
        <v>#NAME?</v>
      </c>
      <c r="D37" s="25" t="e">
        <f>CD_3C015_1</f>
        <v>#NAME?</v>
      </c>
      <c r="E37" s="16" t="e">
        <f>CD_IJO3C015_2</f>
        <v>#NAME?</v>
      </c>
      <c r="F37" s="69" t="e">
        <f>CD_3C015_2</f>
        <v>#NAME?</v>
      </c>
      <c r="G37" s="16" t="e">
        <f>CD_IJO3C015_3</f>
        <v>#NAME?</v>
      </c>
      <c r="H37" s="25" t="e">
        <f>CD_3C015_3</f>
        <v>#NAME?</v>
      </c>
      <c r="I37" s="16" t="e">
        <f>CD_IJO3C015_4</f>
        <v>#NAME?</v>
      </c>
      <c r="J37" s="25" t="e">
        <f>CD_3C015_4</f>
        <v>#NAME?</v>
      </c>
      <c r="K37" s="16" t="e">
        <f>CD_IJO3C015_5</f>
        <v>#NAME?</v>
      </c>
      <c r="L37" s="73" t="e">
        <f>CD_3C015_5</f>
        <v>#NAME?</v>
      </c>
    </row>
    <row r="38" spans="1:12" s="11" customFormat="1" ht="13" customHeight="1" x14ac:dyDescent="0.2">
      <c r="A38" s="23" t="s">
        <v>6</v>
      </c>
      <c r="B38" s="21" t="s">
        <v>7</v>
      </c>
      <c r="C38" s="16" t="e">
        <f>CD_IJOZ0020_1</f>
        <v>#NAME?</v>
      </c>
      <c r="D38" s="27" t="e">
        <f>CD_Z0020_1</f>
        <v>#NAME?</v>
      </c>
      <c r="E38" s="114" t="e">
        <f>CD_IJOZ0020_2</f>
        <v>#NAME?</v>
      </c>
      <c r="F38" s="27" t="e">
        <f>CD_Z0020_2</f>
        <v>#NAME?</v>
      </c>
      <c r="G38" s="114" t="e">
        <f>CD_IJOZ0020_3</f>
        <v>#NAME?</v>
      </c>
      <c r="H38" s="27" t="e">
        <f>CD_Z0020_3</f>
        <v>#NAME?</v>
      </c>
      <c r="I38" s="114" t="e">
        <f>CD_IJOZ0020_4</f>
        <v>#NAME?</v>
      </c>
      <c r="J38" s="27" t="e">
        <f>CD_Z0020_4</f>
        <v>#NAME?</v>
      </c>
      <c r="K38" s="114" t="e">
        <f>CD_IJOZ0020_5</f>
        <v>#NAME?</v>
      </c>
      <c r="L38" s="77" t="e">
        <f>CD_Z0020_5</f>
        <v>#NAME?</v>
      </c>
    </row>
    <row r="39" spans="1:12" s="11" customFormat="1" ht="13" customHeight="1" x14ac:dyDescent="0.2">
      <c r="A39" s="23" t="s">
        <v>8</v>
      </c>
      <c r="B39" s="21" t="s">
        <v>9</v>
      </c>
      <c r="C39" s="16" t="e">
        <f>CD_IJOZ0021_1</f>
        <v>#NAME?</v>
      </c>
      <c r="D39" s="24" t="e">
        <f>CD_Z0021_1</f>
        <v>#NAME?</v>
      </c>
      <c r="E39" s="112" t="e">
        <f>CD_IJOZ0021_2</f>
        <v>#NAME?</v>
      </c>
      <c r="F39" s="24" t="e">
        <f>CD_Z0021_2</f>
        <v>#NAME?</v>
      </c>
      <c r="G39" s="112" t="e">
        <f>CD_IJOZ0021_3</f>
        <v>#NAME?</v>
      </c>
      <c r="H39" s="24" t="e">
        <f>CD_Z0021_3</f>
        <v>#NAME?</v>
      </c>
      <c r="I39" s="112" t="e">
        <f>CD_IJOZ0021_4</f>
        <v>#NAME?</v>
      </c>
      <c r="J39" s="24" t="e">
        <f>CD_Z0021_4</f>
        <v>#NAME?</v>
      </c>
      <c r="K39" s="112" t="e">
        <f>CD_IJOZ0021_5</f>
        <v>#NAME?</v>
      </c>
      <c r="L39" s="72" t="e">
        <f>CD_Z0021_5</f>
        <v>#NAME?</v>
      </c>
    </row>
    <row r="40" spans="1:12" s="11" customFormat="1" ht="13" customHeight="1" x14ac:dyDescent="0.2">
      <c r="A40" s="23" t="s">
        <v>10</v>
      </c>
      <c r="B40" s="21" t="s">
        <v>11</v>
      </c>
      <c r="C40" s="16" t="e">
        <f>CD_IJOZ0019_1</f>
        <v>#NAME?</v>
      </c>
      <c r="D40" s="27" t="e">
        <f>CD_Z0019_1</f>
        <v>#NAME?</v>
      </c>
      <c r="E40" s="114" t="e">
        <f>CD_IJOZ0019_2</f>
        <v>#NAME?</v>
      </c>
      <c r="F40" s="27" t="e">
        <f>CD_Z0019_2</f>
        <v>#NAME?</v>
      </c>
      <c r="G40" s="114" t="e">
        <f>CD_IJOZ0019_3</f>
        <v>#NAME?</v>
      </c>
      <c r="H40" s="27" t="e">
        <f>CD_Z0019_3</f>
        <v>#NAME?</v>
      </c>
      <c r="I40" s="114" t="e">
        <f>CD_IJOZ0019_4</f>
        <v>#NAME?</v>
      </c>
      <c r="J40" s="27" t="e">
        <f>CD_Z0019_4</f>
        <v>#NAME?</v>
      </c>
      <c r="K40" s="114" t="e">
        <f>CD_IJOZ0019_5</f>
        <v>#NAME?</v>
      </c>
      <c r="L40" s="77" t="e">
        <f>CD_Z0019_5</f>
        <v>#NAME?</v>
      </c>
    </row>
    <row r="41" spans="1:12" s="11" customFormat="1" ht="13" customHeight="1" x14ac:dyDescent="0.2">
      <c r="A41" s="23" t="s">
        <v>12</v>
      </c>
      <c r="B41" s="21" t="s">
        <v>13</v>
      </c>
      <c r="C41" s="16" t="e">
        <f>CD_IJOZ0023_1</f>
        <v>#NAME?</v>
      </c>
      <c r="D41" s="24" t="e">
        <f>CD_Z0023_1</f>
        <v>#NAME?</v>
      </c>
      <c r="E41" s="112" t="e">
        <f>CD_IJOZ0023_2</f>
        <v>#NAME?</v>
      </c>
      <c r="F41" s="24" t="e">
        <f>CD_Z0023_2</f>
        <v>#NAME?</v>
      </c>
      <c r="G41" s="112" t="e">
        <f>CD_IJOZ0023_3</f>
        <v>#NAME?</v>
      </c>
      <c r="H41" s="24" t="e">
        <f>CD_Z0023_3</f>
        <v>#NAME?</v>
      </c>
      <c r="I41" s="112" t="e">
        <f>CD_IJOZ0023_4</f>
        <v>#NAME?</v>
      </c>
      <c r="J41" s="24" t="e">
        <f>CD_Z0023_4</f>
        <v>#NAME?</v>
      </c>
      <c r="K41" s="112" t="e">
        <f>CD_IJOZ0023_5</f>
        <v>#NAME?</v>
      </c>
      <c r="L41" s="72" t="e">
        <f>CD_Z0023_5</f>
        <v>#NAME?</v>
      </c>
    </row>
    <row r="42" spans="1:12" s="11" customFormat="1" ht="13" customHeight="1" x14ac:dyDescent="0.2">
      <c r="A42" s="23" t="s">
        <v>14</v>
      </c>
      <c r="B42" s="21" t="s">
        <v>15</v>
      </c>
      <c r="C42" s="16" t="e">
        <f>CD_IJOZ0024_1</f>
        <v>#NAME?</v>
      </c>
      <c r="D42" s="24" t="e">
        <f>CD_Z0024_1</f>
        <v>#NAME?</v>
      </c>
      <c r="E42" s="112" t="e">
        <f>CD_IJOZ0024_2</f>
        <v>#NAME?</v>
      </c>
      <c r="F42" s="24" t="e">
        <f>CD_Z0024_2</f>
        <v>#NAME?</v>
      </c>
      <c r="G42" s="112" t="e">
        <f>CD_IJOZ0024_3</f>
        <v>#NAME?</v>
      </c>
      <c r="H42" s="24" t="e">
        <f>CD_Z0024_3</f>
        <v>#NAME?</v>
      </c>
      <c r="I42" s="112" t="e">
        <f>CD_IJOZ0024_4</f>
        <v>#NAME?</v>
      </c>
      <c r="J42" s="24" t="e">
        <f>CD_Z0024_4</f>
        <v>#NAME?</v>
      </c>
      <c r="K42" s="112" t="e">
        <f>CD_IJOZ0024_5</f>
        <v>#NAME?</v>
      </c>
      <c r="L42" s="72" t="e">
        <f>CD_Z0024_5</f>
        <v>#NAME?</v>
      </c>
    </row>
    <row r="43" spans="1:12" s="11" customFormat="1" ht="13" customHeight="1" x14ac:dyDescent="0.2">
      <c r="A43" s="20" t="s">
        <v>216</v>
      </c>
      <c r="B43" s="21"/>
      <c r="C43" s="16" t="s">
        <v>372</v>
      </c>
      <c r="D43" s="22"/>
      <c r="E43" s="16"/>
      <c r="F43" s="17"/>
      <c r="G43" s="16"/>
      <c r="H43" s="17"/>
      <c r="I43" s="16"/>
      <c r="J43" s="17"/>
      <c r="K43" s="16"/>
      <c r="L43" s="76"/>
    </row>
    <row r="44" spans="1:12" s="11" customFormat="1" ht="13" customHeight="1" x14ac:dyDescent="0.2">
      <c r="A44" s="23" t="s">
        <v>16</v>
      </c>
      <c r="B44" s="21" t="s">
        <v>17</v>
      </c>
      <c r="C44" s="16" t="e">
        <f>CD_IJO3D045_1</f>
        <v>#NAME?</v>
      </c>
      <c r="D44" s="24" t="e">
        <f>CD_3D045_1</f>
        <v>#NAME?</v>
      </c>
      <c r="E44" s="16" t="e">
        <f>CD_IJO3D045_2</f>
        <v>#NAME?</v>
      </c>
      <c r="F44" s="61" t="e">
        <f>CD_3D045_2</f>
        <v>#NAME?</v>
      </c>
      <c r="G44" s="16" t="e">
        <f>CD_IJO3D045_3</f>
        <v>#NAME?</v>
      </c>
      <c r="H44" s="24" t="e">
        <f>CD_3D045_3</f>
        <v>#NAME?</v>
      </c>
      <c r="I44" s="16" t="e">
        <f>CD_IJO3D045_4</f>
        <v>#NAME?</v>
      </c>
      <c r="J44" s="24" t="e">
        <f>CD_3D045_4</f>
        <v>#NAME?</v>
      </c>
      <c r="K44" s="16" t="e">
        <f>CD_IJO3D045_5</f>
        <v>#NAME?</v>
      </c>
      <c r="L44" s="72" t="e">
        <f>CD_3D045_5</f>
        <v>#NAME?</v>
      </c>
    </row>
    <row r="45" spans="1:12" s="11" customFormat="1" ht="13" customHeight="1" x14ac:dyDescent="0.2">
      <c r="A45" s="23" t="s">
        <v>217</v>
      </c>
      <c r="B45" s="21" t="s">
        <v>18</v>
      </c>
      <c r="C45" s="16" t="e">
        <f>CD_IJO3D010_1</f>
        <v>#NAME?</v>
      </c>
      <c r="D45" s="27" t="e">
        <f>CD_3D010_1</f>
        <v>#NAME?</v>
      </c>
      <c r="E45" s="16" t="e">
        <f>CD_IJO3D010_2</f>
        <v>#NAME?</v>
      </c>
      <c r="F45" s="62" t="e">
        <f>CD_3D010_2</f>
        <v>#NAME?</v>
      </c>
      <c r="G45" s="16" t="e">
        <f>CD_IJO3D010_3</f>
        <v>#NAME?</v>
      </c>
      <c r="H45" s="27" t="e">
        <f>CD_3D010_3</f>
        <v>#NAME?</v>
      </c>
      <c r="I45" s="16" t="e">
        <f>CD_IJO3D010_4</f>
        <v>#NAME?</v>
      </c>
      <c r="J45" s="27" t="e">
        <f>CD_3D010_4</f>
        <v>#NAME?</v>
      </c>
      <c r="K45" s="16" t="e">
        <f>CD_IJO3D010_5</f>
        <v>#NAME?</v>
      </c>
      <c r="L45" s="77" t="e">
        <f>CD_3D010_5</f>
        <v>#NAME?</v>
      </c>
    </row>
    <row r="46" spans="1:12" s="11" customFormat="1" ht="13" customHeight="1" x14ac:dyDescent="0.2">
      <c r="A46" s="23" t="s">
        <v>218</v>
      </c>
      <c r="B46" s="21" t="s">
        <v>446</v>
      </c>
      <c r="C46" s="16" t="e">
        <f>CD_IJOZ0025_1</f>
        <v>#NAME?</v>
      </c>
      <c r="D46" s="27" t="e">
        <f>CD_Z0025_1</f>
        <v>#NAME?</v>
      </c>
      <c r="E46" s="114" t="e">
        <f>CD_IJOZ0025_2</f>
        <v>#NAME?</v>
      </c>
      <c r="F46" s="62" t="e">
        <f>CD_Z0025_2</f>
        <v>#NAME?</v>
      </c>
      <c r="G46" s="114" t="e">
        <f>CD_IJOZ0025_3</f>
        <v>#NAME?</v>
      </c>
      <c r="H46" s="27" t="e">
        <f>CD_Z0025_3</f>
        <v>#NAME?</v>
      </c>
      <c r="I46" s="114" t="e">
        <f>CD_IJOZ0025_4</f>
        <v>#NAME?</v>
      </c>
      <c r="J46" s="27" t="e">
        <f>CD_Z0025_4</f>
        <v>#NAME?</v>
      </c>
      <c r="K46" s="114" t="e">
        <f>CD_IJOZ0025_5</f>
        <v>#NAME?</v>
      </c>
      <c r="L46" s="77" t="e">
        <f>CD_Z0025_5</f>
        <v>#NAME?</v>
      </c>
    </row>
    <row r="47" spans="1:12" s="11" customFormat="1" ht="13" customHeight="1" x14ac:dyDescent="0.2">
      <c r="A47" s="23" t="s">
        <v>219</v>
      </c>
      <c r="B47" s="21" t="s">
        <v>444</v>
      </c>
      <c r="C47" s="16" t="e">
        <f>CD_IJOZ0028_1</f>
        <v>#NAME?</v>
      </c>
      <c r="D47" s="27" t="e">
        <f>CD_Z0028_1</f>
        <v>#NAME?</v>
      </c>
      <c r="E47" s="114" t="e">
        <f>CD_IJOZ0028_2</f>
        <v>#NAME?</v>
      </c>
      <c r="F47" s="62" t="e">
        <f>CD_Z0028_2</f>
        <v>#NAME?</v>
      </c>
      <c r="G47" s="114" t="e">
        <f>CD_IJOZ0028_3</f>
        <v>#NAME?</v>
      </c>
      <c r="H47" s="27" t="e">
        <f>CD_Z0028_3</f>
        <v>#NAME?</v>
      </c>
      <c r="I47" s="114" t="e">
        <f>CD_IJOZ0028_4</f>
        <v>#NAME?</v>
      </c>
      <c r="J47" s="27" t="e">
        <f>CD_Z0028_4</f>
        <v>#NAME?</v>
      </c>
      <c r="K47" s="114" t="e">
        <f>CD_IJOZ0028_5</f>
        <v>#NAME?</v>
      </c>
      <c r="L47" s="77" t="e">
        <f>CD_Z0028_5</f>
        <v>#NAME?</v>
      </c>
    </row>
    <row r="48" spans="1:12" s="11" customFormat="1" ht="13" customHeight="1" x14ac:dyDescent="0.2">
      <c r="A48" s="23" t="s">
        <v>265</v>
      </c>
      <c r="B48" s="21" t="s">
        <v>327</v>
      </c>
      <c r="C48" s="16" t="e">
        <f>CD_IJOZ0029_1</f>
        <v>#NAME?</v>
      </c>
      <c r="D48" s="24" t="e">
        <f>CD_Z0029_1</f>
        <v>#NAME?</v>
      </c>
      <c r="E48" s="114" t="e">
        <f>CD_IJOZ0029_2</f>
        <v>#NAME?</v>
      </c>
      <c r="F48" s="61" t="e">
        <f>CD_Z0029_2</f>
        <v>#NAME?</v>
      </c>
      <c r="G48" s="114" t="e">
        <f>CD_IJOZ0029_3</f>
        <v>#NAME?</v>
      </c>
      <c r="H48" s="24" t="e">
        <f>CD_Z0029_3</f>
        <v>#NAME?</v>
      </c>
      <c r="I48" s="114" t="e">
        <f>CD_IJOZ0029_4</f>
        <v>#NAME?</v>
      </c>
      <c r="J48" s="24" t="e">
        <f>CD_Z0029_4</f>
        <v>#NAME?</v>
      </c>
      <c r="K48" s="114" t="e">
        <f>CD_IJOZ0029_5</f>
        <v>#NAME?</v>
      </c>
      <c r="L48" s="72" t="e">
        <f>CD_Z0029_5</f>
        <v>#NAME?</v>
      </c>
    </row>
    <row r="49" spans="1:12" s="11" customFormat="1" ht="13" customHeight="1" x14ac:dyDescent="0.2">
      <c r="A49" s="23" t="s">
        <v>328</v>
      </c>
      <c r="B49" s="21" t="s">
        <v>329</v>
      </c>
      <c r="C49" s="16" t="e">
        <f>CD_IJOZ0030_1</f>
        <v>#NAME?</v>
      </c>
      <c r="D49" s="24" t="e">
        <f>CD_Z0030_1</f>
        <v>#NAME?</v>
      </c>
      <c r="E49" s="114" t="e">
        <f>CD_IJOZ0030_2</f>
        <v>#NAME?</v>
      </c>
      <c r="F49" s="61" t="e">
        <f>CD_Z0030_2</f>
        <v>#NAME?</v>
      </c>
      <c r="G49" s="114" t="e">
        <f>CD_IJOZ0030_3</f>
        <v>#NAME?</v>
      </c>
      <c r="H49" s="24" t="e">
        <f>CD_Z0030_3</f>
        <v>#NAME?</v>
      </c>
      <c r="I49" s="114" t="e">
        <f>CD_IJOZ0030_4</f>
        <v>#NAME?</v>
      </c>
      <c r="J49" s="24" t="e">
        <f>CD_Z0030_4</f>
        <v>#NAME?</v>
      </c>
      <c r="K49" s="114" t="e">
        <f>CD_IJOZ0030_5</f>
        <v>#NAME?</v>
      </c>
      <c r="L49" s="72" t="e">
        <f>CD_Z0030_5</f>
        <v>#NAME?</v>
      </c>
    </row>
    <row r="50" spans="1:12" s="11" customFormat="1" ht="13" customHeight="1" x14ac:dyDescent="0.2">
      <c r="A50" s="23" t="s">
        <v>451</v>
      </c>
      <c r="B50" s="21" t="s">
        <v>329</v>
      </c>
      <c r="C50" s="16" t="e">
        <f>CD_IJOZ0033_1</f>
        <v>#NAME?</v>
      </c>
      <c r="D50" s="24" t="e">
        <f>CD_Z0033_1</f>
        <v>#NAME?</v>
      </c>
      <c r="E50" s="114" t="e">
        <f>CD_IJOZ0033_2</f>
        <v>#NAME?</v>
      </c>
      <c r="F50" s="61" t="e">
        <f>CD_Z0033_2</f>
        <v>#NAME?</v>
      </c>
      <c r="G50" s="114" t="e">
        <f>CD_IJOZ0033_3</f>
        <v>#NAME?</v>
      </c>
      <c r="H50" s="24" t="e">
        <f>CD_Z0033_3</f>
        <v>#NAME?</v>
      </c>
      <c r="I50" s="114" t="e">
        <f>CD_IJOZ0033_4</f>
        <v>#NAME?</v>
      </c>
      <c r="J50" s="24" t="e">
        <f>CD_Z0033_4</f>
        <v>#NAME?</v>
      </c>
      <c r="K50" s="114" t="e">
        <f>CD_IJOZ0033_5</f>
        <v>#NAME?</v>
      </c>
      <c r="L50" s="72" t="e">
        <f>CD_Z0033_5</f>
        <v>#NAME?</v>
      </c>
    </row>
    <row r="51" spans="1:12" s="11" customFormat="1" ht="13" customHeight="1" x14ac:dyDescent="0.2">
      <c r="A51" s="20" t="s">
        <v>185</v>
      </c>
      <c r="B51" s="21"/>
      <c r="C51" s="16" t="s">
        <v>372</v>
      </c>
      <c r="D51" s="22"/>
      <c r="E51" s="16"/>
      <c r="F51" s="56"/>
      <c r="G51" s="16"/>
      <c r="H51" s="17"/>
      <c r="I51" s="16"/>
      <c r="J51" s="17"/>
      <c r="K51" s="16"/>
      <c r="L51" s="76"/>
    </row>
    <row r="52" spans="1:12" s="11" customFormat="1" ht="13" customHeight="1" x14ac:dyDescent="0.2">
      <c r="A52" s="23" t="s">
        <v>266</v>
      </c>
      <c r="B52" s="21" t="s">
        <v>23</v>
      </c>
      <c r="C52" s="16" t="e">
        <f>CD_IJO2A010_1</f>
        <v>#NAME?</v>
      </c>
      <c r="D52" s="24" t="e">
        <f>CD_2A010_1</f>
        <v>#NAME?</v>
      </c>
      <c r="E52" s="16" t="e">
        <f>CD_IJO2A010_2</f>
        <v>#NAME?</v>
      </c>
      <c r="F52" s="61" t="e">
        <f>CD_2A010_2</f>
        <v>#NAME?</v>
      </c>
      <c r="G52" s="16" t="e">
        <f>CD_IJO2A010_3</f>
        <v>#NAME?</v>
      </c>
      <c r="H52" s="24" t="e">
        <f>CD_2A010_3</f>
        <v>#NAME?</v>
      </c>
      <c r="I52" s="16" t="e">
        <f>CD_IJO2A010_4</f>
        <v>#NAME?</v>
      </c>
      <c r="J52" s="24" t="e">
        <f>CD_2A010_4</f>
        <v>#NAME?</v>
      </c>
      <c r="K52" s="16" t="e">
        <f>CD_IJO2A010_5</f>
        <v>#NAME?</v>
      </c>
      <c r="L52" s="72" t="e">
        <f>CD_2A010_5</f>
        <v>#NAME?</v>
      </c>
    </row>
    <row r="53" spans="1:12" s="11" customFormat="1" ht="13" customHeight="1" x14ac:dyDescent="0.2">
      <c r="A53" s="23" t="s">
        <v>267</v>
      </c>
      <c r="B53" s="21" t="s">
        <v>24</v>
      </c>
      <c r="C53" s="16" t="e">
        <f>CD_IJO2A020_1</f>
        <v>#NAME?</v>
      </c>
      <c r="D53" s="27" t="e">
        <f>CD_2A020_1</f>
        <v>#NAME?</v>
      </c>
      <c r="E53" s="16" t="e">
        <f>CD_IJO2A020_2</f>
        <v>#NAME?</v>
      </c>
      <c r="F53" s="62" t="e">
        <f>CD_2A020_2</f>
        <v>#NAME?</v>
      </c>
      <c r="G53" s="16" t="e">
        <f>CD_IJO2A020_3</f>
        <v>#NAME?</v>
      </c>
      <c r="H53" s="27" t="e">
        <f>CD_2A020_3</f>
        <v>#NAME?</v>
      </c>
      <c r="I53" s="16" t="e">
        <f>CD_IJO2A020_4</f>
        <v>#NAME?</v>
      </c>
      <c r="J53" s="27" t="e">
        <f>CD_2A020_4</f>
        <v>#NAME?</v>
      </c>
      <c r="K53" s="16" t="e">
        <f>CD_IJO2A020_5</f>
        <v>#NAME?</v>
      </c>
      <c r="L53" s="77" t="e">
        <f>CD_2A020_5</f>
        <v>#NAME?</v>
      </c>
    </row>
    <row r="54" spans="1:12" s="11" customFormat="1" ht="13" customHeight="1" x14ac:dyDescent="0.2">
      <c r="A54" s="155" t="s">
        <v>268</v>
      </c>
      <c r="B54" s="29" t="s">
        <v>25</v>
      </c>
      <c r="C54" s="157" t="e">
        <f>CD_IJO2A030_1</f>
        <v>#NAME?</v>
      </c>
      <c r="D54" s="159" t="e">
        <f>CD_2A030_1</f>
        <v>#NAME?</v>
      </c>
      <c r="E54" s="157" t="e">
        <f>CD_IJO2A030_2</f>
        <v>#NAME?</v>
      </c>
      <c r="F54" s="159" t="e">
        <f>CD_2A030_2</f>
        <v>#NAME?</v>
      </c>
      <c r="G54" s="157" t="e">
        <f>CD_IJO2A030_3</f>
        <v>#NAME?</v>
      </c>
      <c r="H54" s="159" t="e">
        <f>CD_2A030_3</f>
        <v>#NAME?</v>
      </c>
      <c r="I54" s="157" t="e">
        <f>CD_IJO2A030_4</f>
        <v>#NAME?</v>
      </c>
      <c r="J54" s="159" t="e">
        <f>CD_2A030_4</f>
        <v>#NAME?</v>
      </c>
      <c r="K54" s="157" t="e">
        <f>CD_IJO2A030_5</f>
        <v>#NAME?</v>
      </c>
      <c r="L54" s="161" t="e">
        <f>CD_2A030_5</f>
        <v>#NAME?</v>
      </c>
    </row>
    <row r="55" spans="1:12" s="11" customFormat="1" ht="13" customHeight="1" x14ac:dyDescent="0.2">
      <c r="A55" s="156"/>
      <c r="B55" s="31" t="s">
        <v>26</v>
      </c>
      <c r="C55" s="158"/>
      <c r="D55" s="160"/>
      <c r="E55" s="158"/>
      <c r="F55" s="160"/>
      <c r="G55" s="158"/>
      <c r="H55" s="160"/>
      <c r="I55" s="158"/>
      <c r="J55" s="160"/>
      <c r="K55" s="158"/>
      <c r="L55" s="162"/>
    </row>
    <row r="56" spans="1:12" s="11" customFormat="1" ht="13" customHeight="1" x14ac:dyDescent="0.2">
      <c r="A56" s="155" t="s">
        <v>27</v>
      </c>
      <c r="B56" s="29" t="s">
        <v>28</v>
      </c>
      <c r="C56" s="157" t="e">
        <f>CD_IJO2A040_1</f>
        <v>#NAME?</v>
      </c>
      <c r="D56" s="159" t="e">
        <f>CD_2A040_1</f>
        <v>#NAME?</v>
      </c>
      <c r="E56" s="157" t="e">
        <f>CD_IJO2A040_2</f>
        <v>#NAME?</v>
      </c>
      <c r="F56" s="159" t="e">
        <f>CD_2A040_2</f>
        <v>#NAME?</v>
      </c>
      <c r="G56" s="157" t="e">
        <f>CD_IJO2A040_3</f>
        <v>#NAME?</v>
      </c>
      <c r="H56" s="159" t="e">
        <f>CD_2A040_3</f>
        <v>#NAME?</v>
      </c>
      <c r="I56" s="157" t="e">
        <f>CD_IJO2A040_4</f>
        <v>#NAME?</v>
      </c>
      <c r="J56" s="159" t="e">
        <f>CD_2A040_4</f>
        <v>#NAME?</v>
      </c>
      <c r="K56" s="157" t="e">
        <f>CD_IJO2A040_5</f>
        <v>#NAME?</v>
      </c>
      <c r="L56" s="161" t="e">
        <f>CD_2A040_5</f>
        <v>#NAME?</v>
      </c>
    </row>
    <row r="57" spans="1:12" s="11" customFormat="1" ht="13" customHeight="1" x14ac:dyDescent="0.2">
      <c r="A57" s="156"/>
      <c r="B57" s="31" t="s">
        <v>29</v>
      </c>
      <c r="C57" s="158"/>
      <c r="D57" s="160"/>
      <c r="E57" s="158"/>
      <c r="F57" s="160"/>
      <c r="G57" s="158"/>
      <c r="H57" s="160"/>
      <c r="I57" s="158"/>
      <c r="J57" s="160"/>
      <c r="K57" s="158"/>
      <c r="L57" s="162"/>
    </row>
    <row r="58" spans="1:12" s="11" customFormat="1" ht="13" customHeight="1" x14ac:dyDescent="0.2">
      <c r="A58" s="155" t="s">
        <v>269</v>
      </c>
      <c r="B58" s="29" t="s">
        <v>30</v>
      </c>
      <c r="C58" s="157" t="e">
        <f>CD_IJOZ0068_1</f>
        <v>#NAME?</v>
      </c>
      <c r="D58" s="159" t="e">
        <f>CD_Z0068_1</f>
        <v>#NAME?</v>
      </c>
      <c r="E58" s="157" t="e">
        <f>CD_IJOZ0068_2</f>
        <v>#NAME?</v>
      </c>
      <c r="F58" s="159" t="e">
        <f>CD_Z0068_2</f>
        <v>#NAME?</v>
      </c>
      <c r="G58" s="157" t="e">
        <f>CD_IJOZ0068_3</f>
        <v>#NAME?</v>
      </c>
      <c r="H58" s="159" t="e">
        <f>CD_Z0068_3</f>
        <v>#NAME?</v>
      </c>
      <c r="I58" s="157" t="e">
        <f>CD_IJOZ0068_4</f>
        <v>#NAME?</v>
      </c>
      <c r="J58" s="159" t="e">
        <f>CD_Z0068_4</f>
        <v>#NAME?</v>
      </c>
      <c r="K58" s="157" t="e">
        <f>CD_IJOZ0068_5</f>
        <v>#NAME?</v>
      </c>
      <c r="L58" s="161" t="e">
        <f>CD_Z0068_5</f>
        <v>#NAME?</v>
      </c>
    </row>
    <row r="59" spans="1:12" s="11" customFormat="1" ht="13" customHeight="1" x14ac:dyDescent="0.2">
      <c r="A59" s="156"/>
      <c r="B59" s="31" t="s">
        <v>31</v>
      </c>
      <c r="C59" s="158"/>
      <c r="D59" s="160"/>
      <c r="E59" s="158"/>
      <c r="F59" s="160"/>
      <c r="G59" s="158"/>
      <c r="H59" s="160"/>
      <c r="I59" s="158"/>
      <c r="J59" s="160"/>
      <c r="K59" s="158"/>
      <c r="L59" s="162"/>
    </row>
    <row r="60" spans="1:12" s="11" customFormat="1" ht="13" customHeight="1" x14ac:dyDescent="0.2">
      <c r="A60" s="155" t="s">
        <v>270</v>
      </c>
      <c r="B60" s="29" t="s">
        <v>32</v>
      </c>
      <c r="C60" s="157" t="e">
        <f>CD_IJOZ0069_1</f>
        <v>#NAME?</v>
      </c>
      <c r="D60" s="159" t="e">
        <f>CD_Z0069_1</f>
        <v>#NAME?</v>
      </c>
      <c r="E60" s="157" t="e">
        <f>CD_IJOZ0069_2</f>
        <v>#NAME?</v>
      </c>
      <c r="F60" s="159" t="e">
        <f>CD_Z0069_2</f>
        <v>#NAME?</v>
      </c>
      <c r="G60" s="157" t="e">
        <f>CD_IJOZ0069_3</f>
        <v>#NAME?</v>
      </c>
      <c r="H60" s="159" t="e">
        <f>CD_Z0069_3</f>
        <v>#NAME?</v>
      </c>
      <c r="I60" s="157" t="e">
        <f>CD_IJOZ0069_4</f>
        <v>#NAME?</v>
      </c>
      <c r="J60" s="159" t="e">
        <f>CD_Z0069_4</f>
        <v>#NAME?</v>
      </c>
      <c r="K60" s="157" t="e">
        <f>CD_IJOZ0069_5</f>
        <v>#NAME?</v>
      </c>
      <c r="L60" s="161" t="e">
        <f>CD_Z0069_5</f>
        <v>#NAME?</v>
      </c>
    </row>
    <row r="61" spans="1:12" s="11" customFormat="1" ht="13" customHeight="1" x14ac:dyDescent="0.2">
      <c r="A61" s="156"/>
      <c r="B61" s="31" t="s">
        <v>33</v>
      </c>
      <c r="C61" s="158"/>
      <c r="D61" s="160"/>
      <c r="E61" s="158"/>
      <c r="F61" s="160"/>
      <c r="G61" s="158"/>
      <c r="H61" s="160"/>
      <c r="I61" s="158"/>
      <c r="J61" s="160"/>
      <c r="K61" s="158"/>
      <c r="L61" s="162"/>
    </row>
    <row r="62" spans="1:12" s="11" customFormat="1" ht="13" customHeight="1" x14ac:dyDescent="0.2">
      <c r="A62" s="155" t="s">
        <v>271</v>
      </c>
      <c r="B62" s="29" t="s">
        <v>34</v>
      </c>
      <c r="C62" s="157" t="e">
        <f>CD_IJOZ0070_1</f>
        <v>#NAME?</v>
      </c>
      <c r="D62" s="159" t="e">
        <f>CD_Z0070_1</f>
        <v>#NAME?</v>
      </c>
      <c r="E62" s="157" t="e">
        <f>CD_IJOZ0070_2</f>
        <v>#NAME?</v>
      </c>
      <c r="F62" s="159" t="e">
        <f>CD_Z0070_2</f>
        <v>#NAME?</v>
      </c>
      <c r="G62" s="157" t="e">
        <f>CD_IJOZ0070_3</f>
        <v>#NAME?</v>
      </c>
      <c r="H62" s="159" t="e">
        <f>CD_Z0070_3</f>
        <v>#NAME?</v>
      </c>
      <c r="I62" s="157" t="e">
        <f>CD_IJOZ0070_4</f>
        <v>#NAME?</v>
      </c>
      <c r="J62" s="159" t="e">
        <f>CD_Z0070_4</f>
        <v>#NAME?</v>
      </c>
      <c r="K62" s="157" t="e">
        <f>CD_IJOZ0070_5</f>
        <v>#NAME?</v>
      </c>
      <c r="L62" s="161" t="e">
        <f>CD_Z0070_5</f>
        <v>#NAME?</v>
      </c>
    </row>
    <row r="63" spans="1:12" s="11" customFormat="1" ht="13" customHeight="1" x14ac:dyDescent="0.2">
      <c r="A63" s="156"/>
      <c r="B63" s="31" t="s">
        <v>35</v>
      </c>
      <c r="C63" s="158"/>
      <c r="D63" s="160"/>
      <c r="E63" s="158"/>
      <c r="F63" s="160"/>
      <c r="G63" s="158"/>
      <c r="H63" s="160"/>
      <c r="I63" s="158"/>
      <c r="J63" s="160"/>
      <c r="K63" s="158"/>
      <c r="L63" s="162"/>
    </row>
    <row r="64" spans="1:12" s="11" customFormat="1" ht="13" customHeight="1" x14ac:dyDescent="0.2">
      <c r="A64" s="23" t="s">
        <v>272</v>
      </c>
      <c r="B64" s="33" t="s">
        <v>445</v>
      </c>
      <c r="C64" s="16" t="e">
        <f>CD_IJOZ0297_1</f>
        <v>#NAME?</v>
      </c>
      <c r="D64" s="27" t="e">
        <f>CD_Z0297_1</f>
        <v>#NAME?</v>
      </c>
      <c r="E64" s="16" t="e">
        <f>CD_IJOZ0297_2</f>
        <v>#NAME?</v>
      </c>
      <c r="F64" s="27" t="e">
        <f>CD_Z0297_2</f>
        <v>#NAME?</v>
      </c>
      <c r="G64" s="16" t="e">
        <f>CD_IJOZ0297_3</f>
        <v>#NAME?</v>
      </c>
      <c r="H64" s="62" t="e">
        <f>CD_Z0297_3</f>
        <v>#NAME?</v>
      </c>
      <c r="I64" s="16" t="e">
        <f>CD_IJOZ0297_4</f>
        <v>#NAME?</v>
      </c>
      <c r="J64" s="62" t="e">
        <f>CD_Z0297_4</f>
        <v>#NAME?</v>
      </c>
      <c r="K64" s="16" t="e">
        <f>CD_IJOZ0297_5</f>
        <v>#NAME?</v>
      </c>
      <c r="L64" s="77" t="e">
        <f>CD_Z0297_5</f>
        <v>#NAME?</v>
      </c>
    </row>
    <row r="65" spans="1:12" s="11" customFormat="1" ht="13" customHeight="1" x14ac:dyDescent="0.2">
      <c r="A65" s="23" t="s">
        <v>273</v>
      </c>
      <c r="B65" s="33" t="s">
        <v>36</v>
      </c>
      <c r="C65" s="16" t="e">
        <f>CD_IJO2A050_1</f>
        <v>#NAME?</v>
      </c>
      <c r="D65" s="24" t="e">
        <f>CD_2A050_1</f>
        <v>#NAME?</v>
      </c>
      <c r="E65" s="16" t="e">
        <f>CD_IJO2A050_2</f>
        <v>#NAME?</v>
      </c>
      <c r="F65" s="61" t="e">
        <f>CD_2A050_2</f>
        <v>#NAME?</v>
      </c>
      <c r="G65" s="16" t="e">
        <f>CD_IJO2A050_3</f>
        <v>#NAME?</v>
      </c>
      <c r="H65" s="61" t="e">
        <f>CD_2A050_3</f>
        <v>#NAME?</v>
      </c>
      <c r="I65" s="16" t="e">
        <f>CD_IJO2A050_4</f>
        <v>#NAME?</v>
      </c>
      <c r="J65" s="61" t="e">
        <f>CD_2A050_4</f>
        <v>#NAME?</v>
      </c>
      <c r="K65" s="16" t="e">
        <f>CD_IJO2A050_5</f>
        <v>#NAME?</v>
      </c>
      <c r="L65" s="72" t="e">
        <f>CD_2A050_5</f>
        <v>#NAME?</v>
      </c>
    </row>
    <row r="66" spans="1:12" s="11" customFormat="1" ht="13" customHeight="1" x14ac:dyDescent="0.2">
      <c r="A66" s="20" t="s">
        <v>186</v>
      </c>
      <c r="B66" s="33"/>
      <c r="C66" s="16" t="s">
        <v>372</v>
      </c>
      <c r="D66" s="22"/>
      <c r="E66" s="16"/>
      <c r="F66" s="17"/>
      <c r="G66" s="16"/>
      <c r="H66" s="56"/>
      <c r="I66" s="16"/>
      <c r="J66" s="56"/>
      <c r="K66" s="16"/>
      <c r="L66" s="76"/>
    </row>
    <row r="67" spans="1:12" s="11" customFormat="1" ht="13" customHeight="1" x14ac:dyDescent="0.2">
      <c r="A67" s="23" t="s">
        <v>274</v>
      </c>
      <c r="B67" s="48" t="s">
        <v>55</v>
      </c>
      <c r="C67" s="16" t="e">
        <f>CD_IJO1A020_1</f>
        <v>#NAME?</v>
      </c>
      <c r="D67" s="17" t="e">
        <f>CD_1A020_1</f>
        <v>#NAME?</v>
      </c>
      <c r="E67" s="16" t="e">
        <f>CD_IJO1A020_2</f>
        <v>#NAME?</v>
      </c>
      <c r="F67" s="56" t="e">
        <f>CD_1A020_2</f>
        <v>#NAME?</v>
      </c>
      <c r="G67" s="16" t="e">
        <f>CD_IJO1A020_3</f>
        <v>#NAME?</v>
      </c>
      <c r="H67" s="56" t="e">
        <f>CD_1A020_3</f>
        <v>#NAME?</v>
      </c>
      <c r="I67" s="16" t="e">
        <f>CD_IJO1A020_4</f>
        <v>#NAME?</v>
      </c>
      <c r="J67" s="56" t="e">
        <f>CD_1A020_4</f>
        <v>#NAME?</v>
      </c>
      <c r="K67" s="16" t="e">
        <f>CD_IJO1A020_5</f>
        <v>#NAME?</v>
      </c>
      <c r="L67" s="76" t="e">
        <f>CD_1A020_5</f>
        <v>#NAME?</v>
      </c>
    </row>
    <row r="68" spans="1:12" s="11" customFormat="1" ht="13" customHeight="1" x14ac:dyDescent="0.2">
      <c r="A68" s="23" t="s">
        <v>275</v>
      </c>
      <c r="B68" s="48" t="s">
        <v>55</v>
      </c>
      <c r="C68" s="16" t="e">
        <f>CD_IJO1A010_1</f>
        <v>#NAME?</v>
      </c>
      <c r="D68" s="17" t="e">
        <f>CD_1A010_1</f>
        <v>#NAME?</v>
      </c>
      <c r="E68" s="16" t="e">
        <f>CD_IJO1A010_2</f>
        <v>#NAME?</v>
      </c>
      <c r="F68" s="56" t="e">
        <f>CD_1A010_2</f>
        <v>#NAME?</v>
      </c>
      <c r="G68" s="16" t="e">
        <f>CD_IJO1A010_3</f>
        <v>#NAME?</v>
      </c>
      <c r="H68" s="56" t="e">
        <f>CD_1A010_3</f>
        <v>#NAME?</v>
      </c>
      <c r="I68" s="16" t="e">
        <f>CD_IJO1A010_4</f>
        <v>#NAME?</v>
      </c>
      <c r="J68" s="56" t="e">
        <f>CD_1A010_4</f>
        <v>#NAME?</v>
      </c>
      <c r="K68" s="16" t="e">
        <f>CD_IJO1A010_5</f>
        <v>#NAME?</v>
      </c>
      <c r="L68" s="131" t="e">
        <f>CD_1A010_5</f>
        <v>#NAME?</v>
      </c>
    </row>
    <row r="69" spans="1:12" s="11" customFormat="1" ht="13" customHeight="1" x14ac:dyDescent="0.2">
      <c r="A69" s="23" t="s">
        <v>276</v>
      </c>
      <c r="B69" s="48" t="s">
        <v>55</v>
      </c>
      <c r="C69" s="16" t="e">
        <f>CD_IJO1A100_1</f>
        <v>#NAME?</v>
      </c>
      <c r="D69" s="17" t="e">
        <f>CD_1A100_1</f>
        <v>#NAME?</v>
      </c>
      <c r="E69" s="16" t="e">
        <f>CD_IJO1A100_2</f>
        <v>#NAME?</v>
      </c>
      <c r="F69" s="56" t="e">
        <f>CD_1A100_2</f>
        <v>#NAME?</v>
      </c>
      <c r="G69" s="16" t="e">
        <f>CD_IJO1A100_3</f>
        <v>#NAME?</v>
      </c>
      <c r="H69" s="56" t="e">
        <f>CD_1A100_3</f>
        <v>#NAME?</v>
      </c>
      <c r="I69" s="16" t="e">
        <f>CD_IJO1A100_4</f>
        <v>#NAME?</v>
      </c>
      <c r="J69" s="56" t="e">
        <f>CD_1A100_4</f>
        <v>#NAME?</v>
      </c>
      <c r="K69" s="16" t="e">
        <f>CD_IJO1A100_5</f>
        <v>#NAME?</v>
      </c>
      <c r="L69" s="131" t="e">
        <f>CD_1A100_5</f>
        <v>#NAME?</v>
      </c>
    </row>
    <row r="70" spans="1:12" s="11" customFormat="1" ht="12.75" customHeight="1" x14ac:dyDescent="0.2">
      <c r="A70" s="34" t="s">
        <v>277</v>
      </c>
      <c r="B70" s="50" t="s">
        <v>55</v>
      </c>
      <c r="C70" s="109" t="e">
        <f>CD_IJOZ0010_1</f>
        <v>#NAME?</v>
      </c>
      <c r="D70" s="129" t="e">
        <f>CD_Z0010_1</f>
        <v>#NAME?</v>
      </c>
      <c r="E70" s="109" t="e">
        <f>CD_IJOZ0010_2</f>
        <v>#NAME?</v>
      </c>
      <c r="F70" s="130" t="e">
        <f>CD_Z0010_2</f>
        <v>#NAME?</v>
      </c>
      <c r="G70" s="109" t="e">
        <f>CD_IJOZ0010_3</f>
        <v>#NAME?</v>
      </c>
      <c r="H70" s="130" t="e">
        <f>CD_Z0010_3</f>
        <v>#NAME?</v>
      </c>
      <c r="I70" s="109" t="e">
        <f>CD_IJOZ0010_4</f>
        <v>#NAME?</v>
      </c>
      <c r="J70" s="130" t="e">
        <f>CD_Z0010_4</f>
        <v>#NAME?</v>
      </c>
      <c r="K70" s="109" t="e">
        <f>CD_IJOZ0010_5</f>
        <v>#NAME?</v>
      </c>
      <c r="L70" s="132" t="e">
        <f>CD_Z0010_5</f>
        <v>#NAME?</v>
      </c>
    </row>
    <row r="71" spans="1:12" ht="13" customHeight="1" x14ac:dyDescent="0.2">
      <c r="A71" s="2" t="s">
        <v>173</v>
      </c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</row>
    <row r="72" spans="1:12" ht="12.75" customHeight="1" x14ac:dyDescent="0.2"/>
    <row r="73" spans="1:12" ht="20.149999999999999" customHeight="1" x14ac:dyDescent="0.2">
      <c r="A73" s="194" t="s">
        <v>286</v>
      </c>
      <c r="B73" s="195"/>
      <c r="C73" s="195"/>
      <c r="D73" s="195"/>
      <c r="E73" s="195"/>
      <c r="F73" s="195"/>
      <c r="G73" s="195"/>
      <c r="H73" s="195"/>
      <c r="I73" s="195"/>
      <c r="J73" s="195"/>
      <c r="K73" s="195"/>
      <c r="L73" s="196"/>
    </row>
    <row r="74" spans="1:12" ht="17.5" customHeight="1" x14ac:dyDescent="0.2">
      <c r="A74" s="12" t="s">
        <v>288</v>
      </c>
      <c r="B74" s="13" t="s">
        <v>164</v>
      </c>
      <c r="C74" s="172" t="s">
        <v>287</v>
      </c>
      <c r="D74" s="173"/>
      <c r="E74" s="183"/>
      <c r="F74" s="13" t="s">
        <v>289</v>
      </c>
      <c r="G74" s="13" t="s">
        <v>168</v>
      </c>
      <c r="H74" s="172" t="s">
        <v>356</v>
      </c>
      <c r="I74" s="173"/>
      <c r="J74" s="197" t="s">
        <v>203</v>
      </c>
      <c r="K74" s="172"/>
      <c r="L74" s="198"/>
    </row>
    <row r="75" spans="1:12" ht="17.5" customHeight="1" x14ac:dyDescent="0.2">
      <c r="A75" s="14" t="e">
        <f ca="1">氏名</f>
        <v>#NAME?</v>
      </c>
      <c r="B75" s="15" t="e">
        <f ca="1">整理番号</f>
        <v>#NAME?</v>
      </c>
      <c r="C75" s="184" t="e">
        <f ca="1">生年月日</f>
        <v>#NAME?</v>
      </c>
      <c r="D75" s="185"/>
      <c r="E75" s="186"/>
      <c r="F75" s="18" t="e">
        <f ca="1">年齢</f>
        <v>#NAME?</v>
      </c>
      <c r="G75" s="15" t="e">
        <f ca="1">性別</f>
        <v>#NAME?</v>
      </c>
      <c r="H75" s="175" t="e">
        <f ca="1">受診番号</f>
        <v>#NAME?</v>
      </c>
      <c r="I75" s="176"/>
      <c r="J75" s="177" t="e">
        <f ca="1">組合名</f>
        <v>#NAME?</v>
      </c>
      <c r="K75" s="178"/>
      <c r="L75" s="179"/>
    </row>
    <row r="76" spans="1:12" ht="17.5" customHeight="1" x14ac:dyDescent="0.2">
      <c r="A76" s="254" t="s">
        <v>290</v>
      </c>
      <c r="B76" s="16" t="s">
        <v>291</v>
      </c>
      <c r="C76" s="163" t="e">
        <f ca="1">受診日1</f>
        <v>#NAME?</v>
      </c>
      <c r="D76" s="166"/>
      <c r="E76" s="163" t="e">
        <f ca="1">受診日2</f>
        <v>#NAME?</v>
      </c>
      <c r="F76" s="166"/>
      <c r="G76" s="163" t="e">
        <f ca="1">受診日3</f>
        <v>#NAME?</v>
      </c>
      <c r="H76" s="166"/>
      <c r="I76" s="163" t="e">
        <f ca="1">受診日4</f>
        <v>#NAME?</v>
      </c>
      <c r="J76" s="207"/>
      <c r="K76" s="163" t="e">
        <f ca="1">受診日5</f>
        <v>#NAME?</v>
      </c>
      <c r="L76" s="164"/>
    </row>
    <row r="77" spans="1:12" ht="17.5" customHeight="1" x14ac:dyDescent="0.2">
      <c r="A77" s="254"/>
      <c r="B77" s="16" t="s">
        <v>292</v>
      </c>
      <c r="C77" s="165" t="s">
        <v>280</v>
      </c>
      <c r="D77" s="168"/>
      <c r="E77" s="165" t="s">
        <v>281</v>
      </c>
      <c r="F77" s="214"/>
      <c r="G77" s="165" t="s">
        <v>282</v>
      </c>
      <c r="H77" s="214"/>
      <c r="I77" s="165" t="s">
        <v>283</v>
      </c>
      <c r="J77" s="214"/>
      <c r="K77" s="165" t="s">
        <v>284</v>
      </c>
      <c r="L77" s="164"/>
    </row>
    <row r="78" spans="1:12" ht="17.5" customHeight="1" x14ac:dyDescent="0.2">
      <c r="A78" s="20" t="s">
        <v>293</v>
      </c>
      <c r="B78" s="16"/>
      <c r="C78" s="16"/>
      <c r="D78" s="17"/>
      <c r="E78" s="16"/>
      <c r="F78" s="17"/>
      <c r="G78" s="16"/>
      <c r="H78" s="56"/>
      <c r="I78" s="16"/>
      <c r="J78" s="56"/>
      <c r="K78" s="16"/>
      <c r="L78" s="76"/>
    </row>
    <row r="79" spans="1:12" ht="17.5" customHeight="1" x14ac:dyDescent="0.2">
      <c r="A79" s="251" t="s">
        <v>294</v>
      </c>
      <c r="B79" s="38" t="s">
        <v>367</v>
      </c>
      <c r="C79" s="30" t="e">
        <f>CD_IJO9A751_1</f>
        <v>#NAME?</v>
      </c>
      <c r="D79" s="39" t="e">
        <f>CD_9A751_1</f>
        <v>#NAME?</v>
      </c>
      <c r="E79" s="30" t="e">
        <f>CD_IJO9A751_2</f>
        <v>#NAME?</v>
      </c>
      <c r="F79" s="39" t="e">
        <f>CD_9A751_2</f>
        <v>#NAME?</v>
      </c>
      <c r="G79" s="30" t="e">
        <f>CD_IJO9A751_3</f>
        <v>#NAME?</v>
      </c>
      <c r="H79" s="65" t="e">
        <f>CD_9A751_3</f>
        <v>#NAME?</v>
      </c>
      <c r="I79" s="30" t="e">
        <f>CD_IJO9A751_4</f>
        <v>#NAME?</v>
      </c>
      <c r="J79" s="65" t="e">
        <f>CD_9A751_4</f>
        <v>#NAME?</v>
      </c>
      <c r="K79" s="30" t="e">
        <f>CD_IJO9A751_5</f>
        <v>#NAME?</v>
      </c>
      <c r="L79" s="81" t="e">
        <f>CD_9A751_5</f>
        <v>#NAME?</v>
      </c>
    </row>
    <row r="80" spans="1:12" ht="17.5" customHeight="1" x14ac:dyDescent="0.2">
      <c r="A80" s="252"/>
      <c r="B80" s="40" t="s">
        <v>368</v>
      </c>
      <c r="C80" s="32" t="e">
        <f>CD_IJO9A761_1</f>
        <v>#NAME?</v>
      </c>
      <c r="D80" s="41" t="e">
        <f>CD_9A761_1</f>
        <v>#NAME?</v>
      </c>
      <c r="E80" s="32" t="e">
        <f>CD_IJO9A761_2</f>
        <v>#NAME?</v>
      </c>
      <c r="F80" s="41" t="e">
        <f>CD_9A761_2</f>
        <v>#NAME?</v>
      </c>
      <c r="G80" s="32" t="e">
        <f>CD_IJO9A761_3</f>
        <v>#NAME?</v>
      </c>
      <c r="H80" s="64" t="e">
        <f>CD_9A761_3</f>
        <v>#NAME?</v>
      </c>
      <c r="I80" s="32" t="e">
        <f>CD_IJO9A761_4</f>
        <v>#NAME?</v>
      </c>
      <c r="J80" s="64" t="e">
        <f>CD_9A761_4</f>
        <v>#NAME?</v>
      </c>
      <c r="K80" s="32" t="e">
        <f>CD_IJO9A761_5</f>
        <v>#NAME?</v>
      </c>
      <c r="L80" s="82" t="e">
        <f>CD_9A761_5</f>
        <v>#NAME?</v>
      </c>
    </row>
    <row r="81" spans="1:13" ht="17.5" customHeight="1" x14ac:dyDescent="0.2">
      <c r="A81" s="23" t="s">
        <v>295</v>
      </c>
      <c r="B81" s="33" t="s">
        <v>329</v>
      </c>
      <c r="C81" s="16" t="e">
        <f>CD_IJOZ0004_1</f>
        <v>#NAME?</v>
      </c>
      <c r="D81" s="27" t="e">
        <f>CD_Z0004_1</f>
        <v>#NAME?</v>
      </c>
      <c r="E81" s="111" t="e">
        <f>CD_IJOZ0004_2</f>
        <v>#NAME?</v>
      </c>
      <c r="F81" s="27" t="e">
        <f>CD_Z0004_2</f>
        <v>#NAME?</v>
      </c>
      <c r="G81" s="111" t="e">
        <f>CD_IJOZ0004_3</f>
        <v>#NAME?</v>
      </c>
      <c r="H81" s="62" t="e">
        <f>CD_Z0004_3</f>
        <v>#NAME?</v>
      </c>
      <c r="I81" s="111" t="e">
        <f>CD_IJOZ0004_4</f>
        <v>#NAME?</v>
      </c>
      <c r="J81" s="62" t="e">
        <f>CD_Z0004_4</f>
        <v>#NAME?</v>
      </c>
      <c r="K81" s="111" t="e">
        <f>CD_IJOZ0004_5</f>
        <v>#NAME?</v>
      </c>
      <c r="L81" s="77" t="e">
        <f>CD_Z0004_5</f>
        <v>#NAME?</v>
      </c>
    </row>
    <row r="82" spans="1:13" ht="17.5" customHeight="1" x14ac:dyDescent="0.2">
      <c r="A82" s="23" t="s">
        <v>298</v>
      </c>
      <c r="B82" s="33" t="s">
        <v>446</v>
      </c>
      <c r="C82" s="16" t="e">
        <f>CD_IJO9N001_1</f>
        <v>#NAME?</v>
      </c>
      <c r="D82" s="24" t="e">
        <f>CD_9N001_1</f>
        <v>#NAME?</v>
      </c>
      <c r="E82" s="16" t="e">
        <f>CD_IJO9N001_2</f>
        <v>#NAME?</v>
      </c>
      <c r="F82" s="24" t="e">
        <f>CD_9N001_2</f>
        <v>#NAME?</v>
      </c>
      <c r="G82" s="16" t="e">
        <f>CD_IJO9N001_3</f>
        <v>#NAME?</v>
      </c>
      <c r="H82" s="61" t="e">
        <f>CD_9N001_3</f>
        <v>#NAME?</v>
      </c>
      <c r="I82" s="16" t="e">
        <f>CD_IJO9N001_4</f>
        <v>#NAME?</v>
      </c>
      <c r="J82" s="61" t="e">
        <f>CD_9N001_4</f>
        <v>#NAME?</v>
      </c>
      <c r="K82" s="16" t="e">
        <f>CD_IJO9N001_5</f>
        <v>#NAME?</v>
      </c>
      <c r="L82" s="72" t="e">
        <f>CD_9N001_5</f>
        <v>#NAME?</v>
      </c>
    </row>
    <row r="83" spans="1:13" ht="17.5" customHeight="1" x14ac:dyDescent="0.2">
      <c r="A83" s="23" t="s">
        <v>299</v>
      </c>
      <c r="B83" s="33" t="s">
        <v>446</v>
      </c>
      <c r="C83" s="16" t="e">
        <f>CD_IJO9N006_1</f>
        <v>#NAME?</v>
      </c>
      <c r="D83" s="24" t="e">
        <f>CD_9N006_1</f>
        <v>#NAME?</v>
      </c>
      <c r="E83" s="16" t="e">
        <f>CD_IJO9N006_2</f>
        <v>#NAME?</v>
      </c>
      <c r="F83" s="24" t="e">
        <f>CD_9N006_2</f>
        <v>#NAME?</v>
      </c>
      <c r="G83" s="16" t="e">
        <f>CD_IJO9N006_3</f>
        <v>#NAME?</v>
      </c>
      <c r="H83" s="61" t="e">
        <f>CD_9N006_3</f>
        <v>#NAME?</v>
      </c>
      <c r="I83" s="16" t="e">
        <f>CD_IJO9N006_4</f>
        <v>#NAME?</v>
      </c>
      <c r="J83" s="61" t="e">
        <f>CD_9N006_4</f>
        <v>#NAME?</v>
      </c>
      <c r="K83" s="16" t="e">
        <f>CD_IJO9N006_5</f>
        <v>#NAME?</v>
      </c>
      <c r="L83" s="72" t="e">
        <f>CD_9N006_5</f>
        <v>#NAME?</v>
      </c>
    </row>
    <row r="84" spans="1:13" ht="17.5" customHeight="1" x14ac:dyDescent="0.2">
      <c r="A84" s="23" t="s">
        <v>301</v>
      </c>
      <c r="B84" s="33" t="s">
        <v>41</v>
      </c>
      <c r="C84" s="16" t="e">
        <f>CD_IJOZ0002_1</f>
        <v>#NAME?</v>
      </c>
      <c r="D84" s="24" t="e">
        <f>CD_Z0002_1</f>
        <v>#NAME?</v>
      </c>
      <c r="E84" s="113" t="e">
        <f>CD_IJOZ0002_2</f>
        <v>#NAME?</v>
      </c>
      <c r="F84" s="24" t="e">
        <f>CD_Z0002_2</f>
        <v>#NAME?</v>
      </c>
      <c r="G84" s="113" t="e">
        <f>CD_IJOZ0002_3</f>
        <v>#NAME?</v>
      </c>
      <c r="H84" s="61" t="e">
        <f>CD_Z0002_3</f>
        <v>#NAME?</v>
      </c>
      <c r="I84" s="113" t="e">
        <f>CD_IJOZ0002_4</f>
        <v>#NAME?</v>
      </c>
      <c r="J84" s="61" t="e">
        <f>CD_Z0002_4</f>
        <v>#NAME?</v>
      </c>
      <c r="K84" s="113" t="e">
        <f>CD_IJOZ0002_5</f>
        <v>#NAME?</v>
      </c>
      <c r="L84" s="72" t="e">
        <f>CD_Z0002_5</f>
        <v>#NAME?</v>
      </c>
    </row>
    <row r="85" spans="1:13" ht="17.5" customHeight="1" x14ac:dyDescent="0.2">
      <c r="A85" s="23" t="s">
        <v>42</v>
      </c>
      <c r="B85" s="33" t="s">
        <v>369</v>
      </c>
      <c r="C85" s="16" t="e">
        <f>CD_IJO9N011_1</f>
        <v>#NAME?</v>
      </c>
      <c r="D85" s="24" t="e">
        <f>CD_9N011_1</f>
        <v>#NAME?</v>
      </c>
      <c r="E85" s="16" t="e">
        <f>CD_IJO9N011_2</f>
        <v>#NAME?</v>
      </c>
      <c r="F85" s="24" t="e">
        <f>CD_9N011_2</f>
        <v>#NAME?</v>
      </c>
      <c r="G85" s="16" t="e">
        <f>CD_IJO9N011_3</f>
        <v>#NAME?</v>
      </c>
      <c r="H85" s="61" t="e">
        <f>CD_9N011_3</f>
        <v>#NAME?</v>
      </c>
      <c r="I85" s="16" t="e">
        <f>CD_IJO9N011_4</f>
        <v>#NAME?</v>
      </c>
      <c r="J85" s="61" t="e">
        <f>CD_9N011_4</f>
        <v>#NAME?</v>
      </c>
      <c r="K85" s="16" t="e">
        <f>CD_IJO9N011_5</f>
        <v>#NAME?</v>
      </c>
      <c r="L85" s="72" t="e">
        <f>CD_9N011_5</f>
        <v>#NAME?</v>
      </c>
    </row>
    <row r="86" spans="1:13" ht="17.5" customHeight="1" x14ac:dyDescent="0.2">
      <c r="A86" s="23" t="s">
        <v>296</v>
      </c>
      <c r="B86" s="42" t="s">
        <v>370</v>
      </c>
      <c r="C86" s="16" t="e">
        <f>CD_IJO9N026_1</f>
        <v>#NAME?</v>
      </c>
      <c r="D86" s="24" t="e">
        <f>CD_9N026_1</f>
        <v>#NAME?</v>
      </c>
      <c r="E86" s="16" t="e">
        <f>CD_IJO9N026_2</f>
        <v>#NAME?</v>
      </c>
      <c r="F86" s="24" t="e">
        <f>CD_9N026_2</f>
        <v>#NAME?</v>
      </c>
      <c r="G86" s="16" t="e">
        <f>CD_IJO9N026_3</f>
        <v>#NAME?</v>
      </c>
      <c r="H86" s="61" t="e">
        <f>CD_9N026_3</f>
        <v>#NAME?</v>
      </c>
      <c r="I86" s="16" t="e">
        <f>CD_IJO9N026_4</f>
        <v>#NAME?</v>
      </c>
      <c r="J86" s="61" t="e">
        <f>CD_9N026_4</f>
        <v>#NAME?</v>
      </c>
      <c r="K86" s="16" t="e">
        <f>CD_IJO9N026_5</f>
        <v>#NAME?</v>
      </c>
      <c r="L86" s="72" t="e">
        <f>CD_9N026_5</f>
        <v>#NAME?</v>
      </c>
    </row>
    <row r="87" spans="1:13" ht="17.5" customHeight="1" x14ac:dyDescent="0.2">
      <c r="A87" s="23" t="s">
        <v>43</v>
      </c>
      <c r="B87" s="33" t="s">
        <v>371</v>
      </c>
      <c r="C87" s="16" t="e">
        <f>CD_IJOZ0003_1</f>
        <v>#NAME?</v>
      </c>
      <c r="D87" s="24" t="e">
        <f>CD_Z0003_1</f>
        <v>#NAME?</v>
      </c>
      <c r="E87" s="111" t="e">
        <f>CD_IJOZ0003_2</f>
        <v>#NAME?</v>
      </c>
      <c r="F87" s="24" t="e">
        <f>CD_Z0003_2</f>
        <v>#NAME?</v>
      </c>
      <c r="G87" s="111" t="e">
        <f>CD_IJOZ0003_3</f>
        <v>#NAME?</v>
      </c>
      <c r="H87" s="61" t="e">
        <f>CD_Z0003_3</f>
        <v>#NAME?</v>
      </c>
      <c r="I87" s="111" t="e">
        <f>CD_IJOZ0003_4</f>
        <v>#NAME?</v>
      </c>
      <c r="J87" s="61" t="e">
        <f>CD_Z0003_4</f>
        <v>#NAME?</v>
      </c>
      <c r="K87" s="111" t="e">
        <f>CD_IJOZ0003_5</f>
        <v>#NAME?</v>
      </c>
      <c r="L87" s="72" t="e">
        <f>CD_Z0003_5</f>
        <v>#NAME?</v>
      </c>
    </row>
    <row r="88" spans="1:13" ht="17.5" customHeight="1" x14ac:dyDescent="0.2">
      <c r="A88" s="23" t="s">
        <v>297</v>
      </c>
      <c r="B88" s="33" t="s">
        <v>446</v>
      </c>
      <c r="C88" s="16"/>
      <c r="D88" s="121" t="e">
        <f>CD_100_01001_1</f>
        <v>#NAME?</v>
      </c>
      <c r="E88" s="112"/>
      <c r="F88" s="122" t="e">
        <f>CD_100_01001_2</f>
        <v>#NAME?</v>
      </c>
      <c r="G88" s="112"/>
      <c r="H88" s="123" t="e">
        <f>CD_100_01001_3</f>
        <v>#NAME?</v>
      </c>
      <c r="I88" s="112"/>
      <c r="J88" s="124" t="e">
        <f>CD_100_01001_4</f>
        <v>#NAME?</v>
      </c>
      <c r="K88" s="112"/>
      <c r="L88" s="125" t="e">
        <f>CD_100_01001_5</f>
        <v>#NAME?</v>
      </c>
    </row>
    <row r="89" spans="1:13" ht="17.5" customHeight="1" x14ac:dyDescent="0.2">
      <c r="A89" s="23" t="s">
        <v>343</v>
      </c>
      <c r="B89" s="33" t="s">
        <v>446</v>
      </c>
      <c r="C89" s="16"/>
      <c r="D89" s="27" t="e">
        <f>CD_100_01002_1</f>
        <v>#NAME?</v>
      </c>
      <c r="E89" s="112"/>
      <c r="F89" s="27" t="e">
        <f>CD_100_01002_2</f>
        <v>#NAME?</v>
      </c>
      <c r="G89" s="112"/>
      <c r="H89" s="62" t="e">
        <f>CD_100_01002_3</f>
        <v>#NAME?</v>
      </c>
      <c r="I89" s="112"/>
      <c r="J89" s="62" t="e">
        <f>CD_100_01002_4</f>
        <v>#NAME?</v>
      </c>
      <c r="K89" s="112"/>
      <c r="L89" s="77" t="e">
        <f>CD_100_01002_5</f>
        <v>#NAME?</v>
      </c>
    </row>
    <row r="90" spans="1:13" ht="17.5" customHeight="1" x14ac:dyDescent="0.2">
      <c r="A90" s="23" t="s">
        <v>300</v>
      </c>
      <c r="B90" s="33" t="s">
        <v>44</v>
      </c>
      <c r="C90" s="16" t="e">
        <f>CD_IJO9N016_1</f>
        <v>#NAME?</v>
      </c>
      <c r="D90" s="24" t="e">
        <f>CD_9N016_1</f>
        <v>#NAME?</v>
      </c>
      <c r="E90" s="16" t="e">
        <f>CD_IJO9N016_2</f>
        <v>#NAME?</v>
      </c>
      <c r="F90" s="28" t="e">
        <f>CD_9N016_2</f>
        <v>#NAME?</v>
      </c>
      <c r="G90" s="16" t="e">
        <f>CD_IJO9N016_3</f>
        <v>#NAME?</v>
      </c>
      <c r="H90" s="61" t="e">
        <f>CD_9N016_3</f>
        <v>#NAME?</v>
      </c>
      <c r="I90" s="16" t="e">
        <f>CD_IJO9N016_4</f>
        <v>#NAME?</v>
      </c>
      <c r="J90" s="61" t="e">
        <f>CD_9N016_4</f>
        <v>#NAME?</v>
      </c>
      <c r="K90" s="16" t="e">
        <f>CD_IJO9N016_5</f>
        <v>#NAME?</v>
      </c>
      <c r="L90" s="72" t="e">
        <f>CD_9N016_5</f>
        <v>#NAME?</v>
      </c>
    </row>
    <row r="91" spans="1:13" ht="17.5" customHeight="1" x14ac:dyDescent="0.2">
      <c r="A91" s="34" t="s">
        <v>45</v>
      </c>
      <c r="B91" s="35" t="s">
        <v>44</v>
      </c>
      <c r="C91" s="109" t="e">
        <f>CD_IJOZ0008_1</f>
        <v>#NAME?</v>
      </c>
      <c r="D91" s="126" t="e">
        <f>CD_Z0008_1</f>
        <v>#NAME?</v>
      </c>
      <c r="E91" s="110" t="e">
        <f>CD_IJOZ0008_2</f>
        <v>#NAME?</v>
      </c>
      <c r="F91" s="126" t="e">
        <f>CD_Z0008_2</f>
        <v>#NAME?</v>
      </c>
      <c r="G91" s="110" t="e">
        <f>CD_IJOZ0008_3</f>
        <v>#NAME?</v>
      </c>
      <c r="H91" s="127" t="e">
        <f>CD_Z0008_3</f>
        <v>#NAME?</v>
      </c>
      <c r="I91" s="110" t="e">
        <f>CD_IJOZ0008_4</f>
        <v>#NAME?</v>
      </c>
      <c r="J91" s="127" t="e">
        <f>CD_Z0008_4</f>
        <v>#NAME?</v>
      </c>
      <c r="K91" s="110" t="e">
        <f>CD_IJOZ0008_5</f>
        <v>#NAME?</v>
      </c>
      <c r="L91" s="128" t="e">
        <f>CD_Z0008_5</f>
        <v>#NAME?</v>
      </c>
    </row>
    <row r="92" spans="1:13" ht="17.5" customHeight="1" x14ac:dyDescent="0.2">
      <c r="A92" s="1"/>
      <c r="B92" s="10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20.149999999999999" customHeight="1" x14ac:dyDescent="0.2">
      <c r="A93" s="194" t="s">
        <v>302</v>
      </c>
      <c r="B93" s="195"/>
      <c r="C93" s="195"/>
      <c r="D93" s="195"/>
      <c r="E93" s="195"/>
      <c r="F93" s="195"/>
      <c r="G93" s="195"/>
      <c r="H93" s="195"/>
      <c r="I93" s="195"/>
      <c r="J93" s="195"/>
      <c r="K93" s="195"/>
      <c r="L93" s="196"/>
    </row>
    <row r="94" spans="1:13" ht="17.5" customHeight="1" x14ac:dyDescent="0.2">
      <c r="A94" s="43"/>
      <c r="B94" s="44"/>
      <c r="C94" s="212" t="e">
        <f ca="1">年度1</f>
        <v>#NAME?</v>
      </c>
      <c r="D94" s="215"/>
      <c r="E94" s="212" t="e">
        <f ca="1">年度2</f>
        <v>#NAME?</v>
      </c>
      <c r="F94" s="215"/>
      <c r="G94" s="212" t="e">
        <f ca="1">年度3</f>
        <v>#NAME?</v>
      </c>
      <c r="H94" s="215"/>
      <c r="I94" s="212" t="e">
        <f ca="1">年度4</f>
        <v>#NAME?</v>
      </c>
      <c r="J94" s="213"/>
      <c r="K94" s="213" t="e">
        <f ca="1">年度5</f>
        <v>#NAME?</v>
      </c>
      <c r="L94" s="225"/>
    </row>
    <row r="95" spans="1:13" ht="17.5" customHeight="1" x14ac:dyDescent="0.2">
      <c r="A95" s="45" t="s">
        <v>303</v>
      </c>
      <c r="B95" s="46" t="s">
        <v>166</v>
      </c>
      <c r="C95" s="210" t="e">
        <f ca="1">肺受診日1</f>
        <v>#NAME?</v>
      </c>
      <c r="D95" s="211"/>
      <c r="E95" s="210" t="e">
        <f ca="1">肺受診日2</f>
        <v>#NAME?</v>
      </c>
      <c r="F95" s="211"/>
      <c r="G95" s="210" t="e">
        <f ca="1">肺受診日3</f>
        <v>#NAME?</v>
      </c>
      <c r="H95" s="211"/>
      <c r="I95" s="210" t="e">
        <f ca="1">肺受診日4</f>
        <v>#NAME?</v>
      </c>
      <c r="J95" s="211"/>
      <c r="K95" s="210" t="e">
        <f ca="1">肺受診日5</f>
        <v>#NAME?</v>
      </c>
      <c r="L95" s="356"/>
    </row>
    <row r="96" spans="1:13" ht="17.5" customHeight="1" x14ac:dyDescent="0.2">
      <c r="A96" s="47" t="s">
        <v>330</v>
      </c>
      <c r="B96" s="48" t="s">
        <v>308</v>
      </c>
      <c r="C96" s="350" t="e">
        <f ca="1">肺番号1</f>
        <v>#NAME?</v>
      </c>
      <c r="D96" s="351"/>
      <c r="E96" s="350" t="e">
        <f ca="1">肺番号2</f>
        <v>#NAME?</v>
      </c>
      <c r="F96" s="351"/>
      <c r="G96" s="350" t="e">
        <f ca="1">肺番号3</f>
        <v>#NAME?</v>
      </c>
      <c r="H96" s="351"/>
      <c r="I96" s="350" t="e">
        <f ca="1">肺番号4</f>
        <v>#NAME?</v>
      </c>
      <c r="J96" s="351"/>
      <c r="K96" s="350" t="e">
        <f ca="1">肺番号5</f>
        <v>#NAME?</v>
      </c>
      <c r="L96" s="358"/>
    </row>
    <row r="97" spans="1:13" ht="17.5" customHeight="1" x14ac:dyDescent="0.2">
      <c r="A97" s="49"/>
      <c r="B97" s="50" t="s">
        <v>334</v>
      </c>
      <c r="C97" s="202" t="e">
        <f ca="1">肺結果1</f>
        <v>#NAME?</v>
      </c>
      <c r="D97" s="203"/>
      <c r="E97" s="202" t="e">
        <f ca="1">肺結果2</f>
        <v>#NAME?</v>
      </c>
      <c r="F97" s="203"/>
      <c r="G97" s="202" t="e">
        <f ca="1">肺結果3</f>
        <v>#NAME?</v>
      </c>
      <c r="H97" s="203"/>
      <c r="I97" s="202" t="e">
        <f ca="1">肺結果4</f>
        <v>#NAME?</v>
      </c>
      <c r="J97" s="203"/>
      <c r="K97" s="202" t="e">
        <f ca="1">肺結果5</f>
        <v>#NAME?</v>
      </c>
      <c r="L97" s="352"/>
    </row>
    <row r="98" spans="1:13" ht="17.5" customHeight="1" x14ac:dyDescent="0.2">
      <c r="A98" s="51" t="s">
        <v>304</v>
      </c>
      <c r="B98" s="46" t="s">
        <v>344</v>
      </c>
      <c r="C98" s="210" t="e">
        <f ca="1">胃受診日1</f>
        <v>#NAME?</v>
      </c>
      <c r="D98" s="211"/>
      <c r="E98" s="210" t="e">
        <f ca="1">胃受診日2</f>
        <v>#NAME?</v>
      </c>
      <c r="F98" s="211"/>
      <c r="G98" s="210" t="e">
        <f ca="1">胃受診日3</f>
        <v>#NAME?</v>
      </c>
      <c r="H98" s="211"/>
      <c r="I98" s="210" t="e">
        <f ca="1">胃受診日4</f>
        <v>#NAME?</v>
      </c>
      <c r="J98" s="211"/>
      <c r="K98" s="210" t="e">
        <f ca="1">胃受診日5</f>
        <v>#NAME?</v>
      </c>
      <c r="L98" s="356"/>
    </row>
    <row r="99" spans="1:13" ht="17.5" customHeight="1" x14ac:dyDescent="0.2">
      <c r="A99" s="47" t="s">
        <v>330</v>
      </c>
      <c r="B99" s="48" t="s">
        <v>345</v>
      </c>
      <c r="C99" s="350" t="e">
        <f ca="1">胃番号1</f>
        <v>#NAME?</v>
      </c>
      <c r="D99" s="351"/>
      <c r="E99" s="350" t="e">
        <f ca="1">胃番号2</f>
        <v>#NAME?</v>
      </c>
      <c r="F99" s="351"/>
      <c r="G99" s="350" t="e">
        <f ca="1">胃番号3</f>
        <v>#NAME?</v>
      </c>
      <c r="H99" s="351"/>
      <c r="I99" s="350" t="e">
        <f ca="1">胃番号4</f>
        <v>#NAME?</v>
      </c>
      <c r="J99" s="351"/>
      <c r="K99" s="350" t="e">
        <f ca="1">胃番号5</f>
        <v>#NAME?</v>
      </c>
      <c r="L99" s="358"/>
    </row>
    <row r="100" spans="1:13" ht="17.5" customHeight="1" x14ac:dyDescent="0.2">
      <c r="A100" s="52"/>
      <c r="B100" s="50" t="s">
        <v>346</v>
      </c>
      <c r="C100" s="202" t="e">
        <f ca="1">胃結果1</f>
        <v>#NAME?</v>
      </c>
      <c r="D100" s="203"/>
      <c r="E100" s="202" t="e">
        <f ca="1">胃結果2</f>
        <v>#NAME?</v>
      </c>
      <c r="F100" s="203"/>
      <c r="G100" s="202" t="e">
        <f ca="1">胃結果3</f>
        <v>#NAME?</v>
      </c>
      <c r="H100" s="203"/>
      <c r="I100" s="202" t="e">
        <f ca="1">胃結果4</f>
        <v>#NAME?</v>
      </c>
      <c r="J100" s="203"/>
      <c r="K100" s="202" t="e">
        <f ca="1">胃結果5</f>
        <v>#NAME?</v>
      </c>
      <c r="L100" s="352"/>
    </row>
    <row r="101" spans="1:13" ht="17.5" customHeight="1" x14ac:dyDescent="0.2">
      <c r="A101" s="51" t="s">
        <v>305</v>
      </c>
      <c r="B101" s="46" t="s">
        <v>48</v>
      </c>
      <c r="C101" s="210" t="e">
        <f ca="1">大腸受診日1</f>
        <v>#NAME?</v>
      </c>
      <c r="D101" s="211"/>
      <c r="E101" s="210" t="e">
        <f ca="1">大腸受診日2</f>
        <v>#NAME?</v>
      </c>
      <c r="F101" s="211"/>
      <c r="G101" s="210" t="e">
        <f ca="1">大腸受診日3</f>
        <v>#NAME?</v>
      </c>
      <c r="H101" s="211"/>
      <c r="I101" s="210" t="e">
        <f ca="1">大腸受診日4</f>
        <v>#NAME?</v>
      </c>
      <c r="J101" s="211"/>
      <c r="K101" s="210" t="e">
        <f ca="1">大腸受診日5</f>
        <v>#NAME?</v>
      </c>
      <c r="L101" s="356"/>
    </row>
    <row r="102" spans="1:13" ht="17.5" customHeight="1" x14ac:dyDescent="0.2">
      <c r="A102" s="47" t="s">
        <v>331</v>
      </c>
      <c r="B102" s="48" t="s">
        <v>335</v>
      </c>
      <c r="C102" s="216" t="e">
        <f ca="1">大腸所見11</f>
        <v>#NAME?</v>
      </c>
      <c r="D102" s="217"/>
      <c r="E102" s="216" t="e">
        <f ca="1">大腸所見12</f>
        <v>#NAME?</v>
      </c>
      <c r="F102" s="217"/>
      <c r="G102" s="216" t="e">
        <f ca="1">大腸所見13</f>
        <v>#NAME?</v>
      </c>
      <c r="H102" s="217"/>
      <c r="I102" s="216" t="e">
        <f ca="1">大腸所見14</f>
        <v>#NAME?</v>
      </c>
      <c r="J102" s="217"/>
      <c r="K102" s="216" t="e">
        <f ca="1">大腸所見15</f>
        <v>#NAME?</v>
      </c>
      <c r="L102" s="357"/>
    </row>
    <row r="103" spans="1:13" ht="17.5" customHeight="1" x14ac:dyDescent="0.2">
      <c r="A103" s="47"/>
      <c r="B103" s="48" t="s">
        <v>336</v>
      </c>
      <c r="C103" s="216" t="e">
        <f ca="1">大腸所見21</f>
        <v>#NAME?</v>
      </c>
      <c r="D103" s="217"/>
      <c r="E103" s="216" t="e">
        <f ca="1">大腸所見22</f>
        <v>#NAME?</v>
      </c>
      <c r="F103" s="217"/>
      <c r="G103" s="216" t="e">
        <f ca="1">大腸所見23</f>
        <v>#NAME?</v>
      </c>
      <c r="H103" s="217"/>
      <c r="I103" s="216" t="e">
        <f ca="1">大腸所見24</f>
        <v>#NAME?</v>
      </c>
      <c r="J103" s="217"/>
      <c r="K103" s="216" t="e">
        <f ca="1">大腸所見25</f>
        <v>#NAME?</v>
      </c>
      <c r="L103" s="357"/>
    </row>
    <row r="104" spans="1:13" ht="17.5" customHeight="1" x14ac:dyDescent="0.2">
      <c r="A104" s="52"/>
      <c r="B104" s="50" t="s">
        <v>334</v>
      </c>
      <c r="C104" s="202" t="e">
        <f ca="1">大腸結果1</f>
        <v>#NAME?</v>
      </c>
      <c r="D104" s="203"/>
      <c r="E104" s="202" t="e">
        <f ca="1">大腸結果2</f>
        <v>#NAME?</v>
      </c>
      <c r="F104" s="203"/>
      <c r="G104" s="202" t="e">
        <f ca="1">大腸結果3</f>
        <v>#NAME?</v>
      </c>
      <c r="H104" s="203"/>
      <c r="I104" s="202" t="e">
        <f ca="1">大腸結果4</f>
        <v>#NAME?</v>
      </c>
      <c r="J104" s="203"/>
      <c r="K104" s="202" t="e">
        <f ca="1">大腸結果5</f>
        <v>#NAME?</v>
      </c>
      <c r="L104" s="352"/>
    </row>
    <row r="105" spans="1:13" ht="17.5" customHeight="1" x14ac:dyDescent="0.2">
      <c r="A105" s="45" t="s">
        <v>306</v>
      </c>
      <c r="B105" s="46" t="s">
        <v>49</v>
      </c>
      <c r="C105" s="210" t="e">
        <f ca="1">子宮受診日1</f>
        <v>#NAME?</v>
      </c>
      <c r="D105" s="211"/>
      <c r="E105" s="210" t="e">
        <f ca="1">子宮受診日2</f>
        <v>#NAME?</v>
      </c>
      <c r="F105" s="211"/>
      <c r="G105" s="210" t="e">
        <f ca="1">子宮受診日3</f>
        <v>#NAME?</v>
      </c>
      <c r="H105" s="211"/>
      <c r="I105" s="210" t="e">
        <f ca="1">子宮受診日4</f>
        <v>#NAME?</v>
      </c>
      <c r="J105" s="211"/>
      <c r="K105" s="210" t="e">
        <f ca="1">子宮受診日5</f>
        <v>#NAME?</v>
      </c>
      <c r="L105" s="356"/>
    </row>
    <row r="106" spans="1:13" ht="17.5" customHeight="1" x14ac:dyDescent="0.2">
      <c r="A106" s="53" t="s">
        <v>332</v>
      </c>
      <c r="B106" s="50" t="s">
        <v>334</v>
      </c>
      <c r="C106" s="202" t="e">
        <f ca="1">子宮結果1</f>
        <v>#NAME?</v>
      </c>
      <c r="D106" s="203"/>
      <c r="E106" s="202" t="e">
        <f ca="1">子宮結果2</f>
        <v>#NAME?</v>
      </c>
      <c r="F106" s="203"/>
      <c r="G106" s="202" t="e">
        <f ca="1">子宮結果3</f>
        <v>#NAME?</v>
      </c>
      <c r="H106" s="203"/>
      <c r="I106" s="202" t="e">
        <f ca="1">子宮結果4</f>
        <v>#NAME?</v>
      </c>
      <c r="J106" s="203"/>
      <c r="K106" s="202" t="e">
        <f ca="1">子宮結果5</f>
        <v>#NAME?</v>
      </c>
      <c r="L106" s="352"/>
    </row>
    <row r="107" spans="1:13" ht="17.5" customHeight="1" x14ac:dyDescent="0.2">
      <c r="A107" s="45" t="s">
        <v>307</v>
      </c>
      <c r="B107" s="46" t="s">
        <v>48</v>
      </c>
      <c r="C107" s="210" t="e">
        <f ca="1">乳受診日1</f>
        <v>#NAME?</v>
      </c>
      <c r="D107" s="211"/>
      <c r="E107" s="210" t="e">
        <f ca="1">乳受診日2</f>
        <v>#NAME?</v>
      </c>
      <c r="F107" s="211"/>
      <c r="G107" s="210" t="e">
        <f ca="1">乳受診日3</f>
        <v>#NAME?</v>
      </c>
      <c r="H107" s="211"/>
      <c r="I107" s="210" t="e">
        <f ca="1">乳受診日4</f>
        <v>#NAME?</v>
      </c>
      <c r="J107" s="211"/>
      <c r="K107" s="210" t="e">
        <f ca="1">乳受診日5</f>
        <v>#NAME?</v>
      </c>
      <c r="L107" s="356"/>
    </row>
    <row r="108" spans="1:13" ht="17.5" customHeight="1" x14ac:dyDescent="0.2">
      <c r="A108" s="53" t="s">
        <v>333</v>
      </c>
      <c r="B108" s="50" t="s">
        <v>334</v>
      </c>
      <c r="C108" s="202" t="e">
        <f ca="1">乳結果1</f>
        <v>#NAME?</v>
      </c>
      <c r="D108" s="203"/>
      <c r="E108" s="202" t="e">
        <f ca="1">乳結果2</f>
        <v>#NAME?</v>
      </c>
      <c r="F108" s="203"/>
      <c r="G108" s="202" t="e">
        <f ca="1">乳結果3</f>
        <v>#NAME?</v>
      </c>
      <c r="H108" s="203"/>
      <c r="I108" s="202" t="e">
        <f ca="1">乳結果4</f>
        <v>#NAME?</v>
      </c>
      <c r="J108" s="203"/>
      <c r="K108" s="202" t="e">
        <f ca="1">乳結果5</f>
        <v>#NAME?</v>
      </c>
      <c r="L108" s="352"/>
    </row>
    <row r="109" spans="1:13" ht="17.5" customHeight="1" x14ac:dyDescent="0.2">
      <c r="A109" s="1"/>
      <c r="B109" s="1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20.149999999999999" customHeight="1" x14ac:dyDescent="0.2">
      <c r="A110" s="194" t="s">
        <v>337</v>
      </c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6"/>
    </row>
    <row r="111" spans="1:13" ht="17.5" customHeight="1" x14ac:dyDescent="0.2">
      <c r="A111" s="218" t="s">
        <v>347</v>
      </c>
      <c r="B111" s="219"/>
      <c r="C111" s="219"/>
      <c r="D111" s="219"/>
      <c r="E111" s="220" t="s">
        <v>338</v>
      </c>
      <c r="F111" s="221"/>
      <c r="G111" s="221"/>
      <c r="H111" s="221"/>
      <c r="I111" s="221"/>
      <c r="J111" s="221"/>
      <c r="K111" s="221"/>
      <c r="L111" s="222"/>
    </row>
    <row r="112" spans="1:13" ht="17.5" customHeight="1" x14ac:dyDescent="0.2">
      <c r="A112" s="235" t="s">
        <v>348</v>
      </c>
      <c r="B112" s="236"/>
      <c r="C112" s="236"/>
      <c r="D112" s="236"/>
      <c r="E112" s="237" t="e">
        <f ca="1">肝炎受診日</f>
        <v>#NAME?</v>
      </c>
      <c r="F112" s="238"/>
      <c r="G112" s="238"/>
      <c r="H112" s="238"/>
      <c r="I112" s="238"/>
      <c r="J112" s="238"/>
      <c r="K112" s="238"/>
      <c r="L112" s="239"/>
    </row>
    <row r="113" spans="1:13" ht="17.5" customHeight="1" x14ac:dyDescent="0.2">
      <c r="A113" s="240" t="s">
        <v>349</v>
      </c>
      <c r="B113" s="241"/>
      <c r="C113" s="241"/>
      <c r="D113" s="241"/>
      <c r="E113" s="242" t="e">
        <f ca="1">肝炎結果B</f>
        <v>#NAME?</v>
      </c>
      <c r="F113" s="243"/>
      <c r="G113" s="243"/>
      <c r="H113" s="243"/>
      <c r="I113" s="243"/>
      <c r="J113" s="243"/>
      <c r="K113" s="243"/>
      <c r="L113" s="244"/>
    </row>
    <row r="114" spans="1:13" ht="17.5" customHeight="1" x14ac:dyDescent="0.2">
      <c r="A114" s="226" t="s">
        <v>351</v>
      </c>
      <c r="B114" s="227"/>
      <c r="C114" s="214" t="s">
        <v>340</v>
      </c>
      <c r="D114" s="214"/>
      <c r="E114" s="16" t="e">
        <f>CD_020_IJO01002_S</f>
        <v>#NAME?</v>
      </c>
      <c r="F114" s="354" t="e">
        <f>CD_020_01002_S</f>
        <v>#NAME?</v>
      </c>
      <c r="G114" s="354"/>
      <c r="H114" s="354"/>
      <c r="I114" s="355"/>
      <c r="J114" s="355"/>
      <c r="K114" s="177" t="e">
        <f>CD_020_01003_S</f>
        <v>#NAME?</v>
      </c>
      <c r="L114" s="353"/>
    </row>
    <row r="115" spans="1:13" ht="17.5" customHeight="1" x14ac:dyDescent="0.2">
      <c r="A115" s="226" t="s">
        <v>350</v>
      </c>
      <c r="B115" s="227"/>
      <c r="C115" s="214" t="s">
        <v>339</v>
      </c>
      <c r="D115" s="214"/>
      <c r="E115" s="16" t="e">
        <f>CD_020_IJO01004_S</f>
        <v>#NAME?</v>
      </c>
      <c r="F115" s="354" t="e">
        <f>CD_020_01004_S</f>
        <v>#NAME?</v>
      </c>
      <c r="G115" s="354"/>
      <c r="H115" s="354"/>
      <c r="I115" s="355"/>
      <c r="J115" s="355"/>
      <c r="K115" s="177" t="e">
        <f>CD_020_01005_S</f>
        <v>#NAME?</v>
      </c>
      <c r="L115" s="353"/>
    </row>
    <row r="116" spans="1:13" ht="17.5" customHeight="1" x14ac:dyDescent="0.2">
      <c r="A116" s="226" t="s">
        <v>354</v>
      </c>
      <c r="B116" s="227"/>
      <c r="C116" s="214" t="s">
        <v>339</v>
      </c>
      <c r="D116" s="214"/>
      <c r="E116" s="165" t="e">
        <f>CD_020_01006_S</f>
        <v>#NAME?</v>
      </c>
      <c r="F116" s="234"/>
      <c r="G116" s="234"/>
      <c r="H116" s="234"/>
      <c r="I116" s="234"/>
      <c r="J116" s="234"/>
      <c r="K116" s="234"/>
      <c r="L116" s="164"/>
    </row>
    <row r="117" spans="1:13" ht="17.5" customHeight="1" x14ac:dyDescent="0.2">
      <c r="A117" s="228" t="s">
        <v>355</v>
      </c>
      <c r="B117" s="229"/>
      <c r="C117" s="229"/>
      <c r="D117" s="229"/>
      <c r="E117" s="230" t="e">
        <f ca="1">肝炎結果C</f>
        <v>#NAME?</v>
      </c>
      <c r="F117" s="231"/>
      <c r="G117" s="231"/>
      <c r="H117" s="231"/>
      <c r="I117" s="231"/>
      <c r="J117" s="231"/>
      <c r="K117" s="231"/>
      <c r="L117" s="232"/>
    </row>
    <row r="118" spans="1:13" ht="17.5" customHeight="1" x14ac:dyDescent="0.2">
      <c r="A118" s="1"/>
      <c r="B118" s="10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20.149999999999999" customHeight="1" x14ac:dyDescent="0.2">
      <c r="A119" s="194" t="s">
        <v>341</v>
      </c>
      <c r="B119" s="195"/>
      <c r="C119" s="195"/>
      <c r="D119" s="195"/>
      <c r="E119" s="195"/>
      <c r="F119" s="195"/>
      <c r="G119" s="195"/>
      <c r="H119" s="195"/>
      <c r="I119" s="195"/>
      <c r="J119" s="195"/>
      <c r="K119" s="195"/>
      <c r="L119" s="196"/>
    </row>
    <row r="120" spans="1:13" ht="17.25" customHeight="1" x14ac:dyDescent="0.2">
      <c r="A120" s="224" t="s">
        <v>342</v>
      </c>
      <c r="B120" s="213"/>
      <c r="C120" s="213"/>
      <c r="D120" s="213"/>
      <c r="E120" s="212" t="e">
        <f ca="1">メタボ判定</f>
        <v>#NAME?</v>
      </c>
      <c r="F120" s="213"/>
      <c r="G120" s="213"/>
      <c r="H120" s="213"/>
      <c r="I120" s="213"/>
      <c r="J120" s="213"/>
      <c r="K120" s="213"/>
      <c r="L120" s="225"/>
    </row>
    <row r="121" spans="1:13" ht="17.5" customHeight="1" x14ac:dyDescent="0.2"/>
  </sheetData>
  <mergeCells count="192">
    <mergeCell ref="A54:A55"/>
    <mergeCell ref="A56:A57"/>
    <mergeCell ref="A58:A59"/>
    <mergeCell ref="A60:A61"/>
    <mergeCell ref="I54:I55"/>
    <mergeCell ref="I56:I57"/>
    <mergeCell ref="G54:G55"/>
    <mergeCell ref="I60:I61"/>
    <mergeCell ref="H54:H55"/>
    <mergeCell ref="C58:C59"/>
    <mergeCell ref="C60:C61"/>
    <mergeCell ref="K8:L8"/>
    <mergeCell ref="K9:L9"/>
    <mergeCell ref="L54:L55"/>
    <mergeCell ref="L56:L57"/>
    <mergeCell ref="L58:L59"/>
    <mergeCell ref="L60:L61"/>
    <mergeCell ref="L62:L63"/>
    <mergeCell ref="H56:H57"/>
    <mergeCell ref="G56:G57"/>
    <mergeCell ref="H60:H61"/>
    <mergeCell ref="G58:G59"/>
    <mergeCell ref="G60:G61"/>
    <mergeCell ref="A8:A9"/>
    <mergeCell ref="E8:F8"/>
    <mergeCell ref="G8:H8"/>
    <mergeCell ref="I8:J8"/>
    <mergeCell ref="E9:F9"/>
    <mergeCell ref="G9:H9"/>
    <mergeCell ref="C8:D8"/>
    <mergeCell ref="I62:I63"/>
    <mergeCell ref="E62:E63"/>
    <mergeCell ref="C54:C55"/>
    <mergeCell ref="C56:C57"/>
    <mergeCell ref="J54:J55"/>
    <mergeCell ref="J56:J57"/>
    <mergeCell ref="D54:D55"/>
    <mergeCell ref="D56:D57"/>
    <mergeCell ref="F54:F55"/>
    <mergeCell ref="F56:F57"/>
    <mergeCell ref="D58:D59"/>
    <mergeCell ref="G62:G63"/>
    <mergeCell ref="I58:I59"/>
    <mergeCell ref="F60:F61"/>
    <mergeCell ref="H58:H59"/>
    <mergeCell ref="F58:F59"/>
    <mergeCell ref="A62:A63"/>
    <mergeCell ref="C9:D9"/>
    <mergeCell ref="K95:L95"/>
    <mergeCell ref="G96:H96"/>
    <mergeCell ref="I96:J96"/>
    <mergeCell ref="G98:H98"/>
    <mergeCell ref="I98:J98"/>
    <mergeCell ref="K96:L96"/>
    <mergeCell ref="I95:J95"/>
    <mergeCell ref="K97:L97"/>
    <mergeCell ref="K98:L98"/>
    <mergeCell ref="E54:E55"/>
    <mergeCell ref="E56:E57"/>
    <mergeCell ref="I9:J9"/>
    <mergeCell ref="K54:K55"/>
    <mergeCell ref="K56:K57"/>
    <mergeCell ref="K62:K63"/>
    <mergeCell ref="K58:K59"/>
    <mergeCell ref="K60:K61"/>
    <mergeCell ref="E98:F98"/>
    <mergeCell ref="G94:H94"/>
    <mergeCell ref="I94:J94"/>
    <mergeCell ref="G95:H95"/>
    <mergeCell ref="C98:D98"/>
    <mergeCell ref="H75:I75"/>
    <mergeCell ref="K107:L107"/>
    <mergeCell ref="K102:L102"/>
    <mergeCell ref="K103:L103"/>
    <mergeCell ref="K104:L104"/>
    <mergeCell ref="K105:L105"/>
    <mergeCell ref="A79:A80"/>
    <mergeCell ref="K106:L106"/>
    <mergeCell ref="G77:H77"/>
    <mergeCell ref="A93:L93"/>
    <mergeCell ref="K94:L94"/>
    <mergeCell ref="A76:A77"/>
    <mergeCell ref="E76:F76"/>
    <mergeCell ref="G76:H76"/>
    <mergeCell ref="K100:L100"/>
    <mergeCell ref="K101:L101"/>
    <mergeCell ref="E99:F99"/>
    <mergeCell ref="K99:L99"/>
    <mergeCell ref="G97:H97"/>
    <mergeCell ref="G99:H99"/>
    <mergeCell ref="I99:J99"/>
    <mergeCell ref="I102:J102"/>
    <mergeCell ref="E103:F103"/>
    <mergeCell ref="G103:H103"/>
    <mergeCell ref="I103:J103"/>
    <mergeCell ref="E102:F102"/>
    <mergeCell ref="G102:H102"/>
    <mergeCell ref="I104:J104"/>
    <mergeCell ref="E105:F105"/>
    <mergeCell ref="G105:H105"/>
    <mergeCell ref="I105:J105"/>
    <mergeCell ref="E104:F104"/>
    <mergeCell ref="G100:H100"/>
    <mergeCell ref="I100:J100"/>
    <mergeCell ref="E101:F101"/>
    <mergeCell ref="G101:H101"/>
    <mergeCell ref="I101:J101"/>
    <mergeCell ref="E100:F100"/>
    <mergeCell ref="A120:D120"/>
    <mergeCell ref="E120:L120"/>
    <mergeCell ref="A116:B116"/>
    <mergeCell ref="A117:D117"/>
    <mergeCell ref="E117:L117"/>
    <mergeCell ref="C116:D116"/>
    <mergeCell ref="E116:L116"/>
    <mergeCell ref="A115:B115"/>
    <mergeCell ref="A112:D112"/>
    <mergeCell ref="E112:L112"/>
    <mergeCell ref="A113:D113"/>
    <mergeCell ref="E113:L113"/>
    <mergeCell ref="A114:B114"/>
    <mergeCell ref="C114:D114"/>
    <mergeCell ref="C115:D115"/>
    <mergeCell ref="K114:L114"/>
    <mergeCell ref="K115:L115"/>
    <mergeCell ref="F115:J115"/>
    <mergeCell ref="F114:J114"/>
    <mergeCell ref="A4:L4"/>
    <mergeCell ref="J6:L6"/>
    <mergeCell ref="H7:I7"/>
    <mergeCell ref="H6:I6"/>
    <mergeCell ref="J7:L7"/>
    <mergeCell ref="A5:L5"/>
    <mergeCell ref="C6:E6"/>
    <mergeCell ref="C7:E7"/>
    <mergeCell ref="A119:L119"/>
    <mergeCell ref="G108:H108"/>
    <mergeCell ref="I108:J108"/>
    <mergeCell ref="A111:D111"/>
    <mergeCell ref="E111:L111"/>
    <mergeCell ref="E108:F108"/>
    <mergeCell ref="A110:L110"/>
    <mergeCell ref="K108:L108"/>
    <mergeCell ref="C108:D108"/>
    <mergeCell ref="G106:H106"/>
    <mergeCell ref="I106:J106"/>
    <mergeCell ref="E107:F107"/>
    <mergeCell ref="G107:H107"/>
    <mergeCell ref="I107:J107"/>
    <mergeCell ref="E106:F106"/>
    <mergeCell ref="G104:H104"/>
    <mergeCell ref="C107:D107"/>
    <mergeCell ref="C106:D106"/>
    <mergeCell ref="C105:D105"/>
    <mergeCell ref="C104:D104"/>
    <mergeCell ref="C103:D103"/>
    <mergeCell ref="C101:D101"/>
    <mergeCell ref="C100:D100"/>
    <mergeCell ref="C99:D99"/>
    <mergeCell ref="C102:D102"/>
    <mergeCell ref="E97:F97"/>
    <mergeCell ref="J75:L75"/>
    <mergeCell ref="I76:J76"/>
    <mergeCell ref="C75:E75"/>
    <mergeCell ref="I97:J97"/>
    <mergeCell ref="E96:F96"/>
    <mergeCell ref="E95:F95"/>
    <mergeCell ref="E94:F94"/>
    <mergeCell ref="C97:D97"/>
    <mergeCell ref="K77:L77"/>
    <mergeCell ref="C76:D76"/>
    <mergeCell ref="C77:D77"/>
    <mergeCell ref="I77:J77"/>
    <mergeCell ref="E77:F77"/>
    <mergeCell ref="C94:D94"/>
    <mergeCell ref="C95:D95"/>
    <mergeCell ref="C96:D96"/>
    <mergeCell ref="A73:L73"/>
    <mergeCell ref="H74:I74"/>
    <mergeCell ref="J74:L74"/>
    <mergeCell ref="C74:E74"/>
    <mergeCell ref="K76:L76"/>
    <mergeCell ref="J62:J63"/>
    <mergeCell ref="F62:F63"/>
    <mergeCell ref="C62:C63"/>
    <mergeCell ref="J58:J59"/>
    <mergeCell ref="J60:J61"/>
    <mergeCell ref="H62:H63"/>
    <mergeCell ref="E58:E59"/>
    <mergeCell ref="E60:E61"/>
    <mergeCell ref="D60:D61"/>
    <mergeCell ref="D62:D63"/>
  </mergeCells>
  <phoneticPr fontId="1"/>
  <pageMargins left="0.75" right="0.75" top="1" bottom="1" header="0.51200000000000001" footer="0.51200000000000001"/>
  <pageSetup paperSize="9" orientation="portrait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121" r:id="rId4" name="btnPanel">
          <controlPr defaultSize="0" print="0" disabled="1" autoFill="0" autoLine="0" r:id="rId5">
            <anchor>
              <from>
                <xdr:col>0</xdr:col>
                <xdr:colOff>0</xdr:colOff>
                <xdr:row>0</xdr:row>
                <xdr:rowOff>50800</xdr:rowOff>
              </from>
              <to>
                <xdr:col>11</xdr:col>
                <xdr:colOff>88900</xdr:colOff>
                <xdr:row>2</xdr:row>
                <xdr:rowOff>139700</xdr:rowOff>
              </to>
            </anchor>
          </controlPr>
        </control>
      </mc:Choice>
      <mc:Fallback>
        <control shapeId="5121" r:id="rId4" name="btnPanel"/>
      </mc:Fallback>
    </mc:AlternateContent>
    <mc:AlternateContent xmlns:mc="http://schemas.openxmlformats.org/markup-compatibility/2006">
      <mc:Choice Requires="x14">
        <control shapeId="5122" r:id="rId6" name="btnPrint">
          <controlPr defaultSize="0" print="0" disabled="1" autoFill="0" autoLine="0" r:id="rId7">
            <anchor>
              <from>
                <xdr:col>6</xdr:col>
                <xdr:colOff>88900</xdr:colOff>
                <xdr:row>0</xdr:row>
                <xdr:rowOff>127000</xdr:rowOff>
              </from>
              <to>
                <xdr:col>7</xdr:col>
                <xdr:colOff>368300</xdr:colOff>
                <xdr:row>2</xdr:row>
                <xdr:rowOff>63500</xdr:rowOff>
              </to>
            </anchor>
          </controlPr>
        </control>
      </mc:Choice>
      <mc:Fallback>
        <control shapeId="5122" r:id="rId6" name="btnPrint"/>
      </mc:Fallback>
    </mc:AlternateContent>
    <mc:AlternateContent xmlns:mc="http://schemas.openxmlformats.org/markup-compatibility/2006">
      <mc:Choice Requires="x14">
        <control shapeId="5123" r:id="rId8" name="spinPage">
          <controlPr defaultSize="0" print="0" disabled="1" autoFill="0" autoLine="0" r:id="rId9">
            <anchor>
              <from>
                <xdr:col>0</xdr:col>
                <xdr:colOff>628650</xdr:colOff>
                <xdr:row>0</xdr:row>
                <xdr:rowOff>146050</xdr:rowOff>
              </from>
              <to>
                <xdr:col>0</xdr:col>
                <xdr:colOff>1111250</xdr:colOff>
                <xdr:row>2</xdr:row>
                <xdr:rowOff>50800</xdr:rowOff>
              </to>
            </anchor>
          </controlPr>
        </control>
      </mc:Choice>
      <mc:Fallback>
        <control shapeId="5123" r:id="rId8" name="spinPage"/>
      </mc:Fallback>
    </mc:AlternateContent>
    <mc:AlternateContent xmlns:mc="http://schemas.openxmlformats.org/markup-compatibility/2006">
      <mc:Choice Requires="x14">
        <control shapeId="5124" r:id="rId10" name="txtFrom">
          <controlPr defaultSize="0" print="0" disabled="1" autoFill="0" autoLine="0" r:id="rId11">
            <anchor>
              <from>
                <xdr:col>1</xdr:col>
                <xdr:colOff>679450</xdr:colOff>
                <xdr:row>0</xdr:row>
                <xdr:rowOff>127000</xdr:rowOff>
              </from>
              <to>
                <xdr:col>2</xdr:col>
                <xdr:colOff>69850</xdr:colOff>
                <xdr:row>2</xdr:row>
                <xdr:rowOff>63500</xdr:rowOff>
              </to>
            </anchor>
          </controlPr>
        </control>
      </mc:Choice>
      <mc:Fallback>
        <control shapeId="5124" r:id="rId10" name="txtFrom"/>
      </mc:Fallback>
    </mc:AlternateContent>
    <mc:AlternateContent xmlns:mc="http://schemas.openxmlformats.org/markup-compatibility/2006">
      <mc:Choice Requires="x14">
        <control shapeId="5125" r:id="rId12" name="txtTo">
          <controlPr defaultSize="0" print="0" disabled="1" autoFill="0" autoLine="0" r:id="rId11">
            <anchor>
              <from>
                <xdr:col>3</xdr:col>
                <xdr:colOff>0</xdr:colOff>
                <xdr:row>0</xdr:row>
                <xdr:rowOff>127000</xdr:rowOff>
              </from>
              <to>
                <xdr:col>3</xdr:col>
                <xdr:colOff>552450</xdr:colOff>
                <xdr:row>2</xdr:row>
                <xdr:rowOff>63500</xdr:rowOff>
              </to>
            </anchor>
          </controlPr>
        </control>
      </mc:Choice>
      <mc:Fallback>
        <control shapeId="5125" r:id="rId12" name="txtTo"/>
      </mc:Fallback>
    </mc:AlternateContent>
    <mc:AlternateContent xmlns:mc="http://schemas.openxmlformats.org/markup-compatibility/2006">
      <mc:Choice Requires="x14">
        <control shapeId="5126" r:id="rId13" name="txtPage">
          <controlPr defaultSize="0" print="0" disabled="1" autoFill="0" autoLine="0" r:id="rId11">
            <anchor>
              <from>
                <xdr:col>0</xdr:col>
                <xdr:colOff>57150</xdr:colOff>
                <xdr:row>0</xdr:row>
                <xdr:rowOff>127000</xdr:rowOff>
              </from>
              <to>
                <xdr:col>0</xdr:col>
                <xdr:colOff>609600</xdr:colOff>
                <xdr:row>2</xdr:row>
                <xdr:rowOff>63500</xdr:rowOff>
              </to>
            </anchor>
          </controlPr>
        </control>
      </mc:Choice>
      <mc:Fallback>
        <control shapeId="5126" r:id="rId13" name="txtPage"/>
      </mc:Fallback>
    </mc:AlternateContent>
    <mc:AlternateContent xmlns:mc="http://schemas.openxmlformats.org/markup-compatibility/2006">
      <mc:Choice Requires="x14">
        <control shapeId="5127" r:id="rId14" name="btnPreview">
          <controlPr defaultSize="0" print="0" disabled="1" autoFill="0" autoLine="0" r:id="rId15">
            <anchor>
              <from>
                <xdr:col>4</xdr:col>
                <xdr:colOff>19050</xdr:colOff>
                <xdr:row>0</xdr:row>
                <xdr:rowOff>127000</xdr:rowOff>
              </from>
              <to>
                <xdr:col>6</xdr:col>
                <xdr:colOff>82550</xdr:colOff>
                <xdr:row>2</xdr:row>
                <xdr:rowOff>63500</xdr:rowOff>
              </to>
            </anchor>
          </controlPr>
        </control>
      </mc:Choice>
      <mc:Fallback>
        <control shapeId="5127" r:id="rId14" name="btnPreview"/>
      </mc:Fallback>
    </mc:AlternateContent>
    <mc:AlternateContent xmlns:mc="http://schemas.openxmlformats.org/markup-compatibility/2006">
      <mc:Choice Requires="x14">
        <control shapeId="5128" r:id="rId16" name="btnList">
          <controlPr defaultSize="0" print="0" autoFill="0" autoLine="0" r:id="rId17">
            <anchor>
              <from>
                <xdr:col>7</xdr:col>
                <xdr:colOff>412750</xdr:colOff>
                <xdr:row>0</xdr:row>
                <xdr:rowOff>127000</xdr:rowOff>
              </from>
              <to>
                <xdr:col>9</xdr:col>
                <xdr:colOff>476250</xdr:colOff>
                <xdr:row>2</xdr:row>
                <xdr:rowOff>63500</xdr:rowOff>
              </to>
            </anchor>
          </controlPr>
        </control>
      </mc:Choice>
      <mc:Fallback>
        <control shapeId="5128" r:id="rId16" name="btnList"/>
      </mc:Fallback>
    </mc:AlternateContent>
    <mc:AlternateContent xmlns:mc="http://schemas.openxmlformats.org/markup-compatibility/2006">
      <mc:Choice Requires="x14">
        <control shapeId="5129" r:id="rId18" name="Label1">
          <controlPr print="0" autoFill="0" autoLine="0" r:id="rId19">
            <anchor>
              <from>
                <xdr:col>1</xdr:col>
                <xdr:colOff>0</xdr:colOff>
                <xdr:row>1</xdr:row>
                <xdr:rowOff>19050</xdr:rowOff>
              </from>
              <to>
                <xdr:col>1</xdr:col>
                <xdr:colOff>704850</xdr:colOff>
                <xdr:row>2</xdr:row>
                <xdr:rowOff>57150</xdr:rowOff>
              </to>
            </anchor>
          </controlPr>
        </control>
      </mc:Choice>
      <mc:Fallback>
        <control shapeId="5129" r:id="rId18" name="Label1"/>
      </mc:Fallback>
    </mc:AlternateContent>
    <mc:AlternateContent xmlns:mc="http://schemas.openxmlformats.org/markup-compatibility/2006">
      <mc:Choice Requires="x14">
        <control shapeId="5130" r:id="rId20" name="Label2">
          <controlPr print="0" autoFill="0" autoLine="0" r:id="rId21">
            <anchor>
              <from>
                <xdr:col>2</xdr:col>
                <xdr:colOff>38100</xdr:colOff>
                <xdr:row>1</xdr:row>
                <xdr:rowOff>19050</xdr:rowOff>
              </from>
              <to>
                <xdr:col>2</xdr:col>
                <xdr:colOff>228600</xdr:colOff>
                <xdr:row>2</xdr:row>
                <xdr:rowOff>6350</xdr:rowOff>
              </to>
            </anchor>
          </controlPr>
        </control>
      </mc:Choice>
      <mc:Fallback>
        <control shapeId="5130" r:id="rId20" name="Label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66"/>
  <sheetViews>
    <sheetView tabSelected="1" view="pageBreakPreview" zoomScaleNormal="100" zoomScaleSheetLayoutView="100" workbookViewId="0">
      <selection activeCell="F26" sqref="F26"/>
    </sheetView>
  </sheetViews>
  <sheetFormatPr defaultColWidth="3.453125" defaultRowHeight="13" x14ac:dyDescent="0.2"/>
  <cols>
    <col min="1" max="1" width="18.6328125" customWidth="1"/>
    <col min="2" max="2" width="16.6328125" style="9" customWidth="1"/>
    <col min="3" max="3" width="3.6328125" customWidth="1"/>
    <col min="4" max="4" width="8.6328125" customWidth="1"/>
    <col min="5" max="5" width="3.6328125" customWidth="1"/>
    <col min="6" max="6" width="8.6328125" customWidth="1"/>
    <col min="7" max="7" width="3.6328125" customWidth="1"/>
    <col min="8" max="8" width="8.6328125" customWidth="1"/>
    <col min="9" max="9" width="3.6328125" customWidth="1"/>
    <col min="10" max="10" width="8.6328125" customWidth="1"/>
    <col min="11" max="11" width="3.6328125" customWidth="1"/>
    <col min="12" max="12" width="8.6328125" customWidth="1"/>
  </cols>
  <sheetData>
    <row r="1" spans="1:12" ht="12.75" customHeight="1" x14ac:dyDescent="0.2">
      <c r="A1" s="171" t="e">
        <f ca="1">発行年月日</f>
        <v>#NAME?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</row>
    <row r="2" spans="1:12" ht="20.149999999999999" customHeight="1" x14ac:dyDescent="0.2">
      <c r="A2" s="180" t="s">
        <v>285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2"/>
    </row>
    <row r="3" spans="1:12" ht="12.75" customHeight="1" x14ac:dyDescent="0.2">
      <c r="A3" s="12" t="s">
        <v>200</v>
      </c>
      <c r="B3" s="13" t="s">
        <v>199</v>
      </c>
      <c r="C3" s="172" t="s">
        <v>201</v>
      </c>
      <c r="D3" s="173"/>
      <c r="E3" s="183"/>
      <c r="F3" s="13" t="s">
        <v>167</v>
      </c>
      <c r="G3" s="13" t="s">
        <v>168</v>
      </c>
      <c r="H3" s="172" t="s">
        <v>202</v>
      </c>
      <c r="I3" s="173"/>
      <c r="J3" s="172" t="s">
        <v>203</v>
      </c>
      <c r="K3" s="173"/>
      <c r="L3" s="174"/>
    </row>
    <row r="4" spans="1:12" ht="13" customHeight="1" x14ac:dyDescent="0.2">
      <c r="A4" s="14" t="s">
        <v>1200</v>
      </c>
      <c r="B4" s="15"/>
      <c r="C4" s="184"/>
      <c r="D4" s="185"/>
      <c r="E4" s="186"/>
      <c r="F4" s="18"/>
      <c r="G4" s="15"/>
      <c r="H4" s="175"/>
      <c r="I4" s="176"/>
      <c r="J4" s="177"/>
      <c r="K4" s="178"/>
      <c r="L4" s="179"/>
    </row>
    <row r="5" spans="1:12" ht="13" customHeight="1" x14ac:dyDescent="0.2">
      <c r="A5" s="187" t="s">
        <v>197</v>
      </c>
      <c r="B5" s="15"/>
      <c r="C5" s="165" t="s">
        <v>1203</v>
      </c>
      <c r="D5" s="168"/>
      <c r="E5" s="167"/>
      <c r="F5" s="167"/>
      <c r="G5" s="167"/>
      <c r="H5" s="167"/>
      <c r="I5" s="167"/>
      <c r="J5" s="167"/>
      <c r="K5" s="165"/>
      <c r="L5" s="164"/>
    </row>
    <row r="6" spans="1:12" ht="13" customHeight="1" x14ac:dyDescent="0.2">
      <c r="A6" s="188"/>
      <c r="B6" s="15" t="s">
        <v>278</v>
      </c>
      <c r="C6" s="163"/>
      <c r="D6" s="166"/>
      <c r="E6" s="163"/>
      <c r="F6" s="166"/>
      <c r="G6" s="163"/>
      <c r="H6" s="166"/>
      <c r="I6" s="163"/>
      <c r="J6" s="166"/>
      <c r="K6" s="163"/>
      <c r="L6" s="164"/>
    </row>
    <row r="7" spans="1:12" s="11" customFormat="1" ht="13" customHeight="1" x14ac:dyDescent="0.2">
      <c r="A7" s="151" t="s">
        <v>182</v>
      </c>
      <c r="B7" s="133" t="s">
        <v>373</v>
      </c>
      <c r="C7" s="16"/>
      <c r="D7" s="22"/>
      <c r="E7" s="16"/>
      <c r="F7" s="17"/>
      <c r="G7" s="16"/>
      <c r="H7" s="17"/>
      <c r="I7" s="16"/>
      <c r="J7" s="17"/>
      <c r="K7" s="66"/>
      <c r="L7" s="71"/>
    </row>
    <row r="8" spans="1:12" s="11" customFormat="1" ht="13" customHeight="1" x14ac:dyDescent="0.2">
      <c r="A8" s="23" t="s">
        <v>204</v>
      </c>
      <c r="B8" s="21" t="s">
        <v>1199</v>
      </c>
      <c r="C8" s="16" t="s">
        <v>1204</v>
      </c>
      <c r="D8" s="24"/>
      <c r="E8" s="16"/>
      <c r="F8" s="24"/>
      <c r="G8" s="16"/>
      <c r="H8" s="24"/>
      <c r="I8" s="16"/>
      <c r="J8" s="24"/>
      <c r="K8" s="16"/>
      <c r="L8" s="24"/>
    </row>
    <row r="9" spans="1:12" s="11" customFormat="1" ht="13" customHeight="1" x14ac:dyDescent="0.2">
      <c r="A9" s="23" t="s">
        <v>205</v>
      </c>
      <c r="B9" s="21"/>
      <c r="C9" s="16"/>
      <c r="D9" s="24" t="s">
        <v>1205</v>
      </c>
      <c r="E9" s="16"/>
      <c r="F9" s="61"/>
      <c r="G9" s="16"/>
      <c r="H9" s="24"/>
      <c r="I9" s="16"/>
      <c r="J9" s="24"/>
      <c r="K9" s="16"/>
      <c r="L9" s="72"/>
    </row>
    <row r="10" spans="1:12" s="11" customFormat="1" ht="13" customHeight="1" x14ac:dyDescent="0.2">
      <c r="A10" s="23" t="s">
        <v>198</v>
      </c>
      <c r="B10" s="21"/>
      <c r="C10" s="16"/>
      <c r="D10" s="25"/>
      <c r="E10" s="16"/>
      <c r="F10" s="69"/>
      <c r="G10" s="16"/>
      <c r="H10" s="25"/>
      <c r="I10" s="16"/>
      <c r="J10" s="25"/>
      <c r="K10" s="16"/>
      <c r="L10" s="73"/>
    </row>
    <row r="11" spans="1:12" s="11" customFormat="1" ht="13" customHeight="1" x14ac:dyDescent="0.2">
      <c r="A11" s="23" t="s">
        <v>878</v>
      </c>
      <c r="B11" s="21"/>
      <c r="C11" s="16"/>
      <c r="D11" s="27"/>
      <c r="E11" s="16"/>
      <c r="F11" s="62"/>
      <c r="G11" s="16"/>
      <c r="H11" s="27"/>
      <c r="I11" s="16"/>
      <c r="J11" s="27"/>
      <c r="K11" s="16"/>
      <c r="L11" s="77"/>
    </row>
    <row r="12" spans="1:12" s="11" customFormat="1" ht="13" customHeight="1" x14ac:dyDescent="0.2">
      <c r="A12" s="23" t="s">
        <v>879</v>
      </c>
      <c r="B12" s="21"/>
      <c r="C12" s="16"/>
      <c r="D12" s="27"/>
      <c r="E12" s="16"/>
      <c r="F12" s="62"/>
      <c r="G12" s="16"/>
      <c r="H12" s="27"/>
      <c r="I12" s="16"/>
      <c r="J12" s="27"/>
      <c r="K12" s="16"/>
      <c r="L12" s="77"/>
    </row>
    <row r="13" spans="1:12" s="11" customFormat="1" ht="13" customHeight="1" x14ac:dyDescent="0.2">
      <c r="A13" s="23" t="s">
        <v>880</v>
      </c>
      <c r="B13" s="21"/>
      <c r="C13" s="16"/>
      <c r="D13" s="27"/>
      <c r="E13" s="16"/>
      <c r="F13" s="62"/>
      <c r="G13" s="16"/>
      <c r="H13" s="27"/>
      <c r="I13" s="16"/>
      <c r="J13" s="27"/>
      <c r="K13" s="16"/>
      <c r="L13" s="77"/>
    </row>
    <row r="14" spans="1:12" s="11" customFormat="1" ht="13" customHeight="1" x14ac:dyDescent="0.2">
      <c r="A14" s="23" t="s">
        <v>881</v>
      </c>
      <c r="B14" s="21"/>
      <c r="C14" s="16"/>
      <c r="D14" s="27"/>
      <c r="E14" s="114"/>
      <c r="F14" s="62"/>
      <c r="G14" s="114"/>
      <c r="H14" s="27"/>
      <c r="I14" s="114"/>
      <c r="J14" s="27"/>
      <c r="K14" s="114"/>
      <c r="L14" s="77"/>
    </row>
    <row r="15" spans="1:12" s="11" customFormat="1" ht="13" customHeight="1" x14ac:dyDescent="0.2">
      <c r="A15" s="23" t="s">
        <v>882</v>
      </c>
      <c r="B15" s="21"/>
      <c r="C15" s="16"/>
      <c r="D15" s="27"/>
      <c r="E15" s="16"/>
      <c r="F15" s="62"/>
      <c r="G15" s="16"/>
      <c r="H15" s="27"/>
      <c r="I15" s="16"/>
      <c r="J15" s="27"/>
      <c r="K15" s="16"/>
      <c r="L15" s="77"/>
    </row>
    <row r="16" spans="1:12" s="11" customFormat="1" ht="13" customHeight="1" x14ac:dyDescent="0.2">
      <c r="A16" s="23" t="s">
        <v>883</v>
      </c>
      <c r="B16" s="21"/>
      <c r="C16" s="16"/>
      <c r="D16" s="27"/>
      <c r="E16" s="114"/>
      <c r="F16" s="62"/>
      <c r="G16" s="114"/>
      <c r="H16" s="27"/>
      <c r="I16" s="114"/>
      <c r="J16" s="27"/>
      <c r="K16" s="114"/>
      <c r="L16" s="77"/>
    </row>
    <row r="17" spans="1:12" s="11" customFormat="1" ht="12.75" customHeight="1" x14ac:dyDescent="0.2">
      <c r="A17" s="23" t="s">
        <v>206</v>
      </c>
      <c r="B17" s="21"/>
      <c r="C17" s="16"/>
      <c r="D17" s="24"/>
      <c r="E17" s="16"/>
      <c r="F17" s="61"/>
      <c r="G17" s="16"/>
      <c r="H17" s="24"/>
      <c r="I17" s="16"/>
      <c r="J17" s="24"/>
      <c r="K17" s="16"/>
      <c r="L17" s="72"/>
    </row>
    <row r="18" spans="1:12" s="11" customFormat="1" ht="13" customHeight="1" x14ac:dyDescent="0.2">
      <c r="A18" s="23" t="s">
        <v>884</v>
      </c>
      <c r="B18" s="21"/>
      <c r="C18" s="16"/>
      <c r="D18" s="27"/>
      <c r="E18" s="114"/>
      <c r="F18" s="27"/>
      <c r="G18" s="114"/>
      <c r="H18" s="27"/>
      <c r="I18" s="114"/>
      <c r="J18" s="27"/>
      <c r="K18" s="114"/>
      <c r="L18" s="77"/>
    </row>
    <row r="19" spans="1:12" s="11" customFormat="1" ht="13" customHeight="1" x14ac:dyDescent="0.2">
      <c r="A19" s="151" t="s">
        <v>210</v>
      </c>
      <c r="B19" s="21"/>
      <c r="C19" s="16"/>
      <c r="D19" s="22"/>
      <c r="E19" s="16"/>
      <c r="F19" s="17"/>
      <c r="G19" s="16"/>
      <c r="H19" s="17"/>
      <c r="I19" s="16"/>
      <c r="J19" s="17"/>
      <c r="K19" s="16"/>
      <c r="L19" s="76"/>
    </row>
    <row r="20" spans="1:12" s="11" customFormat="1" ht="13" customHeight="1" x14ac:dyDescent="0.2">
      <c r="A20" s="23" t="s">
        <v>211</v>
      </c>
      <c r="B20" s="21"/>
      <c r="C20" s="16"/>
      <c r="D20" s="27"/>
      <c r="E20" s="16"/>
      <c r="F20" s="62"/>
      <c r="G20" s="16"/>
      <c r="H20" s="27"/>
      <c r="I20" s="16"/>
      <c r="J20" s="27"/>
      <c r="K20" s="16"/>
      <c r="L20" s="77"/>
    </row>
    <row r="21" spans="1:12" s="11" customFormat="1" ht="13" customHeight="1" x14ac:dyDescent="0.2">
      <c r="A21" s="23" t="s">
        <v>212</v>
      </c>
      <c r="B21" s="21"/>
      <c r="C21" s="16"/>
      <c r="D21" s="27"/>
      <c r="E21" s="16"/>
      <c r="F21" s="62"/>
      <c r="G21" s="16"/>
      <c r="H21" s="27"/>
      <c r="I21" s="16"/>
      <c r="J21" s="27"/>
      <c r="K21" s="16"/>
      <c r="L21" s="77"/>
    </row>
    <row r="22" spans="1:12" s="11" customFormat="1" ht="13" customHeight="1" x14ac:dyDescent="0.2">
      <c r="A22" s="23" t="s">
        <v>358</v>
      </c>
      <c r="B22" s="21"/>
      <c r="C22" s="16"/>
      <c r="D22" s="27"/>
      <c r="E22" s="16"/>
      <c r="F22" s="62"/>
      <c r="G22" s="16"/>
      <c r="H22" s="27"/>
      <c r="I22" s="16"/>
      <c r="J22" s="27"/>
      <c r="K22" s="16"/>
      <c r="L22" s="77"/>
    </row>
    <row r="23" spans="1:12" s="11" customFormat="1" ht="13" customHeight="1" x14ac:dyDescent="0.2">
      <c r="A23" s="23" t="s">
        <v>359</v>
      </c>
      <c r="B23" s="21"/>
      <c r="C23" s="16"/>
      <c r="D23" s="27"/>
      <c r="E23" s="16"/>
      <c r="F23" s="62"/>
      <c r="G23" s="16"/>
      <c r="H23" s="27"/>
      <c r="I23" s="16"/>
      <c r="J23" s="27"/>
      <c r="K23" s="16"/>
      <c r="L23" s="77"/>
    </row>
    <row r="24" spans="1:12" s="11" customFormat="1" ht="13" customHeight="1" x14ac:dyDescent="0.2">
      <c r="A24" s="151" t="s">
        <v>184</v>
      </c>
      <c r="B24" s="21"/>
      <c r="C24" s="16"/>
      <c r="D24" s="22"/>
      <c r="E24" s="16"/>
      <c r="F24" s="56"/>
      <c r="G24" s="16"/>
      <c r="H24" s="17"/>
      <c r="I24" s="16"/>
      <c r="J24" s="17"/>
      <c r="K24" s="16"/>
      <c r="L24" s="76"/>
    </row>
    <row r="25" spans="1:12" s="11" customFormat="1" ht="13" customHeight="1" x14ac:dyDescent="0.2">
      <c r="A25" s="23" t="s">
        <v>213</v>
      </c>
      <c r="B25" s="21"/>
      <c r="C25" s="16"/>
      <c r="D25" s="24"/>
      <c r="E25" s="16"/>
      <c r="F25" s="61"/>
      <c r="G25" s="16"/>
      <c r="H25" s="24"/>
      <c r="I25" s="16"/>
      <c r="J25" s="24"/>
      <c r="K25" s="16"/>
      <c r="L25" s="72"/>
    </row>
    <row r="26" spans="1:12" s="11" customFormat="1" ht="13" customHeight="1" x14ac:dyDescent="0.2">
      <c r="A26" s="151" t="s">
        <v>1123</v>
      </c>
      <c r="B26" s="21"/>
      <c r="C26" s="16"/>
      <c r="D26" s="22"/>
      <c r="E26" s="16"/>
      <c r="F26" s="56"/>
      <c r="G26" s="16"/>
      <c r="H26" s="17"/>
      <c r="I26" s="16"/>
      <c r="J26" s="17"/>
      <c r="K26" s="16"/>
      <c r="L26" s="76"/>
    </row>
    <row r="27" spans="1:12" s="11" customFormat="1" ht="13" customHeight="1" x14ac:dyDescent="0.2">
      <c r="A27" s="23" t="s">
        <v>215</v>
      </c>
      <c r="B27" s="21"/>
      <c r="C27" s="16"/>
      <c r="D27" s="24"/>
      <c r="E27" s="112"/>
      <c r="F27" s="61"/>
      <c r="G27" s="112"/>
      <c r="H27" s="24"/>
      <c r="I27" s="112"/>
      <c r="J27" s="24"/>
      <c r="K27" s="112"/>
      <c r="L27" s="72"/>
    </row>
    <row r="28" spans="1:12" s="11" customFormat="1" ht="12" x14ac:dyDescent="0.2">
      <c r="A28" s="135" t="s">
        <v>360</v>
      </c>
      <c r="B28" s="134"/>
      <c r="C28" s="16"/>
      <c r="D28" s="25"/>
      <c r="E28" s="16"/>
      <c r="F28" s="69"/>
      <c r="G28" s="16"/>
      <c r="H28" s="25"/>
      <c r="I28" s="16"/>
      <c r="J28" s="25"/>
      <c r="K28" s="16"/>
      <c r="L28" s="73"/>
    </row>
    <row r="29" spans="1:12" s="11" customFormat="1" ht="12" x14ac:dyDescent="0.2">
      <c r="A29" s="135" t="s">
        <v>1136</v>
      </c>
      <c r="B29" s="134"/>
      <c r="C29" s="16"/>
      <c r="D29" s="25"/>
      <c r="E29" s="16"/>
      <c r="F29" s="69"/>
      <c r="G29" s="16"/>
      <c r="H29" s="25"/>
      <c r="I29" s="16"/>
      <c r="J29" s="25"/>
      <c r="K29" s="16"/>
      <c r="L29" s="73"/>
    </row>
    <row r="30" spans="1:12" s="11" customFormat="1" ht="13" customHeight="1" x14ac:dyDescent="0.2">
      <c r="A30" s="23" t="s">
        <v>885</v>
      </c>
      <c r="B30" s="21"/>
      <c r="C30" s="16"/>
      <c r="D30" s="27"/>
      <c r="E30" s="114"/>
      <c r="F30" s="27"/>
      <c r="G30" s="114"/>
      <c r="H30" s="27"/>
      <c r="I30" s="114"/>
      <c r="J30" s="27"/>
      <c r="K30" s="114"/>
      <c r="L30" s="77"/>
    </row>
    <row r="31" spans="1:12" s="11" customFormat="1" ht="13" customHeight="1" x14ac:dyDescent="0.2">
      <c r="A31" s="23" t="s">
        <v>886</v>
      </c>
      <c r="B31" s="21"/>
      <c r="C31" s="16"/>
      <c r="D31" s="24"/>
      <c r="E31" s="112"/>
      <c r="F31" s="24"/>
      <c r="G31" s="112"/>
      <c r="H31" s="24"/>
      <c r="I31" s="112"/>
      <c r="J31" s="24"/>
      <c r="K31" s="112"/>
      <c r="L31" s="72"/>
    </row>
    <row r="32" spans="1:12" s="11" customFormat="1" ht="13" customHeight="1" x14ac:dyDescent="0.2">
      <c r="A32" s="23" t="s">
        <v>887</v>
      </c>
      <c r="B32" s="21"/>
      <c r="C32" s="16"/>
      <c r="D32" s="27"/>
      <c r="E32" s="114"/>
      <c r="F32" s="27"/>
      <c r="G32" s="114"/>
      <c r="H32" s="27"/>
      <c r="I32" s="114"/>
      <c r="J32" s="27"/>
      <c r="K32" s="114"/>
      <c r="L32" s="77"/>
    </row>
    <row r="33" spans="1:12" s="11" customFormat="1" ht="13" customHeight="1" x14ac:dyDescent="0.2">
      <c r="A33" s="23" t="s">
        <v>361</v>
      </c>
      <c r="B33" s="21"/>
      <c r="C33" s="16"/>
      <c r="D33" s="24"/>
      <c r="E33" s="112"/>
      <c r="F33" s="24"/>
      <c r="G33" s="112"/>
      <c r="H33" s="24"/>
      <c r="I33" s="112"/>
      <c r="J33" s="24"/>
      <c r="K33" s="112"/>
      <c r="L33" s="72"/>
    </row>
    <row r="34" spans="1:12" s="11" customFormat="1" ht="13" customHeight="1" x14ac:dyDescent="0.2">
      <c r="A34" s="23" t="s">
        <v>362</v>
      </c>
      <c r="B34" s="21"/>
      <c r="C34" s="16"/>
      <c r="D34" s="24"/>
      <c r="E34" s="112"/>
      <c r="F34" s="24"/>
      <c r="G34" s="112"/>
      <c r="H34" s="24"/>
      <c r="I34" s="112"/>
      <c r="J34" s="24"/>
      <c r="K34" s="112"/>
      <c r="L34" s="72"/>
    </row>
    <row r="35" spans="1:12" s="11" customFormat="1" ht="13" customHeight="1" x14ac:dyDescent="0.2">
      <c r="A35" s="151" t="s">
        <v>216</v>
      </c>
      <c r="B35" s="21"/>
      <c r="C35" s="16"/>
      <c r="D35" s="22"/>
      <c r="E35" s="16"/>
      <c r="F35" s="17"/>
      <c r="G35" s="16"/>
      <c r="H35" s="17"/>
      <c r="I35" s="16"/>
      <c r="J35" s="17"/>
      <c r="K35" s="16"/>
      <c r="L35" s="76"/>
    </row>
    <row r="36" spans="1:12" s="11" customFormat="1" ht="13" customHeight="1" x14ac:dyDescent="0.2">
      <c r="A36" s="23" t="s">
        <v>647</v>
      </c>
      <c r="B36" s="21"/>
      <c r="C36" s="16"/>
      <c r="D36" s="24"/>
      <c r="E36" s="16"/>
      <c r="F36" s="61"/>
      <c r="G36" s="16"/>
      <c r="H36" s="24"/>
      <c r="I36" s="16"/>
      <c r="J36" s="24"/>
      <c r="K36" s="16"/>
      <c r="L36" s="72"/>
    </row>
    <row r="37" spans="1:12" s="11" customFormat="1" ht="13" customHeight="1" x14ac:dyDescent="0.2">
      <c r="A37" s="23" t="s">
        <v>56</v>
      </c>
      <c r="B37" s="21"/>
      <c r="C37" s="16"/>
      <c r="D37" s="24"/>
      <c r="E37" s="16"/>
      <c r="F37" s="61"/>
      <c r="G37" s="16"/>
      <c r="H37" s="24"/>
      <c r="I37" s="16"/>
      <c r="J37" s="24"/>
      <c r="K37" s="16"/>
      <c r="L37" s="72"/>
    </row>
    <row r="38" spans="1:12" s="11" customFormat="1" ht="13" customHeight="1" x14ac:dyDescent="0.2">
      <c r="A38" s="23" t="s">
        <v>217</v>
      </c>
      <c r="B38" s="21"/>
      <c r="C38" s="16"/>
      <c r="D38" s="27"/>
      <c r="E38" s="16"/>
      <c r="F38" s="62"/>
      <c r="G38" s="16"/>
      <c r="H38" s="27"/>
      <c r="I38" s="16"/>
      <c r="J38" s="27"/>
      <c r="K38" s="16"/>
      <c r="L38" s="77"/>
    </row>
    <row r="39" spans="1:12" s="11" customFormat="1" ht="13" customHeight="1" x14ac:dyDescent="0.2">
      <c r="A39" s="23" t="s">
        <v>218</v>
      </c>
      <c r="B39" s="21"/>
      <c r="C39" s="16"/>
      <c r="D39" s="27"/>
      <c r="E39" s="114"/>
      <c r="F39" s="62"/>
      <c r="G39" s="114"/>
      <c r="H39" s="27"/>
      <c r="I39" s="114"/>
      <c r="J39" s="27"/>
      <c r="K39" s="114"/>
      <c r="L39" s="77"/>
    </row>
    <row r="40" spans="1:12" s="11" customFormat="1" ht="13" customHeight="1" x14ac:dyDescent="0.2">
      <c r="A40" s="23" t="s">
        <v>219</v>
      </c>
      <c r="B40" s="21"/>
      <c r="C40" s="16"/>
      <c r="D40" s="27"/>
      <c r="E40" s="114"/>
      <c r="F40" s="62"/>
      <c r="G40" s="114"/>
      <c r="H40" s="27"/>
      <c r="I40" s="114"/>
      <c r="J40" s="27"/>
      <c r="K40" s="114"/>
      <c r="L40" s="77"/>
    </row>
    <row r="41" spans="1:12" s="11" customFormat="1" ht="13" customHeight="1" x14ac:dyDescent="0.2">
      <c r="A41" s="23" t="s">
        <v>265</v>
      </c>
      <c r="B41" s="21"/>
      <c r="C41" s="16"/>
      <c r="D41" s="24"/>
      <c r="E41" s="114"/>
      <c r="F41" s="61"/>
      <c r="G41" s="114"/>
      <c r="H41" s="24"/>
      <c r="I41" s="114"/>
      <c r="J41" s="24"/>
      <c r="K41" s="114"/>
      <c r="L41" s="72"/>
    </row>
    <row r="42" spans="1:12" s="11" customFormat="1" ht="13" customHeight="1" x14ac:dyDescent="0.2">
      <c r="A42" s="23" t="s">
        <v>328</v>
      </c>
      <c r="B42" s="21"/>
      <c r="C42" s="16"/>
      <c r="D42" s="24"/>
      <c r="E42" s="114"/>
      <c r="F42" s="61"/>
      <c r="G42" s="114"/>
      <c r="H42" s="24"/>
      <c r="I42" s="114"/>
      <c r="J42" s="24"/>
      <c r="K42" s="114"/>
      <c r="L42" s="72"/>
    </row>
    <row r="43" spans="1:12" s="11" customFormat="1" ht="13" customHeight="1" x14ac:dyDescent="0.2">
      <c r="A43" s="23" t="s">
        <v>451</v>
      </c>
      <c r="B43" s="21"/>
      <c r="C43" s="16"/>
      <c r="D43" s="24"/>
      <c r="E43" s="114"/>
      <c r="F43" s="61"/>
      <c r="G43" s="114"/>
      <c r="H43" s="24"/>
      <c r="I43" s="114"/>
      <c r="J43" s="24"/>
      <c r="K43" s="114"/>
      <c r="L43" s="72"/>
    </row>
    <row r="44" spans="1:12" s="11" customFormat="1" ht="13" customHeight="1" x14ac:dyDescent="0.2">
      <c r="A44" s="151" t="s">
        <v>185</v>
      </c>
      <c r="B44" s="21"/>
      <c r="C44" s="16"/>
      <c r="D44" s="22"/>
      <c r="E44" s="16"/>
      <c r="F44" s="56"/>
      <c r="G44" s="16"/>
      <c r="H44" s="17"/>
      <c r="I44" s="16"/>
      <c r="J44" s="17"/>
      <c r="K44" s="16"/>
      <c r="L44" s="76"/>
    </row>
    <row r="45" spans="1:12" s="11" customFormat="1" ht="13" customHeight="1" x14ac:dyDescent="0.2">
      <c r="A45" s="23" t="s">
        <v>266</v>
      </c>
      <c r="B45" s="21"/>
      <c r="C45" s="16"/>
      <c r="D45" s="24"/>
      <c r="E45" s="16"/>
      <c r="F45" s="61"/>
      <c r="G45" s="16"/>
      <c r="H45" s="24"/>
      <c r="I45" s="16"/>
      <c r="J45" s="24"/>
      <c r="K45" s="16"/>
      <c r="L45" s="72"/>
    </row>
    <row r="46" spans="1:12" s="11" customFormat="1" ht="13" customHeight="1" x14ac:dyDescent="0.2">
      <c r="A46" s="23" t="s">
        <v>267</v>
      </c>
      <c r="B46" s="21"/>
      <c r="C46" s="16"/>
      <c r="D46" s="27"/>
      <c r="E46" s="16"/>
      <c r="F46" s="62"/>
      <c r="G46" s="16"/>
      <c r="H46" s="27"/>
      <c r="I46" s="16"/>
      <c r="J46" s="27"/>
      <c r="K46" s="16"/>
      <c r="L46" s="77"/>
    </row>
    <row r="47" spans="1:12" s="11" customFormat="1" ht="13" customHeight="1" x14ac:dyDescent="0.2">
      <c r="A47" s="155" t="s">
        <v>268</v>
      </c>
      <c r="B47" s="29"/>
      <c r="C47" s="157"/>
      <c r="D47" s="159"/>
      <c r="E47" s="157"/>
      <c r="F47" s="159"/>
      <c r="G47" s="157"/>
      <c r="H47" s="159"/>
      <c r="I47" s="157"/>
      <c r="J47" s="159"/>
      <c r="K47" s="157"/>
      <c r="L47" s="161"/>
    </row>
    <row r="48" spans="1:12" s="11" customFormat="1" ht="13" customHeight="1" x14ac:dyDescent="0.2">
      <c r="A48" s="156"/>
      <c r="B48" s="31"/>
      <c r="C48" s="158"/>
      <c r="D48" s="160"/>
      <c r="E48" s="158"/>
      <c r="F48" s="160"/>
      <c r="G48" s="158"/>
      <c r="H48" s="160"/>
      <c r="I48" s="158"/>
      <c r="J48" s="160"/>
      <c r="K48" s="158"/>
      <c r="L48" s="162"/>
    </row>
    <row r="49" spans="1:12" s="11" customFormat="1" ht="13" customHeight="1" x14ac:dyDescent="0.2">
      <c r="A49" s="155" t="s">
        <v>363</v>
      </c>
      <c r="B49" s="29"/>
      <c r="C49" s="157"/>
      <c r="D49" s="159"/>
      <c r="E49" s="157"/>
      <c r="F49" s="159"/>
      <c r="G49" s="157"/>
      <c r="H49" s="159"/>
      <c r="I49" s="157"/>
      <c r="J49" s="159"/>
      <c r="K49" s="157"/>
      <c r="L49" s="161"/>
    </row>
    <row r="50" spans="1:12" s="11" customFormat="1" ht="13" customHeight="1" x14ac:dyDescent="0.2">
      <c r="A50" s="156"/>
      <c r="B50" s="31"/>
      <c r="C50" s="158"/>
      <c r="D50" s="160"/>
      <c r="E50" s="158"/>
      <c r="F50" s="160"/>
      <c r="G50" s="158"/>
      <c r="H50" s="160"/>
      <c r="I50" s="158"/>
      <c r="J50" s="160"/>
      <c r="K50" s="158"/>
      <c r="L50" s="162"/>
    </row>
    <row r="51" spans="1:12" s="11" customFormat="1" ht="13" customHeight="1" x14ac:dyDescent="0.2">
      <c r="A51" s="155" t="s">
        <v>269</v>
      </c>
      <c r="B51" s="29"/>
      <c r="C51" s="157"/>
      <c r="D51" s="159"/>
      <c r="E51" s="157"/>
      <c r="F51" s="159"/>
      <c r="G51" s="157"/>
      <c r="H51" s="159"/>
      <c r="I51" s="157"/>
      <c r="J51" s="159"/>
      <c r="K51" s="157"/>
      <c r="L51" s="161"/>
    </row>
    <row r="52" spans="1:12" s="11" customFormat="1" ht="13" customHeight="1" x14ac:dyDescent="0.2">
      <c r="A52" s="156"/>
      <c r="B52" s="31"/>
      <c r="C52" s="158"/>
      <c r="D52" s="160"/>
      <c r="E52" s="158"/>
      <c r="F52" s="160"/>
      <c r="G52" s="158"/>
      <c r="H52" s="160"/>
      <c r="I52" s="158"/>
      <c r="J52" s="160"/>
      <c r="K52" s="158"/>
      <c r="L52" s="162"/>
    </row>
    <row r="53" spans="1:12" s="11" customFormat="1" ht="13" customHeight="1" x14ac:dyDescent="0.2">
      <c r="A53" s="155" t="s">
        <v>270</v>
      </c>
      <c r="B53" s="29"/>
      <c r="C53" s="157"/>
      <c r="D53" s="159"/>
      <c r="E53" s="157"/>
      <c r="F53" s="159"/>
      <c r="G53" s="157"/>
      <c r="H53" s="159"/>
      <c r="I53" s="157"/>
      <c r="J53" s="159"/>
      <c r="K53" s="157"/>
      <c r="L53" s="161"/>
    </row>
    <row r="54" spans="1:12" s="11" customFormat="1" ht="13" customHeight="1" x14ac:dyDescent="0.2">
      <c r="A54" s="156"/>
      <c r="B54" s="31"/>
      <c r="C54" s="158"/>
      <c r="D54" s="160"/>
      <c r="E54" s="158"/>
      <c r="F54" s="160"/>
      <c r="G54" s="158"/>
      <c r="H54" s="160"/>
      <c r="I54" s="158"/>
      <c r="J54" s="160"/>
      <c r="K54" s="158"/>
      <c r="L54" s="162"/>
    </row>
    <row r="55" spans="1:12" s="11" customFormat="1" ht="13" customHeight="1" x14ac:dyDescent="0.2">
      <c r="A55" s="155" t="s">
        <v>271</v>
      </c>
      <c r="B55" s="29"/>
      <c r="C55" s="157"/>
      <c r="D55" s="159"/>
      <c r="E55" s="157"/>
      <c r="F55" s="159"/>
      <c r="G55" s="157"/>
      <c r="H55" s="159"/>
      <c r="I55" s="157"/>
      <c r="J55" s="159"/>
      <c r="K55" s="157"/>
      <c r="L55" s="161"/>
    </row>
    <row r="56" spans="1:12" s="11" customFormat="1" ht="13" customHeight="1" x14ac:dyDescent="0.2">
      <c r="A56" s="156"/>
      <c r="B56" s="31"/>
      <c r="C56" s="158"/>
      <c r="D56" s="160"/>
      <c r="E56" s="158"/>
      <c r="F56" s="160"/>
      <c r="G56" s="158"/>
      <c r="H56" s="160"/>
      <c r="I56" s="158"/>
      <c r="J56" s="160"/>
      <c r="K56" s="158"/>
      <c r="L56" s="162"/>
    </row>
    <row r="57" spans="1:12" s="11" customFormat="1" ht="13" customHeight="1" x14ac:dyDescent="0.2">
      <c r="A57" s="23" t="s">
        <v>272</v>
      </c>
      <c r="B57" s="33"/>
      <c r="C57" s="16"/>
      <c r="D57" s="27"/>
      <c r="E57" s="16"/>
      <c r="F57" s="27"/>
      <c r="G57" s="16"/>
      <c r="H57" s="62"/>
      <c r="I57" s="16"/>
      <c r="J57" s="62"/>
      <c r="K57" s="16"/>
      <c r="L57" s="77"/>
    </row>
    <row r="58" spans="1:12" s="11" customFormat="1" ht="13" customHeight="1" x14ac:dyDescent="0.2">
      <c r="A58" s="23" t="s">
        <v>273</v>
      </c>
      <c r="B58" s="33"/>
      <c r="C58" s="16"/>
      <c r="D58" s="24"/>
      <c r="E58" s="16"/>
      <c r="F58" s="61"/>
      <c r="G58" s="16"/>
      <c r="H58" s="61"/>
      <c r="I58" s="16"/>
      <c r="J58" s="61"/>
      <c r="K58" s="16"/>
      <c r="L58" s="72"/>
    </row>
    <row r="59" spans="1:12" s="11" customFormat="1" ht="13" customHeight="1" x14ac:dyDescent="0.2">
      <c r="A59" s="151" t="s">
        <v>186</v>
      </c>
      <c r="B59" s="33"/>
      <c r="C59" s="16"/>
      <c r="D59" s="22"/>
      <c r="E59" s="16"/>
      <c r="F59" s="17"/>
      <c r="G59" s="16"/>
      <c r="H59" s="56"/>
      <c r="I59" s="16"/>
      <c r="J59" s="56"/>
      <c r="K59" s="16"/>
      <c r="L59" s="76"/>
    </row>
    <row r="60" spans="1:12" s="11" customFormat="1" ht="13" customHeight="1" x14ac:dyDescent="0.2">
      <c r="A60" s="23" t="s">
        <v>274</v>
      </c>
      <c r="B60" s="48"/>
      <c r="C60" s="16"/>
      <c r="D60" s="17"/>
      <c r="E60" s="16"/>
      <c r="F60" s="56"/>
      <c r="G60" s="16"/>
      <c r="H60" s="56"/>
      <c r="I60" s="16"/>
      <c r="J60" s="56"/>
      <c r="K60" s="16"/>
      <c r="L60" s="76"/>
    </row>
    <row r="61" spans="1:12" s="11" customFormat="1" ht="13" customHeight="1" x14ac:dyDescent="0.2">
      <c r="A61" s="23" t="s">
        <v>275</v>
      </c>
      <c r="B61" s="48"/>
      <c r="C61" s="16"/>
      <c r="D61" s="17"/>
      <c r="E61" s="16"/>
      <c r="F61" s="56"/>
      <c r="G61" s="16"/>
      <c r="H61" s="56"/>
      <c r="I61" s="16"/>
      <c r="J61" s="56"/>
      <c r="K61" s="16"/>
      <c r="L61" s="131"/>
    </row>
    <row r="62" spans="1:12" s="11" customFormat="1" ht="13" customHeight="1" x14ac:dyDescent="0.2">
      <c r="A62" s="23" t="s">
        <v>276</v>
      </c>
      <c r="B62" s="48"/>
      <c r="C62" s="16"/>
      <c r="D62" s="17"/>
      <c r="E62" s="16"/>
      <c r="F62" s="56"/>
      <c r="G62" s="16"/>
      <c r="H62" s="56"/>
      <c r="I62" s="16"/>
      <c r="J62" s="56"/>
      <c r="K62" s="16"/>
      <c r="L62" s="131"/>
    </row>
    <row r="63" spans="1:12" s="11" customFormat="1" ht="12.75" customHeight="1" x14ac:dyDescent="0.2">
      <c r="A63" s="34" t="s">
        <v>277</v>
      </c>
      <c r="B63" s="50"/>
      <c r="C63" s="109"/>
      <c r="D63" s="129"/>
      <c r="E63" s="109"/>
      <c r="F63" s="130"/>
      <c r="G63" s="109"/>
      <c r="H63" s="130"/>
      <c r="I63" s="109"/>
      <c r="J63" s="130"/>
      <c r="K63" s="109"/>
      <c r="L63" s="132"/>
    </row>
    <row r="64" spans="1:12" ht="13" customHeight="1" x14ac:dyDescent="0.2">
      <c r="A64" s="2" t="s">
        <v>1102</v>
      </c>
      <c r="B64" s="37"/>
      <c r="C64" s="37"/>
      <c r="D64" s="37"/>
      <c r="E64" s="37"/>
      <c r="F64" s="37"/>
      <c r="G64" s="37"/>
      <c r="H64" s="37"/>
      <c r="I64" s="37"/>
      <c r="J64" s="169" t="s">
        <v>1117</v>
      </c>
      <c r="K64" s="169"/>
      <c r="L64" s="169"/>
    </row>
    <row r="65" spans="1:12" ht="12.75" customHeight="1" x14ac:dyDescent="0.2">
      <c r="A65" s="2"/>
      <c r="J65" s="170"/>
      <c r="K65" s="170"/>
      <c r="L65" s="170"/>
    </row>
    <row r="66" spans="1:12" ht="1" customHeight="1" x14ac:dyDescent="0.2"/>
  </sheetData>
  <mergeCells count="75">
    <mergeCell ref="L55:L56"/>
    <mergeCell ref="K55:K56"/>
    <mergeCell ref="E55:E56"/>
    <mergeCell ref="I55:I56"/>
    <mergeCell ref="A55:A56"/>
    <mergeCell ref="G55:G56"/>
    <mergeCell ref="H55:H56"/>
    <mergeCell ref="D55:D56"/>
    <mergeCell ref="J64:L65"/>
    <mergeCell ref="A1:L1"/>
    <mergeCell ref="J3:L3"/>
    <mergeCell ref="H4:I4"/>
    <mergeCell ref="H3:I3"/>
    <mergeCell ref="J4:L4"/>
    <mergeCell ref="A2:L2"/>
    <mergeCell ref="C3:E3"/>
    <mergeCell ref="C4:E4"/>
    <mergeCell ref="C51:C52"/>
    <mergeCell ref="C53:C54"/>
    <mergeCell ref="J55:J56"/>
    <mergeCell ref="F55:F56"/>
    <mergeCell ref="C55:C56"/>
    <mergeCell ref="A5:A6"/>
    <mergeCell ref="E6:F6"/>
    <mergeCell ref="E5:F5"/>
    <mergeCell ref="G5:H5"/>
    <mergeCell ref="C6:D6"/>
    <mergeCell ref="C5:D5"/>
    <mergeCell ref="I5:J5"/>
    <mergeCell ref="F51:F52"/>
    <mergeCell ref="G53:G54"/>
    <mergeCell ref="H53:H54"/>
    <mergeCell ref="F47:F48"/>
    <mergeCell ref="F49:F50"/>
    <mergeCell ref="F53:F54"/>
    <mergeCell ref="G47:G48"/>
    <mergeCell ref="G49:G50"/>
    <mergeCell ref="I53:I54"/>
    <mergeCell ref="H47:H48"/>
    <mergeCell ref="H49:H50"/>
    <mergeCell ref="H51:H52"/>
    <mergeCell ref="I51:I52"/>
    <mergeCell ref="I47:I48"/>
    <mergeCell ref="I49:I50"/>
    <mergeCell ref="K6:L6"/>
    <mergeCell ref="K5:L5"/>
    <mergeCell ref="L47:L48"/>
    <mergeCell ref="L49:L50"/>
    <mergeCell ref="G51:G52"/>
    <mergeCell ref="K47:K48"/>
    <mergeCell ref="K49:K50"/>
    <mergeCell ref="G6:H6"/>
    <mergeCell ref="I6:J6"/>
    <mergeCell ref="L53:L54"/>
    <mergeCell ref="K51:K52"/>
    <mergeCell ref="K53:K54"/>
    <mergeCell ref="L51:L52"/>
    <mergeCell ref="J47:J48"/>
    <mergeCell ref="J49:J50"/>
    <mergeCell ref="J53:J54"/>
    <mergeCell ref="J51:J52"/>
    <mergeCell ref="A47:A48"/>
    <mergeCell ref="A49:A50"/>
    <mergeCell ref="A51:A52"/>
    <mergeCell ref="A53:A54"/>
    <mergeCell ref="E51:E52"/>
    <mergeCell ref="C47:C48"/>
    <mergeCell ref="C49:C50"/>
    <mergeCell ref="D47:D48"/>
    <mergeCell ref="D49:D50"/>
    <mergeCell ref="E49:E50"/>
    <mergeCell ref="D51:D52"/>
    <mergeCell ref="E53:E54"/>
    <mergeCell ref="E47:E48"/>
    <mergeCell ref="D53:D54"/>
  </mergeCells>
  <phoneticPr fontId="1"/>
  <pageMargins left="0.59055118110236227" right="0.23622047244094491" top="0.27559055118110237" bottom="0.19685039370078741" header="0" footer="0"/>
  <pageSetup paperSize="9" orientation="portrait" verticalDpi="300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X6"/>
  <sheetViews>
    <sheetView workbookViewId="0">
      <selection activeCell="JC9" sqref="JC9"/>
    </sheetView>
  </sheetViews>
  <sheetFormatPr defaultRowHeight="13" x14ac:dyDescent="0.2"/>
  <sheetData>
    <row r="1" spans="1:258" x14ac:dyDescent="0.2">
      <c r="B1">
        <v>1</v>
      </c>
      <c r="C1" t="s">
        <v>1171</v>
      </c>
      <c r="H1" t="s">
        <v>1172</v>
      </c>
      <c r="I1" t="s">
        <v>1173</v>
      </c>
      <c r="J1">
        <v>101</v>
      </c>
      <c r="K1" t="s">
        <v>1174</v>
      </c>
      <c r="L1" t="s">
        <v>372</v>
      </c>
      <c r="Q1" s="104" t="s">
        <v>1175</v>
      </c>
      <c r="R1" s="104" t="s">
        <v>329</v>
      </c>
      <c r="S1" s="104" t="s">
        <v>329</v>
      </c>
      <c r="T1" s="104" t="s">
        <v>329</v>
      </c>
      <c r="U1" s="104" t="s">
        <v>329</v>
      </c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  <c r="CP1" s="104"/>
      <c r="CQ1" s="104"/>
      <c r="CR1" s="104"/>
      <c r="CS1" s="104"/>
      <c r="CT1" s="104"/>
      <c r="CU1" s="104"/>
      <c r="CV1" s="104"/>
      <c r="CW1" s="104"/>
      <c r="CX1" s="104"/>
      <c r="CY1" s="104"/>
      <c r="CZ1" s="104"/>
      <c r="DA1" s="104"/>
      <c r="DB1" s="104"/>
      <c r="DC1" s="104"/>
      <c r="DD1" s="104"/>
      <c r="DE1" s="104"/>
      <c r="DF1" s="104"/>
      <c r="DG1" s="104"/>
      <c r="DH1" s="104"/>
      <c r="DI1" s="104"/>
      <c r="DJ1" s="104"/>
      <c r="DK1" s="104"/>
      <c r="DL1" s="104"/>
      <c r="DM1" s="104"/>
      <c r="DN1" s="104"/>
      <c r="DO1" s="104"/>
      <c r="DP1" s="104"/>
      <c r="DQ1" s="104"/>
      <c r="DR1" s="104"/>
      <c r="DS1" s="104"/>
      <c r="DT1" s="104"/>
      <c r="DU1" s="104"/>
      <c r="DV1" s="104"/>
      <c r="DW1" s="104"/>
      <c r="DX1" s="104"/>
      <c r="DY1" s="104"/>
      <c r="DZ1" s="104"/>
      <c r="EA1" s="104"/>
      <c r="EB1" s="104"/>
      <c r="EC1" s="104"/>
      <c r="ED1" s="104"/>
      <c r="EE1" s="104"/>
      <c r="EF1" s="104"/>
      <c r="EG1" s="104"/>
      <c r="EH1" s="104"/>
      <c r="EI1" s="104"/>
      <c r="EJ1" s="104"/>
      <c r="EK1" s="104"/>
      <c r="EL1" s="104" t="s">
        <v>372</v>
      </c>
      <c r="EM1" s="104" t="s">
        <v>372</v>
      </c>
      <c r="EN1" s="104" t="s">
        <v>372</v>
      </c>
      <c r="EO1" s="104" t="s">
        <v>372</v>
      </c>
      <c r="EP1" s="104" t="s">
        <v>372</v>
      </c>
      <c r="EQ1" s="104"/>
      <c r="ER1" s="104"/>
      <c r="ES1" s="104"/>
      <c r="ET1" s="104"/>
      <c r="EU1" s="104"/>
      <c r="EV1" s="104"/>
      <c r="EW1" s="104"/>
      <c r="EX1" s="104"/>
      <c r="EY1" s="104"/>
      <c r="EZ1" s="104"/>
      <c r="FA1" s="104"/>
      <c r="FB1" s="104"/>
      <c r="FC1" s="104"/>
      <c r="FD1" s="104"/>
      <c r="FE1" s="104"/>
      <c r="FF1" s="104"/>
      <c r="FG1" s="104"/>
      <c r="FH1" s="104"/>
      <c r="FI1" s="104"/>
      <c r="FJ1" s="104"/>
      <c r="FK1" s="104"/>
      <c r="FL1" s="104"/>
      <c r="FM1" s="104"/>
      <c r="FN1" s="104"/>
      <c r="FO1" s="104"/>
      <c r="FP1" s="104"/>
      <c r="FQ1" s="104"/>
      <c r="FR1" s="104"/>
      <c r="FS1" s="104"/>
      <c r="FT1" s="104"/>
      <c r="FU1" s="104"/>
      <c r="FV1" s="104"/>
      <c r="FW1" s="104"/>
      <c r="FX1" s="104"/>
      <c r="FY1" s="104"/>
      <c r="FZ1" s="104"/>
      <c r="GA1" s="104"/>
      <c r="GB1" s="104"/>
      <c r="GC1" s="104"/>
      <c r="GD1" s="104"/>
      <c r="GE1" s="104"/>
      <c r="GF1" s="104"/>
      <c r="GG1" s="104"/>
      <c r="GH1" s="104"/>
      <c r="GI1" s="104"/>
      <c r="GJ1" s="104"/>
      <c r="GK1" s="104"/>
      <c r="GL1" s="104"/>
      <c r="GM1" s="104"/>
      <c r="GN1" s="104"/>
      <c r="GO1" s="104"/>
      <c r="GP1" s="104"/>
      <c r="GQ1" s="104"/>
      <c r="GR1" s="104"/>
      <c r="GS1" s="104"/>
      <c r="GT1" s="104"/>
      <c r="GU1" s="104"/>
      <c r="GV1" s="104"/>
      <c r="GW1" s="104"/>
      <c r="GX1" s="104"/>
      <c r="GY1" s="104"/>
      <c r="GZ1" s="104"/>
      <c r="HA1" s="104"/>
      <c r="HB1" s="104"/>
      <c r="HC1" s="104"/>
      <c r="HD1" s="104"/>
      <c r="HE1" s="104"/>
      <c r="HF1" s="104"/>
      <c r="HG1" s="104"/>
      <c r="HH1" s="104"/>
      <c r="HI1" s="104"/>
      <c r="HJ1" s="104"/>
      <c r="HK1" s="104"/>
      <c r="HL1" s="104"/>
      <c r="HM1" s="104"/>
      <c r="HN1" s="104"/>
      <c r="HO1" s="104"/>
      <c r="HP1" s="104"/>
      <c r="HQ1" s="104"/>
      <c r="HR1" s="104"/>
      <c r="HS1" s="104"/>
      <c r="HT1" s="104"/>
      <c r="HU1" s="104"/>
      <c r="HV1" s="104"/>
      <c r="HW1" s="104"/>
      <c r="HX1" s="104"/>
      <c r="HY1" s="104"/>
      <c r="HZ1" s="104"/>
      <c r="IA1" s="104"/>
      <c r="IB1" s="104"/>
      <c r="IC1" s="104"/>
      <c r="ID1" s="104"/>
      <c r="IE1" s="104"/>
      <c r="IF1" s="104"/>
      <c r="IG1" s="104"/>
      <c r="IH1" s="104"/>
      <c r="II1" s="104"/>
      <c r="IJ1" s="104"/>
      <c r="IK1" s="104"/>
      <c r="IL1" s="104"/>
      <c r="IM1" s="104"/>
      <c r="IN1" s="104"/>
      <c r="IO1" s="104"/>
      <c r="IP1" s="104"/>
      <c r="IQ1" s="104"/>
      <c r="IR1" s="104"/>
      <c r="IS1" s="104"/>
      <c r="IT1" s="104"/>
      <c r="IU1" s="104"/>
      <c r="IV1" s="104"/>
    </row>
    <row r="2" spans="1:258" x14ac:dyDescent="0.2">
      <c r="A2">
        <v>6</v>
      </c>
      <c r="B2">
        <v>2</v>
      </c>
      <c r="C2" t="s">
        <v>1176</v>
      </c>
      <c r="H2" t="s">
        <v>1172</v>
      </c>
      <c r="I2" t="s">
        <v>1177</v>
      </c>
      <c r="J2">
        <v>53</v>
      </c>
      <c r="K2" t="s">
        <v>1174</v>
      </c>
      <c r="L2" t="s">
        <v>372</v>
      </c>
      <c r="Q2" t="s">
        <v>1175</v>
      </c>
      <c r="R2" t="s">
        <v>329</v>
      </c>
      <c r="S2" t="s">
        <v>329</v>
      </c>
      <c r="T2" t="s">
        <v>329</v>
      </c>
      <c r="U2" t="s">
        <v>329</v>
      </c>
      <c r="EL2" t="s">
        <v>372</v>
      </c>
      <c r="EM2" t="s">
        <v>372</v>
      </c>
      <c r="EN2" t="s">
        <v>372</v>
      </c>
      <c r="EO2" t="s">
        <v>372</v>
      </c>
      <c r="EP2" t="s">
        <v>372</v>
      </c>
    </row>
    <row r="3" spans="1:258" x14ac:dyDescent="0.2">
      <c r="B3">
        <v>3</v>
      </c>
      <c r="C3" t="s">
        <v>1180</v>
      </c>
      <c r="H3" t="s">
        <v>1181</v>
      </c>
      <c r="I3" t="s">
        <v>1182</v>
      </c>
      <c r="J3">
        <v>40</v>
      </c>
      <c r="K3" t="s">
        <v>1174</v>
      </c>
      <c r="L3" t="s">
        <v>372</v>
      </c>
      <c r="Q3" t="s">
        <v>1175</v>
      </c>
      <c r="R3" t="s">
        <v>329</v>
      </c>
      <c r="S3" t="s">
        <v>329</v>
      </c>
      <c r="T3" t="s">
        <v>329</v>
      </c>
      <c r="U3" t="s">
        <v>329</v>
      </c>
      <c r="EL3" t="s">
        <v>372</v>
      </c>
      <c r="EM3" t="s">
        <v>372</v>
      </c>
      <c r="EN3" t="s">
        <v>372</v>
      </c>
      <c r="EO3" t="s">
        <v>372</v>
      </c>
      <c r="EP3" t="s">
        <v>372</v>
      </c>
    </row>
    <row r="4" spans="1:258" x14ac:dyDescent="0.2">
      <c r="A4" t="s">
        <v>1170</v>
      </c>
      <c r="B4">
        <v>4</v>
      </c>
      <c r="C4" t="s">
        <v>1183</v>
      </c>
      <c r="H4" t="s">
        <v>1181</v>
      </c>
      <c r="I4" t="s">
        <v>1184</v>
      </c>
      <c r="J4">
        <v>45</v>
      </c>
      <c r="K4" t="s">
        <v>1174</v>
      </c>
      <c r="L4" t="s">
        <v>372</v>
      </c>
      <c r="Q4" t="s">
        <v>1175</v>
      </c>
      <c r="R4" t="s">
        <v>329</v>
      </c>
      <c r="S4" t="s">
        <v>329</v>
      </c>
      <c r="T4" t="s">
        <v>329</v>
      </c>
      <c r="U4" t="s">
        <v>329</v>
      </c>
      <c r="EL4" t="s">
        <v>372</v>
      </c>
      <c r="EM4" t="s">
        <v>372</v>
      </c>
      <c r="EN4" t="s">
        <v>372</v>
      </c>
      <c r="EO4" t="s">
        <v>372</v>
      </c>
      <c r="EP4" t="s">
        <v>372</v>
      </c>
    </row>
    <row r="5" spans="1:258" x14ac:dyDescent="0.2">
      <c r="B5">
        <v>5</v>
      </c>
      <c r="C5" t="s">
        <v>1185</v>
      </c>
      <c r="H5" t="s">
        <v>1186</v>
      </c>
      <c r="I5" t="s">
        <v>1187</v>
      </c>
      <c r="J5">
        <v>27</v>
      </c>
      <c r="K5" t="s">
        <v>1188</v>
      </c>
      <c r="L5" t="s">
        <v>372</v>
      </c>
      <c r="Q5" t="s">
        <v>1175</v>
      </c>
      <c r="R5" t="s">
        <v>329</v>
      </c>
      <c r="S5" t="s">
        <v>329</v>
      </c>
      <c r="T5" t="s">
        <v>329</v>
      </c>
      <c r="U5" t="s">
        <v>329</v>
      </c>
      <c r="EL5" t="s">
        <v>372</v>
      </c>
      <c r="EM5" t="s">
        <v>372</v>
      </c>
      <c r="EN5" t="s">
        <v>372</v>
      </c>
      <c r="EO5" t="s">
        <v>372</v>
      </c>
      <c r="EP5" t="s">
        <v>372</v>
      </c>
    </row>
    <row r="6" spans="1:258" x14ac:dyDescent="0.2">
      <c r="A6" t="s">
        <v>1169</v>
      </c>
      <c r="B6">
        <v>6</v>
      </c>
      <c r="C6" t="s">
        <v>1190</v>
      </c>
      <c r="H6" t="s">
        <v>1191</v>
      </c>
      <c r="I6" t="s">
        <v>1192</v>
      </c>
      <c r="J6">
        <v>38</v>
      </c>
      <c r="K6" t="s">
        <v>1174</v>
      </c>
      <c r="L6" t="s">
        <v>372</v>
      </c>
      <c r="Q6" t="s">
        <v>1193</v>
      </c>
      <c r="R6" t="s">
        <v>329</v>
      </c>
      <c r="S6" t="s">
        <v>329</v>
      </c>
      <c r="T6" t="s">
        <v>329</v>
      </c>
      <c r="U6" t="s">
        <v>329</v>
      </c>
      <c r="V6" t="s">
        <v>1179</v>
      </c>
      <c r="W6">
        <v>35</v>
      </c>
      <c r="AF6" t="s">
        <v>1179</v>
      </c>
      <c r="AG6">
        <v>3</v>
      </c>
      <c r="AP6" t="s">
        <v>1179</v>
      </c>
      <c r="AQ6">
        <v>0.5</v>
      </c>
      <c r="AZ6" t="s">
        <v>1179</v>
      </c>
      <c r="BA6">
        <v>6</v>
      </c>
      <c r="BJ6" t="s">
        <v>372</v>
      </c>
      <c r="BK6">
        <v>4</v>
      </c>
      <c r="BT6" t="s">
        <v>1179</v>
      </c>
      <c r="BU6">
        <v>4</v>
      </c>
      <c r="CD6" t="s">
        <v>1179</v>
      </c>
      <c r="CE6">
        <v>5</v>
      </c>
      <c r="CN6" t="s">
        <v>1179</v>
      </c>
      <c r="CO6">
        <v>50</v>
      </c>
      <c r="CX6" t="s">
        <v>1179</v>
      </c>
      <c r="CY6">
        <v>3</v>
      </c>
      <c r="DH6" t="s">
        <v>1179</v>
      </c>
      <c r="DI6">
        <v>3</v>
      </c>
      <c r="DR6" t="s">
        <v>1179</v>
      </c>
      <c r="DS6">
        <v>3</v>
      </c>
      <c r="EB6" t="s">
        <v>1179</v>
      </c>
      <c r="EC6">
        <v>6</v>
      </c>
      <c r="EL6" t="s">
        <v>1197</v>
      </c>
      <c r="EM6" t="s">
        <v>372</v>
      </c>
      <c r="EN6" t="s">
        <v>372</v>
      </c>
      <c r="EO6" t="s">
        <v>372</v>
      </c>
      <c r="EP6" t="s">
        <v>372</v>
      </c>
      <c r="EQ6" t="s">
        <v>372</v>
      </c>
      <c r="ER6">
        <v>1.5</v>
      </c>
      <c r="FA6" t="s">
        <v>372</v>
      </c>
      <c r="FB6">
        <v>45</v>
      </c>
      <c r="FK6" t="s">
        <v>1179</v>
      </c>
      <c r="FL6">
        <v>345</v>
      </c>
      <c r="FU6" t="s">
        <v>1179</v>
      </c>
      <c r="FV6">
        <v>563</v>
      </c>
      <c r="GE6" t="s">
        <v>1179</v>
      </c>
      <c r="GF6">
        <v>345</v>
      </c>
      <c r="GO6" t="s">
        <v>1179</v>
      </c>
      <c r="GP6">
        <v>34</v>
      </c>
      <c r="GY6" t="s">
        <v>1179</v>
      </c>
      <c r="GZ6">
        <v>45</v>
      </c>
      <c r="HI6" t="s">
        <v>1179</v>
      </c>
      <c r="HJ6">
        <v>454</v>
      </c>
      <c r="HS6" t="s">
        <v>372</v>
      </c>
      <c r="HT6">
        <v>0.6</v>
      </c>
      <c r="IC6" t="s">
        <v>1179</v>
      </c>
      <c r="ID6">
        <v>43</v>
      </c>
      <c r="IM6" t="s">
        <v>1179</v>
      </c>
      <c r="IN6">
        <v>53</v>
      </c>
      <c r="IW6" t="s">
        <v>372</v>
      </c>
      <c r="IX6">
        <v>88</v>
      </c>
    </row>
  </sheetData>
  <phoneticPr fontId="1"/>
  <pageMargins left="0.75" right="0.75" top="1" bottom="1" header="0.51200000000000001" footer="0.5120000000000000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HZ6"/>
  <sheetViews>
    <sheetView workbookViewId="0"/>
  </sheetViews>
  <sheetFormatPr defaultRowHeight="13" x14ac:dyDescent="0.2"/>
  <sheetData>
    <row r="1" spans="1:234" x14ac:dyDescent="0.2">
      <c r="B1">
        <v>1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106"/>
      <c r="BL1" s="106"/>
      <c r="BM1" s="106"/>
      <c r="BN1" s="106"/>
      <c r="BO1" s="106"/>
      <c r="BP1" s="106"/>
      <c r="BQ1" s="106"/>
      <c r="BR1" s="106"/>
      <c r="BS1" s="106"/>
      <c r="BT1" s="106"/>
      <c r="BU1" s="106"/>
      <c r="BV1" s="106"/>
      <c r="BW1" s="106"/>
      <c r="BX1" s="106"/>
      <c r="BY1" s="106"/>
      <c r="BZ1" s="106"/>
      <c r="CA1" s="106"/>
      <c r="CB1" s="106"/>
      <c r="CC1" s="106"/>
      <c r="CD1" s="106"/>
      <c r="CE1" s="106"/>
      <c r="CF1" s="106"/>
      <c r="CG1" s="106"/>
      <c r="CH1" s="106"/>
      <c r="CI1" s="106"/>
      <c r="CJ1" s="106"/>
      <c r="CK1" s="106"/>
      <c r="CL1" s="106"/>
      <c r="CM1" s="106"/>
      <c r="CN1" s="106"/>
      <c r="CO1" s="106"/>
      <c r="CP1" s="106"/>
      <c r="CQ1" s="106"/>
      <c r="CR1" s="106"/>
      <c r="CS1" s="106"/>
      <c r="CT1" s="106"/>
      <c r="CU1" s="106"/>
      <c r="CV1" s="106"/>
      <c r="CW1" s="106"/>
      <c r="CX1" s="106"/>
      <c r="CY1" s="106"/>
      <c r="CZ1" s="106"/>
      <c r="DA1" s="106"/>
      <c r="DB1" s="106"/>
      <c r="DC1" s="106"/>
      <c r="DD1" s="106"/>
      <c r="DE1" s="106"/>
      <c r="DF1" s="106"/>
      <c r="DG1" s="106"/>
      <c r="DH1" s="106"/>
      <c r="DI1" s="106"/>
      <c r="DJ1" s="106"/>
      <c r="DK1" s="106"/>
      <c r="DL1" s="106"/>
      <c r="DM1" s="106"/>
      <c r="DN1" s="106"/>
      <c r="DO1" s="106"/>
      <c r="DP1" s="106"/>
      <c r="DQ1" s="106"/>
      <c r="DR1" s="106"/>
      <c r="DS1" s="106"/>
      <c r="DT1" s="106"/>
      <c r="DU1" s="106"/>
      <c r="DV1" s="106"/>
      <c r="DW1" s="106"/>
      <c r="DX1" s="106"/>
      <c r="DY1" s="106"/>
      <c r="DZ1" s="106"/>
      <c r="EA1" s="106"/>
      <c r="EB1" s="106"/>
      <c r="EC1" s="106"/>
      <c r="ED1" s="106"/>
      <c r="EE1" s="106"/>
      <c r="EF1" s="106"/>
      <c r="EG1" s="106"/>
      <c r="EH1" s="106"/>
      <c r="EI1" s="106"/>
      <c r="EJ1" s="106"/>
      <c r="EK1" s="106"/>
      <c r="EL1" s="106"/>
      <c r="EM1" s="106"/>
      <c r="EN1" s="106"/>
      <c r="EO1" s="106"/>
      <c r="EP1" s="106"/>
      <c r="EQ1" s="106"/>
      <c r="ER1" s="106"/>
      <c r="ES1" s="106"/>
      <c r="ET1" s="106"/>
      <c r="EU1" s="106"/>
      <c r="EV1" s="106"/>
      <c r="EW1" s="106"/>
      <c r="EX1" s="106"/>
      <c r="EY1" s="106"/>
      <c r="EZ1" s="106"/>
      <c r="FA1" s="106"/>
      <c r="FB1" s="106"/>
      <c r="FC1" s="106"/>
      <c r="FD1" s="106"/>
      <c r="FE1" s="106"/>
      <c r="FF1" s="106"/>
      <c r="FG1" s="106"/>
      <c r="FH1" s="106"/>
      <c r="FI1" s="106"/>
      <c r="FJ1" s="106"/>
      <c r="FK1" s="106"/>
      <c r="FL1" s="106"/>
      <c r="FM1" s="106"/>
      <c r="FN1" s="106"/>
      <c r="FO1" s="106"/>
      <c r="FP1" s="106"/>
      <c r="FQ1" s="106"/>
      <c r="FR1" s="106"/>
      <c r="FS1" s="106"/>
      <c r="FT1" s="106"/>
      <c r="FU1" s="106"/>
      <c r="FV1" s="106"/>
      <c r="FW1" s="106"/>
      <c r="FX1" s="106"/>
      <c r="FY1" s="106"/>
      <c r="FZ1" s="106"/>
      <c r="GA1" s="106"/>
      <c r="GB1" s="106"/>
      <c r="GC1" s="106"/>
      <c r="GD1" s="106"/>
      <c r="GE1" s="106"/>
      <c r="GF1" s="106"/>
      <c r="GG1" s="106"/>
      <c r="GH1" s="106"/>
      <c r="GI1" s="106"/>
      <c r="GJ1" s="106"/>
      <c r="GK1" s="106"/>
      <c r="GL1" s="106"/>
      <c r="GM1" s="106"/>
      <c r="GN1" s="106"/>
      <c r="GO1" s="106"/>
      <c r="GP1" s="106"/>
      <c r="GQ1" s="106"/>
      <c r="GR1" s="106"/>
      <c r="GS1" s="106"/>
      <c r="GT1" s="106"/>
      <c r="GU1" s="106"/>
      <c r="GV1" s="106"/>
      <c r="GW1" s="106"/>
      <c r="GX1" s="106"/>
      <c r="GY1" s="106"/>
      <c r="GZ1" s="106"/>
      <c r="HA1" s="106"/>
      <c r="HB1" s="106"/>
      <c r="HC1" s="106"/>
      <c r="HD1" s="106"/>
      <c r="HE1" s="106"/>
      <c r="HF1" s="106"/>
      <c r="HG1" s="106"/>
      <c r="HH1" s="106"/>
      <c r="HI1" s="106"/>
      <c r="HJ1" s="106"/>
      <c r="HK1" s="106"/>
      <c r="HL1" s="106"/>
      <c r="HM1" s="106"/>
      <c r="HN1" s="106"/>
      <c r="HO1" s="106"/>
      <c r="HP1" s="106"/>
      <c r="HQ1" s="106"/>
      <c r="HR1" s="106"/>
      <c r="HS1" s="106"/>
      <c r="HT1" s="106"/>
      <c r="HU1" s="106"/>
      <c r="HV1" s="106"/>
      <c r="HW1" s="106"/>
      <c r="HX1" s="106"/>
    </row>
    <row r="2" spans="1:234" x14ac:dyDescent="0.2">
      <c r="A2">
        <v>6</v>
      </c>
      <c r="B2">
        <v>2</v>
      </c>
      <c r="GU2" t="s">
        <v>1179</v>
      </c>
      <c r="GV2" t="s">
        <v>1178</v>
      </c>
    </row>
    <row r="3" spans="1:234" x14ac:dyDescent="0.2">
      <c r="B3">
        <v>3</v>
      </c>
    </row>
    <row r="4" spans="1:234" x14ac:dyDescent="0.2">
      <c r="B4">
        <v>4</v>
      </c>
    </row>
    <row r="5" spans="1:234" x14ac:dyDescent="0.2">
      <c r="B5">
        <v>5</v>
      </c>
      <c r="GU5" t="s">
        <v>1179</v>
      </c>
      <c r="GV5" t="s">
        <v>1189</v>
      </c>
    </row>
    <row r="6" spans="1:234" x14ac:dyDescent="0.2">
      <c r="B6">
        <v>6</v>
      </c>
      <c r="C6" t="s">
        <v>1179</v>
      </c>
      <c r="D6">
        <v>545</v>
      </c>
      <c r="M6" t="s">
        <v>1179</v>
      </c>
      <c r="N6">
        <v>53</v>
      </c>
      <c r="W6" t="s">
        <v>1179</v>
      </c>
      <c r="X6">
        <v>53</v>
      </c>
      <c r="AG6" t="s">
        <v>1179</v>
      </c>
      <c r="AH6">
        <v>34</v>
      </c>
      <c r="AQ6" t="s">
        <v>1179</v>
      </c>
      <c r="AR6">
        <v>34</v>
      </c>
      <c r="BA6" t="s">
        <v>372</v>
      </c>
      <c r="BB6">
        <v>36</v>
      </c>
      <c r="BK6" t="s">
        <v>1179</v>
      </c>
      <c r="BL6">
        <v>354</v>
      </c>
      <c r="BU6" t="s">
        <v>1179</v>
      </c>
      <c r="BV6">
        <v>453</v>
      </c>
      <c r="CE6" t="s">
        <v>372</v>
      </c>
      <c r="CF6">
        <v>74</v>
      </c>
      <c r="CO6" t="s">
        <v>372</v>
      </c>
      <c r="CP6">
        <v>25</v>
      </c>
      <c r="CY6" t="s">
        <v>1179</v>
      </c>
      <c r="CZ6">
        <v>45</v>
      </c>
      <c r="DI6" t="s">
        <v>1179</v>
      </c>
      <c r="DJ6">
        <v>100</v>
      </c>
      <c r="DS6" t="s">
        <v>1179</v>
      </c>
      <c r="DT6">
        <v>45</v>
      </c>
      <c r="EC6" t="s">
        <v>372</v>
      </c>
      <c r="ED6">
        <v>36</v>
      </c>
      <c r="EM6" t="s">
        <v>1179</v>
      </c>
      <c r="EN6">
        <v>35</v>
      </c>
      <c r="EW6" t="s">
        <v>1179</v>
      </c>
      <c r="EX6">
        <v>25</v>
      </c>
      <c r="FG6" t="s">
        <v>1179</v>
      </c>
      <c r="FH6">
        <v>3</v>
      </c>
      <c r="FQ6" t="s">
        <v>1179</v>
      </c>
      <c r="FR6">
        <v>36</v>
      </c>
      <c r="GA6" t="s">
        <v>1179</v>
      </c>
      <c r="GB6">
        <v>54</v>
      </c>
      <c r="GK6" t="s">
        <v>1179</v>
      </c>
      <c r="GL6" t="s">
        <v>1196</v>
      </c>
      <c r="GU6" t="s">
        <v>1179</v>
      </c>
      <c r="GV6" t="s">
        <v>1178</v>
      </c>
      <c r="HE6" t="s">
        <v>1179</v>
      </c>
      <c r="HF6" t="s">
        <v>1195</v>
      </c>
      <c r="HO6" t="s">
        <v>1179</v>
      </c>
      <c r="HP6" t="s">
        <v>1194</v>
      </c>
      <c r="HY6" t="s">
        <v>1179</v>
      </c>
      <c r="HZ6">
        <v>64</v>
      </c>
    </row>
  </sheetData>
  <phoneticPr fontId="1"/>
  <pageMargins left="0.75" right="0.75" top="1" bottom="1" header="0.51200000000000001" footer="0.5120000000000000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HF2"/>
  <sheetViews>
    <sheetView topLeftCell="AT1" workbookViewId="0">
      <selection activeCell="AL28" sqref="AL28"/>
    </sheetView>
  </sheetViews>
  <sheetFormatPr defaultRowHeight="13" x14ac:dyDescent="0.2"/>
  <sheetData>
    <row r="1" spans="1:214" x14ac:dyDescent="0.2"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  <c r="BN1" s="108"/>
      <c r="BO1" s="108"/>
      <c r="BP1" s="108"/>
      <c r="BQ1" s="108"/>
      <c r="BR1" s="108"/>
      <c r="BS1" s="108"/>
      <c r="BT1" s="108"/>
      <c r="BU1" s="108"/>
      <c r="BV1" s="108"/>
      <c r="BW1" s="108"/>
      <c r="BX1" s="108"/>
      <c r="BY1" s="107"/>
      <c r="BZ1" s="107"/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s="107"/>
      <c r="CR1" s="107"/>
      <c r="CS1" s="107"/>
      <c r="CT1" s="107"/>
      <c r="CU1" s="107"/>
      <c r="CV1" s="107"/>
      <c r="CW1" s="107"/>
      <c r="CX1" s="107"/>
      <c r="CY1" s="107"/>
      <c r="CZ1" s="107"/>
      <c r="DA1" s="107"/>
      <c r="DB1" s="107"/>
      <c r="DC1" s="107"/>
      <c r="DD1" s="107"/>
      <c r="DE1" s="107"/>
      <c r="DF1" s="107"/>
      <c r="DG1" s="107"/>
      <c r="DH1" s="107"/>
      <c r="DI1" s="107"/>
      <c r="DJ1" s="107"/>
      <c r="DK1" s="107"/>
      <c r="DL1" s="107"/>
      <c r="DM1" s="107"/>
      <c r="DN1" s="107"/>
      <c r="DO1" s="107"/>
      <c r="DP1" s="107"/>
      <c r="DQ1" s="107"/>
      <c r="DR1" s="107"/>
      <c r="DS1" s="107"/>
      <c r="DT1" s="107"/>
      <c r="DU1" s="107"/>
      <c r="DV1" s="107"/>
      <c r="DW1" s="107"/>
      <c r="DX1" s="107"/>
      <c r="DY1" s="107"/>
      <c r="DZ1" s="107"/>
      <c r="EA1" s="107"/>
      <c r="EB1" s="107"/>
      <c r="EC1" s="107"/>
      <c r="ED1" s="107"/>
      <c r="EE1" s="107"/>
      <c r="EF1" s="107"/>
      <c r="EG1" s="107"/>
      <c r="EH1" s="107"/>
      <c r="EI1" s="107"/>
      <c r="EJ1" s="107"/>
      <c r="EK1" s="107"/>
      <c r="EL1" s="107"/>
      <c r="EM1" s="107"/>
      <c r="EN1" s="107"/>
      <c r="EO1" s="107"/>
      <c r="EP1" s="107"/>
      <c r="EQ1" s="107"/>
      <c r="ER1" s="107"/>
      <c r="ES1" s="107"/>
      <c r="ET1" s="107"/>
      <c r="EU1" s="107"/>
      <c r="EV1" s="107"/>
      <c r="EW1" s="107"/>
      <c r="EX1" s="107"/>
      <c r="EY1" s="107"/>
      <c r="EZ1" s="107"/>
      <c r="FA1" s="107"/>
      <c r="FB1" s="107"/>
      <c r="FC1" s="107"/>
      <c r="FD1" s="107"/>
      <c r="FE1" s="107"/>
      <c r="FF1" s="107"/>
      <c r="FG1" s="107"/>
      <c r="FH1" s="107"/>
      <c r="FI1" s="107"/>
      <c r="FJ1" s="107"/>
      <c r="FK1" s="107"/>
      <c r="FL1" s="107"/>
      <c r="FM1" s="107"/>
      <c r="FN1" s="107"/>
      <c r="FO1" s="107"/>
      <c r="FP1" s="107"/>
      <c r="FQ1" s="107"/>
      <c r="FR1" s="107"/>
      <c r="FS1" s="107"/>
      <c r="FT1" s="107"/>
      <c r="FU1" s="107"/>
      <c r="FV1" s="107"/>
      <c r="FW1" s="107"/>
      <c r="FX1" s="107"/>
      <c r="FY1" s="107"/>
      <c r="FZ1" s="107"/>
      <c r="GA1" s="107"/>
      <c r="GB1" s="107"/>
      <c r="GC1" s="107"/>
      <c r="GD1" s="107"/>
      <c r="GE1" s="107"/>
      <c r="GF1" s="107"/>
      <c r="GG1" s="107"/>
      <c r="GH1" s="107"/>
      <c r="GI1" s="107"/>
      <c r="GJ1" s="107"/>
      <c r="GK1" s="107"/>
      <c r="GL1" s="107"/>
      <c r="GM1" s="107"/>
      <c r="GN1" s="107"/>
      <c r="GO1" s="107"/>
      <c r="GP1" s="107"/>
      <c r="GQ1" s="107"/>
      <c r="GR1" s="107"/>
      <c r="GS1" s="107"/>
      <c r="GT1" s="107"/>
      <c r="GU1" s="107"/>
      <c r="GV1" s="107"/>
      <c r="GW1" s="107"/>
      <c r="GX1" s="107"/>
      <c r="GY1" s="107"/>
      <c r="GZ1" s="107"/>
      <c r="HA1" s="107"/>
      <c r="HB1" s="107"/>
      <c r="HC1" s="107"/>
      <c r="HD1" s="107"/>
      <c r="HE1" s="107"/>
      <c r="HF1" s="107"/>
    </row>
    <row r="2" spans="1:214" x14ac:dyDescent="0.2">
      <c r="A2">
        <v>1</v>
      </c>
    </row>
  </sheetData>
  <phoneticPr fontId="1"/>
  <pageMargins left="0.75" right="0.75" top="1" bottom="1" header="0.51200000000000001" footer="0.5120000000000000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B910"/>
  <sheetViews>
    <sheetView topLeftCell="A893" workbookViewId="0">
      <selection activeCell="A906" sqref="A906"/>
    </sheetView>
  </sheetViews>
  <sheetFormatPr defaultRowHeight="13" x14ac:dyDescent="0.2"/>
  <cols>
    <col min="1" max="1" width="25.08984375" bestFit="1" customWidth="1"/>
  </cols>
  <sheetData>
    <row r="1" spans="1:2" x14ac:dyDescent="0.2">
      <c r="B1">
        <v>1</v>
      </c>
    </row>
    <row r="2" spans="1:2" x14ac:dyDescent="0.2">
      <c r="A2" t="s">
        <v>161</v>
      </c>
    </row>
    <row r="3" spans="1:2" x14ac:dyDescent="0.2">
      <c r="A3" t="s">
        <v>159</v>
      </c>
    </row>
    <row r="10" spans="1:2" x14ac:dyDescent="0.2">
      <c r="A10" t="s">
        <v>160</v>
      </c>
      <c r="B10" t="e">
        <f ca="1">func_Vlookup(3)</f>
        <v>#NAME?</v>
      </c>
    </row>
    <row r="11" spans="1:2" x14ac:dyDescent="0.2">
      <c r="A11" t="s">
        <v>150</v>
      </c>
      <c r="B11" t="e">
        <f ca="1">func_Vlookup(4)</f>
        <v>#NAME?</v>
      </c>
    </row>
    <row r="12" spans="1:2" x14ac:dyDescent="0.2">
      <c r="A12" t="s">
        <v>151</v>
      </c>
      <c r="B12" t="e">
        <f ca="1">func_Vlookup(5)</f>
        <v>#NAME?</v>
      </c>
    </row>
    <row r="13" spans="1:2" x14ac:dyDescent="0.2">
      <c r="A13" t="s">
        <v>152</v>
      </c>
      <c r="B13" t="e">
        <f ca="1">func_Vlookup(6)</f>
        <v>#NAME?</v>
      </c>
    </row>
    <row r="14" spans="1:2" x14ac:dyDescent="0.2">
      <c r="A14" t="s">
        <v>153</v>
      </c>
      <c r="B14" t="e">
        <f ca="1">func_Vlookup(8)</f>
        <v>#NAME?</v>
      </c>
    </row>
    <row r="15" spans="1:2" x14ac:dyDescent="0.2">
      <c r="A15" t="s">
        <v>165</v>
      </c>
      <c r="B15" t="e">
        <f ca="1">func_Vlookup(9)</f>
        <v>#NAME?</v>
      </c>
    </row>
    <row r="16" spans="1:2" x14ac:dyDescent="0.2">
      <c r="A16" t="s">
        <v>57</v>
      </c>
      <c r="B16" t="e">
        <f ca="1">func_Vlookup(10)</f>
        <v>#NAME?</v>
      </c>
    </row>
    <row r="17" spans="1:2" x14ac:dyDescent="0.2">
      <c r="A17" t="s">
        <v>58</v>
      </c>
      <c r="B17" t="e">
        <f ca="1">func_Vlookup(11)</f>
        <v>#NAME?</v>
      </c>
    </row>
    <row r="18" spans="1:2" x14ac:dyDescent="0.2">
      <c r="A18" t="s">
        <v>59</v>
      </c>
      <c r="B18" t="e">
        <f ca="1">func_Vlookup(12)</f>
        <v>#NAME?</v>
      </c>
    </row>
    <row r="19" spans="1:2" x14ac:dyDescent="0.2">
      <c r="A19" t="s">
        <v>60</v>
      </c>
      <c r="B19" t="e">
        <f ca="1">func_Vlookup(13)</f>
        <v>#NAME?</v>
      </c>
    </row>
    <row r="20" spans="1:2" x14ac:dyDescent="0.2">
      <c r="A20" t="s">
        <v>154</v>
      </c>
      <c r="B20" t="e">
        <f ca="1">func_Vlookup(14)</f>
        <v>#NAME?</v>
      </c>
    </row>
    <row r="21" spans="1:2" x14ac:dyDescent="0.2">
      <c r="A21" t="s">
        <v>155</v>
      </c>
      <c r="B21" t="e">
        <f ca="1">func_Vlookup(15)</f>
        <v>#NAME?</v>
      </c>
    </row>
    <row r="22" spans="1:2" x14ac:dyDescent="0.2">
      <c r="A22" t="s">
        <v>156</v>
      </c>
      <c r="B22" t="e">
        <f ca="1">func_Vlookup(16)</f>
        <v>#NAME?</v>
      </c>
    </row>
    <row r="23" spans="1:2" x14ac:dyDescent="0.2">
      <c r="A23" t="s">
        <v>61</v>
      </c>
      <c r="B23" t="e">
        <f ca="1">func_Vlookup(17)</f>
        <v>#NAME?</v>
      </c>
    </row>
    <row r="24" spans="1:2" x14ac:dyDescent="0.2">
      <c r="A24" t="s">
        <v>62</v>
      </c>
      <c r="B24" t="e">
        <f ca="1">func_Vlookup(18)</f>
        <v>#NAME?</v>
      </c>
    </row>
    <row r="25" spans="1:2" x14ac:dyDescent="0.2">
      <c r="A25" t="s">
        <v>63</v>
      </c>
      <c r="B25" t="e">
        <f ca="1">func_Vlookup(19)</f>
        <v>#NAME?</v>
      </c>
    </row>
    <row r="26" spans="1:2" x14ac:dyDescent="0.2">
      <c r="A26" t="s">
        <v>64</v>
      </c>
      <c r="B26" t="e">
        <f ca="1">func_Vlookup(20)</f>
        <v>#NAME?</v>
      </c>
    </row>
    <row r="27" spans="1:2" x14ac:dyDescent="0.2">
      <c r="A27" t="s">
        <v>65</v>
      </c>
      <c r="B27" t="e">
        <f ca="1">func_Vlookup(21)</f>
        <v>#NAME?</v>
      </c>
    </row>
    <row r="28" spans="1:2" x14ac:dyDescent="0.2">
      <c r="A28" s="105" t="s">
        <v>486</v>
      </c>
      <c r="B28" t="e">
        <f ca="1">func_Vlookup(22)</f>
        <v>#NAME?</v>
      </c>
    </row>
    <row r="29" spans="1:2" x14ac:dyDescent="0.2">
      <c r="A29" s="105" t="s">
        <v>487</v>
      </c>
      <c r="B29" t="e">
        <f ca="1">func_Vlookup(23, "", "数値")</f>
        <v>#NAME?</v>
      </c>
    </row>
    <row r="30" spans="1:2" x14ac:dyDescent="0.2">
      <c r="A30" s="105" t="s">
        <v>488</v>
      </c>
      <c r="B30" t="e">
        <f ca="1">func_Vlookup(24)</f>
        <v>#NAME?</v>
      </c>
    </row>
    <row r="31" spans="1:2" x14ac:dyDescent="0.2">
      <c r="A31" s="105" t="s">
        <v>489</v>
      </c>
      <c r="B31" t="e">
        <f ca="1">func_Vlookup(25, "", "数値")</f>
        <v>#NAME?</v>
      </c>
    </row>
    <row r="32" spans="1:2" x14ac:dyDescent="0.2">
      <c r="A32" s="105" t="s">
        <v>490</v>
      </c>
      <c r="B32" t="e">
        <f ca="1">func_Vlookup(26)</f>
        <v>#NAME?</v>
      </c>
    </row>
    <row r="33" spans="1:2" x14ac:dyDescent="0.2">
      <c r="A33" s="105" t="s">
        <v>491</v>
      </c>
      <c r="B33" t="e">
        <f ca="1">func_Vlookup(27, "", "数値")</f>
        <v>#NAME?</v>
      </c>
    </row>
    <row r="34" spans="1:2" x14ac:dyDescent="0.2">
      <c r="A34" s="105" t="s">
        <v>492</v>
      </c>
      <c r="B34" t="e">
        <f ca="1">func_Vlookup(28)</f>
        <v>#NAME?</v>
      </c>
    </row>
    <row r="35" spans="1:2" x14ac:dyDescent="0.2">
      <c r="A35" s="105" t="s">
        <v>493</v>
      </c>
      <c r="B35" t="e">
        <f ca="1">func_Vlookup(29, "", "数値")</f>
        <v>#NAME?</v>
      </c>
    </row>
    <row r="36" spans="1:2" x14ac:dyDescent="0.2">
      <c r="A36" s="105" t="s">
        <v>494</v>
      </c>
      <c r="B36" t="e">
        <f ca="1">func_Vlookup(30)</f>
        <v>#NAME?</v>
      </c>
    </row>
    <row r="37" spans="1:2" x14ac:dyDescent="0.2">
      <c r="A37" s="105" t="s">
        <v>495</v>
      </c>
      <c r="B37" t="e">
        <f ca="1">func_Vlookup(31, "", "数値")</f>
        <v>#NAME?</v>
      </c>
    </row>
    <row r="38" spans="1:2" x14ac:dyDescent="0.2">
      <c r="A38" s="105" t="s">
        <v>496</v>
      </c>
      <c r="B38" t="e">
        <f ca="1">func_Vlookup(32)</f>
        <v>#NAME?</v>
      </c>
    </row>
    <row r="39" spans="1:2" x14ac:dyDescent="0.2">
      <c r="A39" s="105" t="s">
        <v>497</v>
      </c>
      <c r="B39" t="e">
        <f ca="1">func_Vlookup(33, "", "数値")</f>
        <v>#NAME?</v>
      </c>
    </row>
    <row r="40" spans="1:2" x14ac:dyDescent="0.2">
      <c r="A40" s="105" t="s">
        <v>498</v>
      </c>
      <c r="B40" t="e">
        <f ca="1">func_Vlookup(34)</f>
        <v>#NAME?</v>
      </c>
    </row>
    <row r="41" spans="1:2" x14ac:dyDescent="0.2">
      <c r="A41" s="105" t="s">
        <v>499</v>
      </c>
      <c r="B41" t="e">
        <f ca="1">func_Vlookup(35, "", "数値")</f>
        <v>#NAME?</v>
      </c>
    </row>
    <row r="42" spans="1:2" x14ac:dyDescent="0.2">
      <c r="A42" s="105" t="s">
        <v>500</v>
      </c>
      <c r="B42" t="e">
        <f ca="1">func_Vlookup(36)</f>
        <v>#NAME?</v>
      </c>
    </row>
    <row r="43" spans="1:2" x14ac:dyDescent="0.2">
      <c r="A43" s="105" t="s">
        <v>501</v>
      </c>
      <c r="B43" t="e">
        <f ca="1">func_Vlookup(37, "", "数値")</f>
        <v>#NAME?</v>
      </c>
    </row>
    <row r="44" spans="1:2" x14ac:dyDescent="0.2">
      <c r="A44" s="105" t="s">
        <v>502</v>
      </c>
      <c r="B44" t="e">
        <f ca="1">func_Vlookup(38)</f>
        <v>#NAME?</v>
      </c>
    </row>
    <row r="45" spans="1:2" x14ac:dyDescent="0.2">
      <c r="A45" s="105" t="s">
        <v>503</v>
      </c>
      <c r="B45" t="e">
        <f ca="1">func_Vlookup(39, "", "数値")</f>
        <v>#NAME?</v>
      </c>
    </row>
    <row r="46" spans="1:2" x14ac:dyDescent="0.2">
      <c r="A46" s="105" t="s">
        <v>504</v>
      </c>
      <c r="B46" t="e">
        <f ca="1">func_Vlookup(40)</f>
        <v>#NAME?</v>
      </c>
    </row>
    <row r="47" spans="1:2" x14ac:dyDescent="0.2">
      <c r="A47" s="105" t="s">
        <v>505</v>
      </c>
      <c r="B47" t="e">
        <f ca="1">func_Vlookup(41, "", "数値")</f>
        <v>#NAME?</v>
      </c>
    </row>
    <row r="48" spans="1:2" x14ac:dyDescent="0.2">
      <c r="A48" s="105" t="s">
        <v>506</v>
      </c>
      <c r="B48" t="e">
        <f ca="1">func_Vlookup(42)</f>
        <v>#NAME?</v>
      </c>
    </row>
    <row r="49" spans="1:2" x14ac:dyDescent="0.2">
      <c r="A49" s="105" t="s">
        <v>507</v>
      </c>
      <c r="B49" t="e">
        <f ca="1">func_Vlookup(43, "", "数値")</f>
        <v>#NAME?</v>
      </c>
    </row>
    <row r="50" spans="1:2" x14ac:dyDescent="0.2">
      <c r="A50" s="105" t="s">
        <v>508</v>
      </c>
      <c r="B50" t="e">
        <f ca="1">func_Vlookup(44)</f>
        <v>#NAME?</v>
      </c>
    </row>
    <row r="51" spans="1:2" x14ac:dyDescent="0.2">
      <c r="A51" s="105" t="s">
        <v>509</v>
      </c>
      <c r="B51" t="e">
        <f ca="1">func_Vlookup(45, "", "数値")</f>
        <v>#NAME?</v>
      </c>
    </row>
    <row r="52" spans="1:2" x14ac:dyDescent="0.2">
      <c r="A52" s="105" t="s">
        <v>510</v>
      </c>
      <c r="B52" t="e">
        <f ca="1">func_Vlookup(46)</f>
        <v>#NAME?</v>
      </c>
    </row>
    <row r="53" spans="1:2" x14ac:dyDescent="0.2">
      <c r="A53" s="105" t="s">
        <v>511</v>
      </c>
      <c r="B53" t="e">
        <f ca="1">func_Vlookup(47, "", "数値")</f>
        <v>#NAME?</v>
      </c>
    </row>
    <row r="54" spans="1:2" x14ac:dyDescent="0.2">
      <c r="A54" s="105" t="s">
        <v>512</v>
      </c>
      <c r="B54" t="e">
        <f ca="1">func_Vlookup(48)</f>
        <v>#NAME?</v>
      </c>
    </row>
    <row r="55" spans="1:2" x14ac:dyDescent="0.2">
      <c r="A55" s="105" t="s">
        <v>513</v>
      </c>
      <c r="B55" t="e">
        <f ca="1">func_Vlookup(49, "", "数値")</f>
        <v>#NAME?</v>
      </c>
    </row>
    <row r="56" spans="1:2" x14ac:dyDescent="0.2">
      <c r="A56" s="105" t="s">
        <v>514</v>
      </c>
      <c r="B56" t="e">
        <f ca="1">func_Vlookup(50)</f>
        <v>#NAME?</v>
      </c>
    </row>
    <row r="57" spans="1:2" x14ac:dyDescent="0.2">
      <c r="A57" s="105" t="s">
        <v>515</v>
      </c>
      <c r="B57" t="e">
        <f ca="1">func_Vlookup(51, "", "数値")</f>
        <v>#NAME?</v>
      </c>
    </row>
    <row r="58" spans="1:2" x14ac:dyDescent="0.2">
      <c r="A58" s="105" t="s">
        <v>516</v>
      </c>
      <c r="B58" t="e">
        <f ca="1">func_Vlookup(52)</f>
        <v>#NAME?</v>
      </c>
    </row>
    <row r="59" spans="1:2" x14ac:dyDescent="0.2">
      <c r="A59" s="105" t="s">
        <v>517</v>
      </c>
      <c r="B59" t="e">
        <f ca="1">func_Vlookup(53, "", "数値")</f>
        <v>#NAME?</v>
      </c>
    </row>
    <row r="60" spans="1:2" x14ac:dyDescent="0.2">
      <c r="A60" s="105" t="s">
        <v>518</v>
      </c>
      <c r="B60" t="e">
        <f ca="1">func_Vlookup(54)</f>
        <v>#NAME?</v>
      </c>
    </row>
    <row r="61" spans="1:2" x14ac:dyDescent="0.2">
      <c r="A61" s="105" t="s">
        <v>519</v>
      </c>
      <c r="B61" t="e">
        <f ca="1">func_Vlookup(55, "", "数値")</f>
        <v>#NAME?</v>
      </c>
    </row>
    <row r="62" spans="1:2" x14ac:dyDescent="0.2">
      <c r="A62" s="105" t="s">
        <v>520</v>
      </c>
      <c r="B62" t="e">
        <f ca="1">func_Vlookup(56)</f>
        <v>#NAME?</v>
      </c>
    </row>
    <row r="63" spans="1:2" x14ac:dyDescent="0.2">
      <c r="A63" s="105" t="s">
        <v>521</v>
      </c>
      <c r="B63" t="e">
        <f ca="1">func_Vlookup(57, "", "数値")</f>
        <v>#NAME?</v>
      </c>
    </row>
    <row r="64" spans="1:2" x14ac:dyDescent="0.2">
      <c r="A64" s="105" t="s">
        <v>522</v>
      </c>
      <c r="B64" t="e">
        <f ca="1">func_Vlookup(58)</f>
        <v>#NAME?</v>
      </c>
    </row>
    <row r="65" spans="1:2" x14ac:dyDescent="0.2">
      <c r="A65" s="105" t="s">
        <v>523</v>
      </c>
      <c r="B65" t="e">
        <f ca="1">func_Vlookup(59, "", "数値")</f>
        <v>#NAME?</v>
      </c>
    </row>
    <row r="66" spans="1:2" x14ac:dyDescent="0.2">
      <c r="A66" s="105" t="s">
        <v>524</v>
      </c>
      <c r="B66" t="e">
        <f ca="1">func_Vlookup(60)</f>
        <v>#NAME?</v>
      </c>
    </row>
    <row r="67" spans="1:2" x14ac:dyDescent="0.2">
      <c r="A67" s="105" t="s">
        <v>525</v>
      </c>
      <c r="B67" t="e">
        <f ca="1">func_Vlookup(61, "", "数値")</f>
        <v>#NAME?</v>
      </c>
    </row>
    <row r="68" spans="1:2" x14ac:dyDescent="0.2">
      <c r="A68" s="105" t="s">
        <v>526</v>
      </c>
      <c r="B68" t="e">
        <f ca="1">func_Vlookup(62)</f>
        <v>#NAME?</v>
      </c>
    </row>
    <row r="69" spans="1:2" x14ac:dyDescent="0.2">
      <c r="A69" s="105" t="s">
        <v>527</v>
      </c>
      <c r="B69" t="e">
        <f ca="1">func_Vlookup(63, "", "数値")</f>
        <v>#NAME?</v>
      </c>
    </row>
    <row r="70" spans="1:2" x14ac:dyDescent="0.2">
      <c r="A70" s="105" t="s">
        <v>528</v>
      </c>
      <c r="B70" t="e">
        <f ca="1">func_Vlookup(64)</f>
        <v>#NAME?</v>
      </c>
    </row>
    <row r="71" spans="1:2" x14ac:dyDescent="0.2">
      <c r="A71" s="105" t="s">
        <v>529</v>
      </c>
      <c r="B71" t="e">
        <f ca="1">func_Vlookup(65, "", "数値")</f>
        <v>#NAME?</v>
      </c>
    </row>
    <row r="72" spans="1:2" x14ac:dyDescent="0.2">
      <c r="A72" s="105" t="s">
        <v>530</v>
      </c>
      <c r="B72" t="e">
        <f ca="1">func_Vlookup(66)</f>
        <v>#NAME?</v>
      </c>
    </row>
    <row r="73" spans="1:2" x14ac:dyDescent="0.2">
      <c r="A73" s="105" t="s">
        <v>531</v>
      </c>
      <c r="B73" t="e">
        <f ca="1">func_Vlookup(67, "", "数値")</f>
        <v>#NAME?</v>
      </c>
    </row>
    <row r="74" spans="1:2" x14ac:dyDescent="0.2">
      <c r="A74" s="105" t="s">
        <v>532</v>
      </c>
      <c r="B74" t="e">
        <f ca="1">func_Vlookup(68)</f>
        <v>#NAME?</v>
      </c>
    </row>
    <row r="75" spans="1:2" x14ac:dyDescent="0.2">
      <c r="A75" s="105" t="s">
        <v>533</v>
      </c>
      <c r="B75" t="e">
        <f ca="1">func_Vlookup(69, "", "数値")</f>
        <v>#NAME?</v>
      </c>
    </row>
    <row r="76" spans="1:2" x14ac:dyDescent="0.2">
      <c r="A76" s="105" t="s">
        <v>534</v>
      </c>
      <c r="B76" t="e">
        <f ca="1">func_Vlookup(70)</f>
        <v>#NAME?</v>
      </c>
    </row>
    <row r="77" spans="1:2" x14ac:dyDescent="0.2">
      <c r="A77" s="105" t="s">
        <v>535</v>
      </c>
      <c r="B77" t="e">
        <f ca="1">func_Vlookup(71, "", "数値")</f>
        <v>#NAME?</v>
      </c>
    </row>
    <row r="78" spans="1:2" x14ac:dyDescent="0.2">
      <c r="A78" s="105" t="s">
        <v>536</v>
      </c>
      <c r="B78" t="e">
        <f ca="1">func_Vlookup(72)</f>
        <v>#NAME?</v>
      </c>
    </row>
    <row r="79" spans="1:2" x14ac:dyDescent="0.2">
      <c r="A79" s="105" t="s">
        <v>537</v>
      </c>
      <c r="B79" t="e">
        <f ca="1">func_Vlookup(73, "", "数値")</f>
        <v>#NAME?</v>
      </c>
    </row>
    <row r="80" spans="1:2" x14ac:dyDescent="0.2">
      <c r="A80" s="105" t="s">
        <v>538</v>
      </c>
      <c r="B80" t="e">
        <f ca="1">func_Vlookup(74)</f>
        <v>#NAME?</v>
      </c>
    </row>
    <row r="81" spans="1:2" x14ac:dyDescent="0.2">
      <c r="A81" s="105" t="s">
        <v>539</v>
      </c>
      <c r="B81" t="e">
        <f ca="1">func_Vlookup(75, "", "数値")</f>
        <v>#NAME?</v>
      </c>
    </row>
    <row r="82" spans="1:2" x14ac:dyDescent="0.2">
      <c r="A82" s="105" t="s">
        <v>540</v>
      </c>
      <c r="B82" t="e">
        <f ca="1">func_Vlookup(76)</f>
        <v>#NAME?</v>
      </c>
    </row>
    <row r="83" spans="1:2" x14ac:dyDescent="0.2">
      <c r="A83" s="105" t="s">
        <v>541</v>
      </c>
      <c r="B83" t="e">
        <f ca="1">func_Vlookup(77, "", "数値")</f>
        <v>#NAME?</v>
      </c>
    </row>
    <row r="84" spans="1:2" x14ac:dyDescent="0.2">
      <c r="A84" s="105" t="s">
        <v>542</v>
      </c>
      <c r="B84" t="e">
        <f ca="1">func_Vlookup(78)</f>
        <v>#NAME?</v>
      </c>
    </row>
    <row r="85" spans="1:2" x14ac:dyDescent="0.2">
      <c r="A85" s="105" t="s">
        <v>543</v>
      </c>
      <c r="B85" t="e">
        <f ca="1">func_Vlookup(79, "", "数値")</f>
        <v>#NAME?</v>
      </c>
    </row>
    <row r="86" spans="1:2" x14ac:dyDescent="0.2">
      <c r="A86" s="105" t="s">
        <v>544</v>
      </c>
      <c r="B86" t="e">
        <f ca="1">func_Vlookup(80)</f>
        <v>#NAME?</v>
      </c>
    </row>
    <row r="87" spans="1:2" x14ac:dyDescent="0.2">
      <c r="A87" s="105" t="s">
        <v>545</v>
      </c>
      <c r="B87" t="e">
        <f ca="1">func_Vlookup(81, "", "数値")</f>
        <v>#NAME?</v>
      </c>
    </row>
    <row r="88" spans="1:2" x14ac:dyDescent="0.2">
      <c r="A88" s="105" t="s">
        <v>546</v>
      </c>
      <c r="B88" t="e">
        <f ca="1">func_Vlookup(82)</f>
        <v>#NAME?</v>
      </c>
    </row>
    <row r="89" spans="1:2" x14ac:dyDescent="0.2">
      <c r="A89" s="105" t="s">
        <v>547</v>
      </c>
      <c r="B89" t="e">
        <f ca="1">func_Vlookup(83, "", "数値")</f>
        <v>#NAME?</v>
      </c>
    </row>
    <row r="90" spans="1:2" x14ac:dyDescent="0.2">
      <c r="A90" s="105" t="s">
        <v>548</v>
      </c>
      <c r="B90" t="e">
        <f ca="1">func_Vlookup(84)</f>
        <v>#NAME?</v>
      </c>
    </row>
    <row r="91" spans="1:2" x14ac:dyDescent="0.2">
      <c r="A91" s="105" t="s">
        <v>549</v>
      </c>
      <c r="B91" t="e">
        <f ca="1">func_Vlookup(85, "", "数値")</f>
        <v>#NAME?</v>
      </c>
    </row>
    <row r="92" spans="1:2" x14ac:dyDescent="0.2">
      <c r="A92" s="105" t="s">
        <v>550</v>
      </c>
      <c r="B92" t="e">
        <f ca="1">func_Vlookup(86)</f>
        <v>#NAME?</v>
      </c>
    </row>
    <row r="93" spans="1:2" x14ac:dyDescent="0.2">
      <c r="A93" s="105" t="s">
        <v>551</v>
      </c>
      <c r="B93" t="e">
        <f ca="1">func_Vlookup(87, "", "数値")</f>
        <v>#NAME?</v>
      </c>
    </row>
    <row r="94" spans="1:2" x14ac:dyDescent="0.2">
      <c r="A94" s="105" t="s">
        <v>552</v>
      </c>
      <c r="B94" t="e">
        <f ca="1">func_Vlookup(88)</f>
        <v>#NAME?</v>
      </c>
    </row>
    <row r="95" spans="1:2" x14ac:dyDescent="0.2">
      <c r="A95" s="105" t="s">
        <v>553</v>
      </c>
      <c r="B95" t="e">
        <f ca="1">func_Vlookup(89, "", "数値")</f>
        <v>#NAME?</v>
      </c>
    </row>
    <row r="96" spans="1:2" x14ac:dyDescent="0.2">
      <c r="A96" s="105" t="s">
        <v>554</v>
      </c>
      <c r="B96" t="e">
        <f ca="1">func_Vlookup(90)</f>
        <v>#NAME?</v>
      </c>
    </row>
    <row r="97" spans="1:2" x14ac:dyDescent="0.2">
      <c r="A97" s="105" t="s">
        <v>555</v>
      </c>
      <c r="B97" t="e">
        <f ca="1">func_Vlookup(91, "", "数値")</f>
        <v>#NAME?</v>
      </c>
    </row>
    <row r="98" spans="1:2" x14ac:dyDescent="0.2">
      <c r="A98" s="105" t="s">
        <v>556</v>
      </c>
      <c r="B98" t="e">
        <f ca="1">func_Vlookup(92)</f>
        <v>#NAME?</v>
      </c>
    </row>
    <row r="99" spans="1:2" x14ac:dyDescent="0.2">
      <c r="A99" s="105" t="s">
        <v>557</v>
      </c>
      <c r="B99" t="e">
        <f ca="1">func_Vlookup(93, "", "数値")</f>
        <v>#NAME?</v>
      </c>
    </row>
    <row r="100" spans="1:2" x14ac:dyDescent="0.2">
      <c r="A100" s="105" t="s">
        <v>558</v>
      </c>
      <c r="B100" t="e">
        <f ca="1">func_Vlookup(94)</f>
        <v>#NAME?</v>
      </c>
    </row>
    <row r="101" spans="1:2" x14ac:dyDescent="0.2">
      <c r="A101" s="105" t="s">
        <v>559</v>
      </c>
      <c r="B101" t="e">
        <f ca="1">func_Vlookup(95, "", "数値")</f>
        <v>#NAME?</v>
      </c>
    </row>
    <row r="102" spans="1:2" x14ac:dyDescent="0.2">
      <c r="A102" s="105" t="s">
        <v>560</v>
      </c>
      <c r="B102" t="e">
        <f ca="1">func_Vlookup(96)</f>
        <v>#NAME?</v>
      </c>
    </row>
    <row r="103" spans="1:2" x14ac:dyDescent="0.2">
      <c r="A103" s="105" t="s">
        <v>561</v>
      </c>
      <c r="B103" t="e">
        <f ca="1">func_Vlookup(97, "", "数値")</f>
        <v>#NAME?</v>
      </c>
    </row>
    <row r="104" spans="1:2" x14ac:dyDescent="0.2">
      <c r="A104" s="105" t="s">
        <v>562</v>
      </c>
      <c r="B104" t="e">
        <f ca="1">func_Vlookup(98)</f>
        <v>#NAME?</v>
      </c>
    </row>
    <row r="105" spans="1:2" x14ac:dyDescent="0.2">
      <c r="A105" s="105" t="s">
        <v>563</v>
      </c>
      <c r="B105" t="e">
        <f ca="1">func_Vlookup(99, "", "数値")</f>
        <v>#NAME?</v>
      </c>
    </row>
    <row r="106" spans="1:2" x14ac:dyDescent="0.2">
      <c r="A106" s="105" t="s">
        <v>564</v>
      </c>
      <c r="B106" t="e">
        <f ca="1">func_Vlookup(100)</f>
        <v>#NAME?</v>
      </c>
    </row>
    <row r="107" spans="1:2" x14ac:dyDescent="0.2">
      <c r="A107" s="105" t="s">
        <v>565</v>
      </c>
      <c r="B107" t="e">
        <f ca="1">func_Vlookup(101, "", "数値")</f>
        <v>#NAME?</v>
      </c>
    </row>
    <row r="108" spans="1:2" x14ac:dyDescent="0.2">
      <c r="A108" s="105" t="s">
        <v>566</v>
      </c>
      <c r="B108" t="e">
        <f ca="1">func_Vlookup(102)</f>
        <v>#NAME?</v>
      </c>
    </row>
    <row r="109" spans="1:2" x14ac:dyDescent="0.2">
      <c r="A109" s="105" t="s">
        <v>567</v>
      </c>
      <c r="B109" t="e">
        <f ca="1">func_Vlookup(103, "", "数値")</f>
        <v>#NAME?</v>
      </c>
    </row>
    <row r="110" spans="1:2" x14ac:dyDescent="0.2">
      <c r="A110" s="105" t="s">
        <v>568</v>
      </c>
      <c r="B110" t="e">
        <f ca="1">func_Vlookup(104)</f>
        <v>#NAME?</v>
      </c>
    </row>
    <row r="111" spans="1:2" x14ac:dyDescent="0.2">
      <c r="A111" s="105" t="s">
        <v>569</v>
      </c>
      <c r="B111" t="e">
        <f ca="1">func_Vlookup(105, "", "数値")</f>
        <v>#NAME?</v>
      </c>
    </row>
    <row r="112" spans="1:2" x14ac:dyDescent="0.2">
      <c r="A112" s="105" t="s">
        <v>570</v>
      </c>
      <c r="B112" t="e">
        <f ca="1">func_Vlookup(106)</f>
        <v>#NAME?</v>
      </c>
    </row>
    <row r="113" spans="1:2" x14ac:dyDescent="0.2">
      <c r="A113" s="105" t="s">
        <v>571</v>
      </c>
      <c r="B113" t="e">
        <f ca="1">func_Vlookup(107, "", "数値")</f>
        <v>#NAME?</v>
      </c>
    </row>
    <row r="114" spans="1:2" x14ac:dyDescent="0.2">
      <c r="A114" s="105" t="s">
        <v>572</v>
      </c>
      <c r="B114" t="e">
        <f ca="1">func_Vlookup(108)</f>
        <v>#NAME?</v>
      </c>
    </row>
    <row r="115" spans="1:2" x14ac:dyDescent="0.2">
      <c r="A115" s="105" t="s">
        <v>573</v>
      </c>
      <c r="B115" t="e">
        <f ca="1">func_Vlookup(109, "", "数値")</f>
        <v>#NAME?</v>
      </c>
    </row>
    <row r="116" spans="1:2" x14ac:dyDescent="0.2">
      <c r="A116" s="105" t="s">
        <v>574</v>
      </c>
      <c r="B116" t="e">
        <f ca="1">func_Vlookup(110)</f>
        <v>#NAME?</v>
      </c>
    </row>
    <row r="117" spans="1:2" x14ac:dyDescent="0.2">
      <c r="A117" s="105" t="s">
        <v>575</v>
      </c>
      <c r="B117" t="e">
        <f ca="1">func_Vlookup(111, "", "数値")</f>
        <v>#NAME?</v>
      </c>
    </row>
    <row r="118" spans="1:2" x14ac:dyDescent="0.2">
      <c r="A118" s="105" t="s">
        <v>576</v>
      </c>
      <c r="B118" t="e">
        <f ca="1">func_Vlookup(112)</f>
        <v>#NAME?</v>
      </c>
    </row>
    <row r="119" spans="1:2" x14ac:dyDescent="0.2">
      <c r="A119" s="105" t="s">
        <v>577</v>
      </c>
      <c r="B119" t="e">
        <f ca="1">func_Vlookup(113, "", "数値")</f>
        <v>#NAME?</v>
      </c>
    </row>
    <row r="120" spans="1:2" x14ac:dyDescent="0.2">
      <c r="A120" s="105" t="s">
        <v>578</v>
      </c>
      <c r="B120" t="e">
        <f ca="1">func_Vlookup(114)</f>
        <v>#NAME?</v>
      </c>
    </row>
    <row r="121" spans="1:2" x14ac:dyDescent="0.2">
      <c r="A121" s="105" t="s">
        <v>579</v>
      </c>
      <c r="B121" t="e">
        <f ca="1">func_Vlookup(115, "", "数値")</f>
        <v>#NAME?</v>
      </c>
    </row>
    <row r="122" spans="1:2" x14ac:dyDescent="0.2">
      <c r="A122" s="105" t="s">
        <v>580</v>
      </c>
      <c r="B122" t="e">
        <f ca="1">func_Vlookup(116)</f>
        <v>#NAME?</v>
      </c>
    </row>
    <row r="123" spans="1:2" x14ac:dyDescent="0.2">
      <c r="A123" s="105" t="s">
        <v>581</v>
      </c>
      <c r="B123" t="e">
        <f ca="1">func_Vlookup(117, "", "数値")</f>
        <v>#NAME?</v>
      </c>
    </row>
    <row r="124" spans="1:2" x14ac:dyDescent="0.2">
      <c r="A124" s="105" t="s">
        <v>582</v>
      </c>
      <c r="B124" t="e">
        <f ca="1">func_Vlookup(118)</f>
        <v>#NAME?</v>
      </c>
    </row>
    <row r="125" spans="1:2" x14ac:dyDescent="0.2">
      <c r="A125" s="105" t="s">
        <v>583</v>
      </c>
      <c r="B125" t="e">
        <f ca="1">func_Vlookup(119, "", "数値")</f>
        <v>#NAME?</v>
      </c>
    </row>
    <row r="126" spans="1:2" x14ac:dyDescent="0.2">
      <c r="A126" s="105" t="s">
        <v>584</v>
      </c>
      <c r="B126" t="e">
        <f ca="1">func_Vlookup(120)</f>
        <v>#NAME?</v>
      </c>
    </row>
    <row r="127" spans="1:2" x14ac:dyDescent="0.2">
      <c r="A127" s="105" t="s">
        <v>585</v>
      </c>
      <c r="B127" t="e">
        <f ca="1">func_Vlookup(121, "", "数値")</f>
        <v>#NAME?</v>
      </c>
    </row>
    <row r="128" spans="1:2" x14ac:dyDescent="0.2">
      <c r="A128" s="105" t="s">
        <v>586</v>
      </c>
      <c r="B128" t="e">
        <f ca="1">func_Vlookup(122)</f>
        <v>#NAME?</v>
      </c>
    </row>
    <row r="129" spans="1:2" x14ac:dyDescent="0.2">
      <c r="A129" s="105" t="s">
        <v>587</v>
      </c>
      <c r="B129" t="e">
        <f ca="1">func_Vlookup(123, "", "数値")</f>
        <v>#NAME?</v>
      </c>
    </row>
    <row r="130" spans="1:2" x14ac:dyDescent="0.2">
      <c r="A130" s="105" t="s">
        <v>588</v>
      </c>
      <c r="B130" t="e">
        <f ca="1">func_Vlookup(124)</f>
        <v>#NAME?</v>
      </c>
    </row>
    <row r="131" spans="1:2" x14ac:dyDescent="0.2">
      <c r="A131" s="105" t="s">
        <v>589</v>
      </c>
      <c r="B131" t="e">
        <f ca="1">func_Vlookup(125, "", "数値")</f>
        <v>#NAME?</v>
      </c>
    </row>
    <row r="132" spans="1:2" x14ac:dyDescent="0.2">
      <c r="A132" s="105" t="s">
        <v>590</v>
      </c>
      <c r="B132" t="e">
        <f ca="1">func_Vlookup(126)</f>
        <v>#NAME?</v>
      </c>
    </row>
    <row r="133" spans="1:2" x14ac:dyDescent="0.2">
      <c r="A133" s="105" t="s">
        <v>591</v>
      </c>
      <c r="B133" t="e">
        <f ca="1">func_Vlookup(127, "", "数値")</f>
        <v>#NAME?</v>
      </c>
    </row>
    <row r="134" spans="1:2" x14ac:dyDescent="0.2">
      <c r="A134" s="105" t="s">
        <v>592</v>
      </c>
      <c r="B134" t="e">
        <f ca="1">func_Vlookup(128)</f>
        <v>#NAME?</v>
      </c>
    </row>
    <row r="135" spans="1:2" x14ac:dyDescent="0.2">
      <c r="A135" s="105" t="s">
        <v>593</v>
      </c>
      <c r="B135" t="e">
        <f ca="1">func_Vlookup(129, "", "数値")</f>
        <v>#NAME?</v>
      </c>
    </row>
    <row r="136" spans="1:2" x14ac:dyDescent="0.2">
      <c r="A136" s="105" t="s">
        <v>594</v>
      </c>
      <c r="B136" t="e">
        <f ca="1">func_Vlookup(130)</f>
        <v>#NAME?</v>
      </c>
    </row>
    <row r="137" spans="1:2" x14ac:dyDescent="0.2">
      <c r="A137" s="105" t="s">
        <v>595</v>
      </c>
      <c r="B137" t="e">
        <f ca="1">func_Vlookup(131, "", "数値")</f>
        <v>#NAME?</v>
      </c>
    </row>
    <row r="138" spans="1:2" x14ac:dyDescent="0.2">
      <c r="A138" s="105" t="s">
        <v>596</v>
      </c>
      <c r="B138" t="e">
        <f ca="1">func_Vlookup(132)</f>
        <v>#NAME?</v>
      </c>
    </row>
    <row r="139" spans="1:2" x14ac:dyDescent="0.2">
      <c r="A139" s="105" t="s">
        <v>597</v>
      </c>
      <c r="B139" t="e">
        <f ca="1">func_Vlookup(133, "", "数値")</f>
        <v>#NAME?</v>
      </c>
    </row>
    <row r="140" spans="1:2" x14ac:dyDescent="0.2">
      <c r="A140" s="105" t="s">
        <v>598</v>
      </c>
      <c r="B140" t="e">
        <f ca="1">func_Vlookup(134)</f>
        <v>#NAME?</v>
      </c>
    </row>
    <row r="141" spans="1:2" x14ac:dyDescent="0.2">
      <c r="A141" s="105" t="s">
        <v>599</v>
      </c>
      <c r="B141" t="e">
        <f ca="1">func_Vlookup(135, "", "数値")</f>
        <v>#NAME?</v>
      </c>
    </row>
    <row r="142" spans="1:2" x14ac:dyDescent="0.2">
      <c r="A142" s="105" t="s">
        <v>600</v>
      </c>
      <c r="B142" t="e">
        <f ca="1">func_Vlookup(136)</f>
        <v>#NAME?</v>
      </c>
    </row>
    <row r="143" spans="1:2" x14ac:dyDescent="0.2">
      <c r="A143" s="105" t="s">
        <v>601</v>
      </c>
      <c r="B143" t="e">
        <f ca="1">func_Vlookup(137, "", "数値")</f>
        <v>#NAME?</v>
      </c>
    </row>
    <row r="144" spans="1:2" x14ac:dyDescent="0.2">
      <c r="A144" s="105" t="s">
        <v>602</v>
      </c>
      <c r="B144" t="e">
        <f ca="1">func_Vlookup(138)</f>
        <v>#NAME?</v>
      </c>
    </row>
    <row r="145" spans="1:2" x14ac:dyDescent="0.2">
      <c r="A145" s="105" t="s">
        <v>603</v>
      </c>
      <c r="B145" t="e">
        <f ca="1">func_Vlookup(139, "", "数値")</f>
        <v>#NAME?</v>
      </c>
    </row>
    <row r="146" spans="1:2" x14ac:dyDescent="0.2">
      <c r="A146" s="105" t="s">
        <v>604</v>
      </c>
      <c r="B146" t="e">
        <f ca="1">func_Vlookup(140)</f>
        <v>#NAME?</v>
      </c>
    </row>
    <row r="147" spans="1:2" x14ac:dyDescent="0.2">
      <c r="A147" s="105" t="s">
        <v>605</v>
      </c>
      <c r="B147" t="e">
        <f ca="1">func_Vlookup(141, "", "数値")</f>
        <v>#NAME?</v>
      </c>
    </row>
    <row r="148" spans="1:2" x14ac:dyDescent="0.2">
      <c r="A148" s="105" t="s">
        <v>50</v>
      </c>
      <c r="B148" t="e">
        <f ca="1">func_Vlookup(142)</f>
        <v>#NAME?</v>
      </c>
    </row>
    <row r="149" spans="1:2" x14ac:dyDescent="0.2">
      <c r="A149" s="105" t="s">
        <v>51</v>
      </c>
      <c r="B149" t="e">
        <f ca="1">func_Vlookup(143)</f>
        <v>#NAME?</v>
      </c>
    </row>
    <row r="150" spans="1:2" x14ac:dyDescent="0.2">
      <c r="A150" s="105" t="s">
        <v>52</v>
      </c>
      <c r="B150" t="e">
        <f ca="1">func_Vlookup(144)</f>
        <v>#NAME?</v>
      </c>
    </row>
    <row r="151" spans="1:2" x14ac:dyDescent="0.2">
      <c r="A151" s="105" t="s">
        <v>53</v>
      </c>
      <c r="B151" t="e">
        <f ca="1">func_Vlookup(145)</f>
        <v>#NAME?</v>
      </c>
    </row>
    <row r="152" spans="1:2" x14ac:dyDescent="0.2">
      <c r="A152" s="105" t="s">
        <v>54</v>
      </c>
      <c r="B152" t="e">
        <f ca="1">func_Vlookup(146)</f>
        <v>#NAME?</v>
      </c>
    </row>
    <row r="153" spans="1:2" x14ac:dyDescent="0.2">
      <c r="A153" s="105" t="s">
        <v>606</v>
      </c>
      <c r="B153" t="e">
        <f ca="1">func_Vlookup(147)</f>
        <v>#NAME?</v>
      </c>
    </row>
    <row r="154" spans="1:2" x14ac:dyDescent="0.2">
      <c r="A154" s="105" t="s">
        <v>607</v>
      </c>
      <c r="B154" t="e">
        <f ca="1">func_Vlookup(148, "", "数値")</f>
        <v>#NAME?</v>
      </c>
    </row>
    <row r="155" spans="1:2" x14ac:dyDescent="0.2">
      <c r="A155" s="105" t="s">
        <v>608</v>
      </c>
      <c r="B155" t="e">
        <f ca="1">func_Vlookup(149)</f>
        <v>#NAME?</v>
      </c>
    </row>
    <row r="156" spans="1:2" x14ac:dyDescent="0.2">
      <c r="A156" s="105" t="s">
        <v>609</v>
      </c>
      <c r="B156" t="e">
        <f ca="1">func_Vlookup(150, "", "数値")</f>
        <v>#NAME?</v>
      </c>
    </row>
    <row r="157" spans="1:2" x14ac:dyDescent="0.2">
      <c r="A157" s="105" t="s">
        <v>610</v>
      </c>
      <c r="B157" t="e">
        <f ca="1">func_Vlookup(151)</f>
        <v>#NAME?</v>
      </c>
    </row>
    <row r="158" spans="1:2" x14ac:dyDescent="0.2">
      <c r="A158" s="105" t="s">
        <v>611</v>
      </c>
      <c r="B158" t="e">
        <f ca="1">func_Vlookup(152, "", "数値")</f>
        <v>#NAME?</v>
      </c>
    </row>
    <row r="159" spans="1:2" x14ac:dyDescent="0.2">
      <c r="A159" s="105" t="s">
        <v>612</v>
      </c>
      <c r="B159" t="e">
        <f ca="1">func_Vlookup(153)</f>
        <v>#NAME?</v>
      </c>
    </row>
    <row r="160" spans="1:2" x14ac:dyDescent="0.2">
      <c r="A160" s="105" t="s">
        <v>613</v>
      </c>
      <c r="B160" t="e">
        <f ca="1">func_Vlookup(154, "", "数値")</f>
        <v>#NAME?</v>
      </c>
    </row>
    <row r="161" spans="1:2" x14ac:dyDescent="0.2">
      <c r="A161" s="105" t="s">
        <v>614</v>
      </c>
      <c r="B161" t="e">
        <f ca="1">func_Vlookup(155)</f>
        <v>#NAME?</v>
      </c>
    </row>
    <row r="162" spans="1:2" x14ac:dyDescent="0.2">
      <c r="A162" s="105" t="s">
        <v>615</v>
      </c>
      <c r="B162" t="e">
        <f ca="1">func_Vlookup(156, "", "数値")</f>
        <v>#NAME?</v>
      </c>
    </row>
    <row r="163" spans="1:2" x14ac:dyDescent="0.2">
      <c r="A163" s="105" t="s">
        <v>616</v>
      </c>
      <c r="B163" t="e">
        <f ca="1">func_Vlookup(157)</f>
        <v>#NAME?</v>
      </c>
    </row>
    <row r="164" spans="1:2" x14ac:dyDescent="0.2">
      <c r="A164" s="105" t="s">
        <v>617</v>
      </c>
      <c r="B164" t="e">
        <f ca="1">func_Vlookup(158, "", "数値")</f>
        <v>#NAME?</v>
      </c>
    </row>
    <row r="165" spans="1:2" x14ac:dyDescent="0.2">
      <c r="A165" s="105" t="s">
        <v>618</v>
      </c>
      <c r="B165" t="e">
        <f ca="1">func_Vlookup(159)</f>
        <v>#NAME?</v>
      </c>
    </row>
    <row r="166" spans="1:2" x14ac:dyDescent="0.2">
      <c r="A166" s="105" t="s">
        <v>619</v>
      </c>
      <c r="B166" t="e">
        <f ca="1">func_Vlookup(160, "", "数値")</f>
        <v>#NAME?</v>
      </c>
    </row>
    <row r="167" spans="1:2" x14ac:dyDescent="0.2">
      <c r="A167" s="105" t="s">
        <v>620</v>
      </c>
      <c r="B167" t="e">
        <f ca="1">func_Vlookup(161)</f>
        <v>#NAME?</v>
      </c>
    </row>
    <row r="168" spans="1:2" x14ac:dyDescent="0.2">
      <c r="A168" s="105" t="s">
        <v>621</v>
      </c>
      <c r="B168" t="e">
        <f ca="1">func_Vlookup(162, "", "数値")</f>
        <v>#NAME?</v>
      </c>
    </row>
    <row r="169" spans="1:2" x14ac:dyDescent="0.2">
      <c r="A169" s="105" t="s">
        <v>622</v>
      </c>
      <c r="B169" t="e">
        <f ca="1">func_Vlookup(163)</f>
        <v>#NAME?</v>
      </c>
    </row>
    <row r="170" spans="1:2" x14ac:dyDescent="0.2">
      <c r="A170" s="105" t="s">
        <v>623</v>
      </c>
      <c r="B170" t="e">
        <f ca="1">func_Vlookup(164, "", "数値")</f>
        <v>#NAME?</v>
      </c>
    </row>
    <row r="171" spans="1:2" x14ac:dyDescent="0.2">
      <c r="A171" s="105" t="s">
        <v>624</v>
      </c>
      <c r="B171" t="e">
        <f ca="1">func_Vlookup(165)</f>
        <v>#NAME?</v>
      </c>
    </row>
    <row r="172" spans="1:2" x14ac:dyDescent="0.2">
      <c r="A172" s="105" t="s">
        <v>625</v>
      </c>
      <c r="B172" t="e">
        <f ca="1">func_Vlookup(166, "", "数値")</f>
        <v>#NAME?</v>
      </c>
    </row>
    <row r="173" spans="1:2" x14ac:dyDescent="0.2">
      <c r="A173" s="105" t="s">
        <v>626</v>
      </c>
      <c r="B173" t="e">
        <f ca="1">func_Vlookup(167)</f>
        <v>#NAME?</v>
      </c>
    </row>
    <row r="174" spans="1:2" x14ac:dyDescent="0.2">
      <c r="A174" s="105" t="s">
        <v>627</v>
      </c>
      <c r="B174" t="e">
        <f ca="1">func_Vlookup(168, "", "数値")</f>
        <v>#NAME?</v>
      </c>
    </row>
    <row r="175" spans="1:2" x14ac:dyDescent="0.2">
      <c r="A175" s="105" t="s">
        <v>628</v>
      </c>
      <c r="B175" t="e">
        <f ca="1">func_Vlookup(169)</f>
        <v>#NAME?</v>
      </c>
    </row>
    <row r="176" spans="1:2" x14ac:dyDescent="0.2">
      <c r="A176" s="105" t="s">
        <v>629</v>
      </c>
      <c r="B176" t="e">
        <f ca="1">func_Vlookup(170, "", "数値")</f>
        <v>#NAME?</v>
      </c>
    </row>
    <row r="177" spans="1:2" x14ac:dyDescent="0.2">
      <c r="A177" s="105" t="s">
        <v>630</v>
      </c>
      <c r="B177" t="e">
        <f ca="1">func_Vlookup(171)</f>
        <v>#NAME?</v>
      </c>
    </row>
    <row r="178" spans="1:2" x14ac:dyDescent="0.2">
      <c r="A178" s="105" t="s">
        <v>631</v>
      </c>
      <c r="B178" t="e">
        <f ca="1">func_Vlookup(172, "", "数値")</f>
        <v>#NAME?</v>
      </c>
    </row>
    <row r="179" spans="1:2" x14ac:dyDescent="0.2">
      <c r="A179" s="105" t="s">
        <v>632</v>
      </c>
      <c r="B179" t="e">
        <f ca="1">func_Vlookup(173)</f>
        <v>#NAME?</v>
      </c>
    </row>
    <row r="180" spans="1:2" x14ac:dyDescent="0.2">
      <c r="A180" s="105" t="s">
        <v>633</v>
      </c>
      <c r="B180" t="e">
        <f ca="1">func_Vlookup(174, "", "数値")</f>
        <v>#NAME?</v>
      </c>
    </row>
    <row r="181" spans="1:2" x14ac:dyDescent="0.2">
      <c r="A181" s="105" t="s">
        <v>634</v>
      </c>
      <c r="B181" t="e">
        <f ca="1">func_Vlookup(175)</f>
        <v>#NAME?</v>
      </c>
    </row>
    <row r="182" spans="1:2" x14ac:dyDescent="0.2">
      <c r="A182" s="105" t="s">
        <v>648</v>
      </c>
      <c r="B182" t="e">
        <f ca="1">func_Vlookup(176, "", "数値")</f>
        <v>#NAME?</v>
      </c>
    </row>
    <row r="183" spans="1:2" x14ac:dyDescent="0.2">
      <c r="A183" s="105" t="s">
        <v>649</v>
      </c>
      <c r="B183" t="e">
        <f ca="1">func_Vlookup(177)</f>
        <v>#NAME?</v>
      </c>
    </row>
    <row r="184" spans="1:2" x14ac:dyDescent="0.2">
      <c r="A184" s="105" t="s">
        <v>650</v>
      </c>
      <c r="B184" t="e">
        <f ca="1">func_Vlookup(178, "", "数値")</f>
        <v>#NAME?</v>
      </c>
    </row>
    <row r="185" spans="1:2" x14ac:dyDescent="0.2">
      <c r="A185" s="105" t="s">
        <v>651</v>
      </c>
      <c r="B185" t="e">
        <f ca="1">func_Vlookup(179)</f>
        <v>#NAME?</v>
      </c>
    </row>
    <row r="186" spans="1:2" x14ac:dyDescent="0.2">
      <c r="A186" s="105" t="s">
        <v>652</v>
      </c>
      <c r="B186" t="e">
        <f ca="1">func_Vlookup(180, "", "数値")</f>
        <v>#NAME?</v>
      </c>
    </row>
    <row r="187" spans="1:2" x14ac:dyDescent="0.2">
      <c r="A187" s="105" t="s">
        <v>653</v>
      </c>
      <c r="B187" t="e">
        <f ca="1">func_Vlookup(181)</f>
        <v>#NAME?</v>
      </c>
    </row>
    <row r="188" spans="1:2" x14ac:dyDescent="0.2">
      <c r="A188" s="105" t="s">
        <v>654</v>
      </c>
      <c r="B188" t="e">
        <f ca="1">func_Vlookup(182, "", "数値")</f>
        <v>#NAME?</v>
      </c>
    </row>
    <row r="189" spans="1:2" x14ac:dyDescent="0.2">
      <c r="A189" s="105" t="s">
        <v>655</v>
      </c>
      <c r="B189" t="e">
        <f ca="1">func_Vlookup(183)</f>
        <v>#NAME?</v>
      </c>
    </row>
    <row r="190" spans="1:2" x14ac:dyDescent="0.2">
      <c r="A190" s="105" t="s">
        <v>656</v>
      </c>
      <c r="B190" t="e">
        <f ca="1">func_Vlookup(184, "", "数値")</f>
        <v>#NAME?</v>
      </c>
    </row>
    <row r="191" spans="1:2" x14ac:dyDescent="0.2">
      <c r="A191" s="105" t="s">
        <v>657</v>
      </c>
      <c r="B191" t="e">
        <f ca="1">func_Vlookup(185)</f>
        <v>#NAME?</v>
      </c>
    </row>
    <row r="192" spans="1:2" x14ac:dyDescent="0.2">
      <c r="A192" s="105" t="s">
        <v>658</v>
      </c>
      <c r="B192" t="e">
        <f ca="1">func_Vlookup(186, "", "数値")</f>
        <v>#NAME?</v>
      </c>
    </row>
    <row r="193" spans="1:2" x14ac:dyDescent="0.2">
      <c r="A193" s="105" t="s">
        <v>659</v>
      </c>
      <c r="B193" t="e">
        <f ca="1">func_Vlookup(187)</f>
        <v>#NAME?</v>
      </c>
    </row>
    <row r="194" spans="1:2" x14ac:dyDescent="0.2">
      <c r="A194" s="105" t="s">
        <v>660</v>
      </c>
      <c r="B194" t="e">
        <f ca="1">func_Vlookup(188, "", "数値")</f>
        <v>#NAME?</v>
      </c>
    </row>
    <row r="195" spans="1:2" x14ac:dyDescent="0.2">
      <c r="A195" s="105" t="s">
        <v>661</v>
      </c>
      <c r="B195" t="e">
        <f ca="1">func_Vlookup(189)</f>
        <v>#NAME?</v>
      </c>
    </row>
    <row r="196" spans="1:2" x14ac:dyDescent="0.2">
      <c r="A196" s="105" t="s">
        <v>662</v>
      </c>
      <c r="B196" t="e">
        <f ca="1">func_Vlookup(190, "", "数値")</f>
        <v>#NAME?</v>
      </c>
    </row>
    <row r="197" spans="1:2" x14ac:dyDescent="0.2">
      <c r="A197" s="105" t="s">
        <v>663</v>
      </c>
      <c r="B197" t="e">
        <f ca="1">func_Vlookup(191)</f>
        <v>#NAME?</v>
      </c>
    </row>
    <row r="198" spans="1:2" x14ac:dyDescent="0.2">
      <c r="A198" s="105" t="s">
        <v>664</v>
      </c>
      <c r="B198" t="e">
        <f ca="1">func_Vlookup(192, "", "数値")</f>
        <v>#NAME?</v>
      </c>
    </row>
    <row r="199" spans="1:2" x14ac:dyDescent="0.2">
      <c r="A199" s="105" t="s">
        <v>665</v>
      </c>
      <c r="B199" t="e">
        <f ca="1">func_Vlookup(193)</f>
        <v>#NAME?</v>
      </c>
    </row>
    <row r="200" spans="1:2" x14ac:dyDescent="0.2">
      <c r="A200" s="105" t="s">
        <v>666</v>
      </c>
      <c r="B200" t="e">
        <f ca="1">func_Vlookup(194, "", "数値")</f>
        <v>#NAME?</v>
      </c>
    </row>
    <row r="201" spans="1:2" x14ac:dyDescent="0.2">
      <c r="A201" s="105" t="s">
        <v>667</v>
      </c>
      <c r="B201" t="e">
        <f ca="1">func_Vlookup(195)</f>
        <v>#NAME?</v>
      </c>
    </row>
    <row r="202" spans="1:2" x14ac:dyDescent="0.2">
      <c r="A202" s="105" t="s">
        <v>668</v>
      </c>
      <c r="B202" t="e">
        <f ca="1">func_Vlookup(196, "", "数値")</f>
        <v>#NAME?</v>
      </c>
    </row>
    <row r="203" spans="1:2" x14ac:dyDescent="0.2">
      <c r="A203" s="105" t="s">
        <v>669</v>
      </c>
      <c r="B203" t="e">
        <f ca="1">func_Vlookup(197)</f>
        <v>#NAME?</v>
      </c>
    </row>
    <row r="204" spans="1:2" x14ac:dyDescent="0.2">
      <c r="A204" s="105" t="s">
        <v>670</v>
      </c>
      <c r="B204" t="e">
        <f ca="1">func_Vlookup(198, "", "数値")</f>
        <v>#NAME?</v>
      </c>
    </row>
    <row r="205" spans="1:2" x14ac:dyDescent="0.2">
      <c r="A205" s="105" t="s">
        <v>671</v>
      </c>
      <c r="B205" t="e">
        <f ca="1">func_Vlookup(199)</f>
        <v>#NAME?</v>
      </c>
    </row>
    <row r="206" spans="1:2" x14ac:dyDescent="0.2">
      <c r="A206" s="105" t="s">
        <v>672</v>
      </c>
      <c r="B206" t="e">
        <f ca="1">func_Vlookup(200, "", "数値")</f>
        <v>#NAME?</v>
      </c>
    </row>
    <row r="207" spans="1:2" x14ac:dyDescent="0.2">
      <c r="A207" s="105" t="s">
        <v>673</v>
      </c>
      <c r="B207" t="e">
        <f ca="1">func_Vlookup(201)</f>
        <v>#NAME?</v>
      </c>
    </row>
    <row r="208" spans="1:2" x14ac:dyDescent="0.2">
      <c r="A208" s="105" t="s">
        <v>674</v>
      </c>
      <c r="B208" t="e">
        <f ca="1">func_Vlookup(202, "", "数値")</f>
        <v>#NAME?</v>
      </c>
    </row>
    <row r="209" spans="1:2" x14ac:dyDescent="0.2">
      <c r="A209" s="105" t="s">
        <v>675</v>
      </c>
      <c r="B209" t="e">
        <f ca="1">func_Vlookup(203)</f>
        <v>#NAME?</v>
      </c>
    </row>
    <row r="210" spans="1:2" x14ac:dyDescent="0.2">
      <c r="A210" s="105" t="s">
        <v>676</v>
      </c>
      <c r="B210" t="e">
        <f ca="1">func_Vlookup(204, "", "数値")</f>
        <v>#NAME?</v>
      </c>
    </row>
    <row r="211" spans="1:2" x14ac:dyDescent="0.2">
      <c r="A211" s="105" t="s">
        <v>677</v>
      </c>
      <c r="B211" t="e">
        <f ca="1">func_Vlookup(205)</f>
        <v>#NAME?</v>
      </c>
    </row>
    <row r="212" spans="1:2" x14ac:dyDescent="0.2">
      <c r="A212" s="105" t="s">
        <v>678</v>
      </c>
      <c r="B212" t="e">
        <f ca="1">func_Vlookup(206, "", "数値")</f>
        <v>#NAME?</v>
      </c>
    </row>
    <row r="213" spans="1:2" x14ac:dyDescent="0.2">
      <c r="A213" s="105" t="s">
        <v>679</v>
      </c>
      <c r="B213" t="e">
        <f ca="1">func_Vlookup(207)</f>
        <v>#NAME?</v>
      </c>
    </row>
    <row r="214" spans="1:2" x14ac:dyDescent="0.2">
      <c r="A214" s="105" t="s">
        <v>680</v>
      </c>
      <c r="B214" t="e">
        <f ca="1">func_Vlookup(208, "", "数値")</f>
        <v>#NAME?</v>
      </c>
    </row>
    <row r="215" spans="1:2" x14ac:dyDescent="0.2">
      <c r="A215" s="105" t="s">
        <v>681</v>
      </c>
      <c r="B215" t="e">
        <f ca="1">func_Vlookup(209)</f>
        <v>#NAME?</v>
      </c>
    </row>
    <row r="216" spans="1:2" x14ac:dyDescent="0.2">
      <c r="A216" s="105" t="s">
        <v>682</v>
      </c>
      <c r="B216" t="e">
        <f ca="1">func_Vlookup(210, "", "数値")</f>
        <v>#NAME?</v>
      </c>
    </row>
    <row r="217" spans="1:2" x14ac:dyDescent="0.2">
      <c r="A217" s="105" t="s">
        <v>683</v>
      </c>
      <c r="B217" t="e">
        <f ca="1">func_Vlookup(211)</f>
        <v>#NAME?</v>
      </c>
    </row>
    <row r="218" spans="1:2" x14ac:dyDescent="0.2">
      <c r="A218" s="105" t="s">
        <v>684</v>
      </c>
      <c r="B218" t="e">
        <f ca="1">func_Vlookup(212, "", "数値")</f>
        <v>#NAME?</v>
      </c>
    </row>
    <row r="219" spans="1:2" x14ac:dyDescent="0.2">
      <c r="A219" s="105" t="s">
        <v>685</v>
      </c>
      <c r="B219" t="e">
        <f ca="1">func_Vlookup(213)</f>
        <v>#NAME?</v>
      </c>
    </row>
    <row r="220" spans="1:2" x14ac:dyDescent="0.2">
      <c r="A220" s="105" t="s">
        <v>686</v>
      </c>
      <c r="B220" t="e">
        <f ca="1">func_Vlookup(214, "", "数値")</f>
        <v>#NAME?</v>
      </c>
    </row>
    <row r="221" spans="1:2" x14ac:dyDescent="0.2">
      <c r="A221" s="105" t="s">
        <v>687</v>
      </c>
      <c r="B221" t="e">
        <f ca="1">func_Vlookup(215)</f>
        <v>#NAME?</v>
      </c>
    </row>
    <row r="222" spans="1:2" x14ac:dyDescent="0.2">
      <c r="A222" s="105" t="s">
        <v>688</v>
      </c>
      <c r="B222" t="e">
        <f ca="1">func_Vlookup(216, "", "数値")</f>
        <v>#NAME?</v>
      </c>
    </row>
    <row r="223" spans="1:2" x14ac:dyDescent="0.2">
      <c r="A223" s="105" t="s">
        <v>689</v>
      </c>
      <c r="B223" t="e">
        <f ca="1">func_Vlookup(217)</f>
        <v>#NAME?</v>
      </c>
    </row>
    <row r="224" spans="1:2" x14ac:dyDescent="0.2">
      <c r="A224" s="105" t="s">
        <v>690</v>
      </c>
      <c r="B224" t="e">
        <f ca="1">func_Vlookup(218, "", "数値")</f>
        <v>#NAME?</v>
      </c>
    </row>
    <row r="225" spans="1:2" x14ac:dyDescent="0.2">
      <c r="A225" s="105" t="s">
        <v>691</v>
      </c>
      <c r="B225" t="e">
        <f ca="1">func_Vlookup(219)</f>
        <v>#NAME?</v>
      </c>
    </row>
    <row r="226" spans="1:2" x14ac:dyDescent="0.2">
      <c r="A226" s="105" t="s">
        <v>692</v>
      </c>
      <c r="B226" t="e">
        <f ca="1">func_Vlookup(220, "", "数値")</f>
        <v>#NAME?</v>
      </c>
    </row>
    <row r="227" spans="1:2" x14ac:dyDescent="0.2">
      <c r="A227" s="105" t="s">
        <v>693</v>
      </c>
      <c r="B227" t="e">
        <f ca="1">func_Vlookup(221)</f>
        <v>#NAME?</v>
      </c>
    </row>
    <row r="228" spans="1:2" x14ac:dyDescent="0.2">
      <c r="A228" s="105" t="s">
        <v>694</v>
      </c>
      <c r="B228" t="e">
        <f ca="1">func_Vlookup(222, "", "数値")</f>
        <v>#NAME?</v>
      </c>
    </row>
    <row r="229" spans="1:2" x14ac:dyDescent="0.2">
      <c r="A229" s="105" t="s">
        <v>695</v>
      </c>
      <c r="B229" t="e">
        <f ca="1">func_Vlookup(223)</f>
        <v>#NAME?</v>
      </c>
    </row>
    <row r="230" spans="1:2" x14ac:dyDescent="0.2">
      <c r="A230" s="105" t="s">
        <v>696</v>
      </c>
      <c r="B230" t="e">
        <f ca="1">func_Vlookup(224, "", "数値")</f>
        <v>#NAME?</v>
      </c>
    </row>
    <row r="231" spans="1:2" x14ac:dyDescent="0.2">
      <c r="A231" s="105" t="s">
        <v>697</v>
      </c>
      <c r="B231" t="e">
        <f ca="1">func_Vlookup(225)</f>
        <v>#NAME?</v>
      </c>
    </row>
    <row r="232" spans="1:2" x14ac:dyDescent="0.2">
      <c r="A232" s="105" t="s">
        <v>698</v>
      </c>
      <c r="B232" t="e">
        <f ca="1">func_Vlookup(226, "", "数値")</f>
        <v>#NAME?</v>
      </c>
    </row>
    <row r="233" spans="1:2" x14ac:dyDescent="0.2">
      <c r="A233" s="105" t="s">
        <v>699</v>
      </c>
      <c r="B233" t="e">
        <f ca="1">func_Vlookup(227)</f>
        <v>#NAME?</v>
      </c>
    </row>
    <row r="234" spans="1:2" x14ac:dyDescent="0.2">
      <c r="A234" s="105" t="s">
        <v>700</v>
      </c>
      <c r="B234" t="e">
        <f ca="1">func_Vlookup(228, "", "数値")</f>
        <v>#NAME?</v>
      </c>
    </row>
    <row r="235" spans="1:2" x14ac:dyDescent="0.2">
      <c r="A235" s="105" t="s">
        <v>701</v>
      </c>
      <c r="B235" t="e">
        <f ca="1">func_Vlookup(229)</f>
        <v>#NAME?</v>
      </c>
    </row>
    <row r="236" spans="1:2" x14ac:dyDescent="0.2">
      <c r="A236" s="105" t="s">
        <v>702</v>
      </c>
      <c r="B236" t="e">
        <f ca="1">func_Vlookup(230, "", "数値")</f>
        <v>#NAME?</v>
      </c>
    </row>
    <row r="237" spans="1:2" x14ac:dyDescent="0.2">
      <c r="A237" s="105" t="s">
        <v>703</v>
      </c>
      <c r="B237" t="e">
        <f ca="1">func_Vlookup(231)</f>
        <v>#NAME?</v>
      </c>
    </row>
    <row r="238" spans="1:2" x14ac:dyDescent="0.2">
      <c r="A238" s="105" t="s">
        <v>704</v>
      </c>
      <c r="B238" t="e">
        <f ca="1">func_Vlookup(232, "", "数値")</f>
        <v>#NAME?</v>
      </c>
    </row>
    <row r="239" spans="1:2" x14ac:dyDescent="0.2">
      <c r="A239" s="105" t="s">
        <v>705</v>
      </c>
      <c r="B239" t="e">
        <f ca="1">func_Vlookup(233)</f>
        <v>#NAME?</v>
      </c>
    </row>
    <row r="240" spans="1:2" x14ac:dyDescent="0.2">
      <c r="A240" s="105" t="s">
        <v>706</v>
      </c>
      <c r="B240" t="e">
        <f ca="1">func_Vlookup(234, "", "数値")</f>
        <v>#NAME?</v>
      </c>
    </row>
    <row r="241" spans="1:2" x14ac:dyDescent="0.2">
      <c r="A241" s="105" t="s">
        <v>707</v>
      </c>
      <c r="B241" t="e">
        <f ca="1">func_Vlookup(235)</f>
        <v>#NAME?</v>
      </c>
    </row>
    <row r="242" spans="1:2" x14ac:dyDescent="0.2">
      <c r="A242" s="105" t="s">
        <v>708</v>
      </c>
      <c r="B242" t="e">
        <f ca="1">func_Vlookup(236, "", "数値")</f>
        <v>#NAME?</v>
      </c>
    </row>
    <row r="243" spans="1:2" x14ac:dyDescent="0.2">
      <c r="A243" s="105" t="s">
        <v>709</v>
      </c>
      <c r="B243" t="e">
        <f ca="1">func_Vlookup(237)</f>
        <v>#NAME?</v>
      </c>
    </row>
    <row r="244" spans="1:2" x14ac:dyDescent="0.2">
      <c r="A244" s="105" t="s">
        <v>710</v>
      </c>
      <c r="B244" t="e">
        <f ca="1">func_Vlookup(238, "", "数値")</f>
        <v>#NAME?</v>
      </c>
    </row>
    <row r="245" spans="1:2" x14ac:dyDescent="0.2">
      <c r="A245" s="105" t="s">
        <v>711</v>
      </c>
      <c r="B245" t="e">
        <f ca="1">func_Vlookup(239)</f>
        <v>#NAME?</v>
      </c>
    </row>
    <row r="246" spans="1:2" x14ac:dyDescent="0.2">
      <c r="A246" s="105" t="s">
        <v>712</v>
      </c>
      <c r="B246" t="e">
        <f ca="1">func_Vlookup(240, "", "数値")</f>
        <v>#NAME?</v>
      </c>
    </row>
    <row r="247" spans="1:2" x14ac:dyDescent="0.2">
      <c r="A247" s="105" t="s">
        <v>713</v>
      </c>
      <c r="B247" t="e">
        <f ca="1">func_Vlookup(241)</f>
        <v>#NAME?</v>
      </c>
    </row>
    <row r="248" spans="1:2" x14ac:dyDescent="0.2">
      <c r="A248" s="105" t="s">
        <v>714</v>
      </c>
      <c r="B248" t="e">
        <f ca="1">func_Vlookup(242, "", "数値")</f>
        <v>#NAME?</v>
      </c>
    </row>
    <row r="249" spans="1:2" x14ac:dyDescent="0.2">
      <c r="A249" s="105" t="s">
        <v>715</v>
      </c>
      <c r="B249" t="e">
        <f ca="1">func_Vlookup(243)</f>
        <v>#NAME?</v>
      </c>
    </row>
    <row r="250" spans="1:2" x14ac:dyDescent="0.2">
      <c r="A250" s="105" t="s">
        <v>716</v>
      </c>
      <c r="B250" t="e">
        <f ca="1">func_Vlookup(244, "", "数値")</f>
        <v>#NAME?</v>
      </c>
    </row>
    <row r="251" spans="1:2" x14ac:dyDescent="0.2">
      <c r="A251" s="105" t="s">
        <v>717</v>
      </c>
      <c r="B251" t="e">
        <f ca="1">func_Vlookup(245)</f>
        <v>#NAME?</v>
      </c>
    </row>
    <row r="252" spans="1:2" x14ac:dyDescent="0.2">
      <c r="A252" s="105" t="s">
        <v>718</v>
      </c>
      <c r="B252" t="e">
        <f ca="1">func_Vlookup(246, "", "数値")</f>
        <v>#NAME?</v>
      </c>
    </row>
    <row r="253" spans="1:2" x14ac:dyDescent="0.2">
      <c r="A253" s="105" t="s">
        <v>719</v>
      </c>
      <c r="B253" t="e">
        <f ca="1">func_Vlookup(247)</f>
        <v>#NAME?</v>
      </c>
    </row>
    <row r="254" spans="1:2" x14ac:dyDescent="0.2">
      <c r="A254" s="105" t="s">
        <v>720</v>
      </c>
      <c r="B254" t="e">
        <f ca="1">func_Vlookup(248, "", "数値")</f>
        <v>#NAME?</v>
      </c>
    </row>
    <row r="255" spans="1:2" x14ac:dyDescent="0.2">
      <c r="A255" s="105" t="s">
        <v>721</v>
      </c>
      <c r="B255" t="e">
        <f ca="1">func_Vlookup(249)</f>
        <v>#NAME?</v>
      </c>
    </row>
    <row r="256" spans="1:2" x14ac:dyDescent="0.2">
      <c r="A256" s="105" t="s">
        <v>722</v>
      </c>
      <c r="B256" t="e">
        <f ca="1">func_Vlookup(250, "", "数値")</f>
        <v>#NAME?</v>
      </c>
    </row>
    <row r="257" spans="1:2" x14ac:dyDescent="0.2">
      <c r="A257" s="105" t="s">
        <v>723</v>
      </c>
      <c r="B257" t="e">
        <f ca="1">func_Vlookup(251)</f>
        <v>#NAME?</v>
      </c>
    </row>
    <row r="258" spans="1:2" x14ac:dyDescent="0.2">
      <c r="A258" s="105" t="s">
        <v>724</v>
      </c>
      <c r="B258" t="e">
        <f ca="1">func_Vlookup(252, "", "数値")</f>
        <v>#NAME?</v>
      </c>
    </row>
    <row r="259" spans="1:2" x14ac:dyDescent="0.2">
      <c r="A259" s="105" t="s">
        <v>725</v>
      </c>
      <c r="B259" t="e">
        <f ca="1">func_Vlookup(253)</f>
        <v>#NAME?</v>
      </c>
    </row>
    <row r="260" spans="1:2" x14ac:dyDescent="0.2">
      <c r="A260" s="105" t="s">
        <v>726</v>
      </c>
      <c r="B260" t="e">
        <f ca="1">func_Vlookup(254, "", "数値")</f>
        <v>#NAME?</v>
      </c>
    </row>
    <row r="261" spans="1:2" x14ac:dyDescent="0.2">
      <c r="A261" s="105" t="s">
        <v>727</v>
      </c>
      <c r="B261" t="e">
        <f ca="1">func_Vlookup(255)</f>
        <v>#NAME?</v>
      </c>
    </row>
    <row r="262" spans="1:2" x14ac:dyDescent="0.2">
      <c r="A262" s="105" t="s">
        <v>728</v>
      </c>
      <c r="B262" t="e">
        <f ca="1">func_Vlookup(256, "", "数値")</f>
        <v>#NAME?</v>
      </c>
    </row>
    <row r="263" spans="1:2" x14ac:dyDescent="0.2">
      <c r="A263" s="105" t="s">
        <v>1135</v>
      </c>
      <c r="B263" t="e">
        <f ca="1">func_Vlookup2(3)</f>
        <v>#NAME?</v>
      </c>
    </row>
    <row r="264" spans="1:2" x14ac:dyDescent="0.2">
      <c r="A264" s="105" t="s">
        <v>729</v>
      </c>
      <c r="B264" t="e">
        <f ca="1">func_Vlookup2(4, "", "数値")</f>
        <v>#NAME?</v>
      </c>
    </row>
    <row r="265" spans="1:2" x14ac:dyDescent="0.2">
      <c r="A265" s="105" t="s">
        <v>730</v>
      </c>
      <c r="B265" t="e">
        <f ca="1">func_Vlookup2(5)</f>
        <v>#NAME?</v>
      </c>
    </row>
    <row r="266" spans="1:2" x14ac:dyDescent="0.2">
      <c r="A266" s="105" t="s">
        <v>731</v>
      </c>
      <c r="B266" t="e">
        <f ca="1">func_Vlookup2(6, "", "数値")</f>
        <v>#NAME?</v>
      </c>
    </row>
    <row r="267" spans="1:2" x14ac:dyDescent="0.2">
      <c r="A267" s="105" t="s">
        <v>732</v>
      </c>
      <c r="B267" t="e">
        <f ca="1">func_Vlookup2(7)</f>
        <v>#NAME?</v>
      </c>
    </row>
    <row r="268" spans="1:2" x14ac:dyDescent="0.2">
      <c r="A268" s="105" t="s">
        <v>733</v>
      </c>
      <c r="B268" t="e">
        <f ca="1">func_Vlookup2(8, "", "数値")</f>
        <v>#NAME?</v>
      </c>
    </row>
    <row r="269" spans="1:2" x14ac:dyDescent="0.2">
      <c r="A269" s="105" t="s">
        <v>734</v>
      </c>
      <c r="B269" t="e">
        <f ca="1">func_Vlookup2(9)</f>
        <v>#NAME?</v>
      </c>
    </row>
    <row r="270" spans="1:2" x14ac:dyDescent="0.2">
      <c r="A270" s="105" t="s">
        <v>735</v>
      </c>
      <c r="B270" t="e">
        <f ca="1">func_Vlookup2(10, "", "数値")</f>
        <v>#NAME?</v>
      </c>
    </row>
    <row r="271" spans="1:2" x14ac:dyDescent="0.2">
      <c r="A271" s="105" t="s">
        <v>736</v>
      </c>
      <c r="B271" t="e">
        <f ca="1">func_Vlookup2(11)</f>
        <v>#NAME?</v>
      </c>
    </row>
    <row r="272" spans="1:2" x14ac:dyDescent="0.2">
      <c r="A272" s="105" t="s">
        <v>737</v>
      </c>
      <c r="B272" t="e">
        <f ca="1">func_Vlookup2(12, "", "数値")</f>
        <v>#NAME?</v>
      </c>
    </row>
    <row r="273" spans="1:2" x14ac:dyDescent="0.2">
      <c r="A273" s="105" t="s">
        <v>738</v>
      </c>
      <c r="B273" t="e">
        <f ca="1">func_Vlookup2(13)</f>
        <v>#NAME?</v>
      </c>
    </row>
    <row r="274" spans="1:2" x14ac:dyDescent="0.2">
      <c r="A274" s="105" t="s">
        <v>739</v>
      </c>
      <c r="B274" t="e">
        <f ca="1">func_Vlookup2(14, "", "数値")</f>
        <v>#NAME?</v>
      </c>
    </row>
    <row r="275" spans="1:2" x14ac:dyDescent="0.2">
      <c r="A275" s="105" t="s">
        <v>740</v>
      </c>
      <c r="B275" t="e">
        <f ca="1">func_Vlookup2(15)</f>
        <v>#NAME?</v>
      </c>
    </row>
    <row r="276" spans="1:2" x14ac:dyDescent="0.2">
      <c r="A276" s="105" t="s">
        <v>741</v>
      </c>
      <c r="B276" t="e">
        <f ca="1">func_Vlookup2(16, "", "数値")</f>
        <v>#NAME?</v>
      </c>
    </row>
    <row r="277" spans="1:2" x14ac:dyDescent="0.2">
      <c r="A277" s="105" t="s">
        <v>742</v>
      </c>
      <c r="B277" t="e">
        <f ca="1">func_Vlookup2(17)</f>
        <v>#NAME?</v>
      </c>
    </row>
    <row r="278" spans="1:2" x14ac:dyDescent="0.2">
      <c r="A278" s="105" t="s">
        <v>743</v>
      </c>
      <c r="B278" t="e">
        <f ca="1">func_Vlookup2(18, "", "数値")</f>
        <v>#NAME?</v>
      </c>
    </row>
    <row r="279" spans="1:2" x14ac:dyDescent="0.2">
      <c r="A279" s="105" t="s">
        <v>744</v>
      </c>
      <c r="B279" t="e">
        <f ca="1">func_Vlookup2(19)</f>
        <v>#NAME?</v>
      </c>
    </row>
    <row r="280" spans="1:2" x14ac:dyDescent="0.2">
      <c r="A280" s="105" t="s">
        <v>745</v>
      </c>
      <c r="B280" t="e">
        <f ca="1">func_Vlookup2(20, "", "数値")</f>
        <v>#NAME?</v>
      </c>
    </row>
    <row r="281" spans="1:2" x14ac:dyDescent="0.2">
      <c r="A281" s="105" t="s">
        <v>746</v>
      </c>
      <c r="B281" t="e">
        <f ca="1">func_Vlookup2(21)</f>
        <v>#NAME?</v>
      </c>
    </row>
    <row r="282" spans="1:2" x14ac:dyDescent="0.2">
      <c r="A282" s="105" t="s">
        <v>747</v>
      </c>
      <c r="B282" t="e">
        <f ca="1">func_Vlookup2(22, "", "数値")</f>
        <v>#NAME?</v>
      </c>
    </row>
    <row r="283" spans="1:2" x14ac:dyDescent="0.2">
      <c r="A283" s="105" t="s">
        <v>748</v>
      </c>
      <c r="B283" t="e">
        <f ca="1">func_Vlookup2(23)</f>
        <v>#NAME?</v>
      </c>
    </row>
    <row r="284" spans="1:2" x14ac:dyDescent="0.2">
      <c r="A284" s="105" t="s">
        <v>749</v>
      </c>
      <c r="B284" t="e">
        <f ca="1">func_Vlookup2(24, "", "数値")</f>
        <v>#NAME?</v>
      </c>
    </row>
    <row r="285" spans="1:2" x14ac:dyDescent="0.2">
      <c r="A285" s="105" t="s">
        <v>750</v>
      </c>
      <c r="B285" t="e">
        <f ca="1">func_Vlookup2(25)</f>
        <v>#NAME?</v>
      </c>
    </row>
    <row r="286" spans="1:2" x14ac:dyDescent="0.2">
      <c r="A286" s="105" t="s">
        <v>751</v>
      </c>
      <c r="B286" t="e">
        <f ca="1">func_Vlookup2(26, "", "数値")</f>
        <v>#NAME?</v>
      </c>
    </row>
    <row r="287" spans="1:2" x14ac:dyDescent="0.2">
      <c r="A287" s="105" t="s">
        <v>752</v>
      </c>
      <c r="B287" t="e">
        <f ca="1">func_Vlookup2(27)</f>
        <v>#NAME?</v>
      </c>
    </row>
    <row r="288" spans="1:2" x14ac:dyDescent="0.2">
      <c r="A288" s="105" t="s">
        <v>753</v>
      </c>
      <c r="B288" t="e">
        <f ca="1">func_Vlookup2(28, "", "数値")</f>
        <v>#NAME?</v>
      </c>
    </row>
    <row r="289" spans="1:2" x14ac:dyDescent="0.2">
      <c r="A289" s="105" t="s">
        <v>754</v>
      </c>
      <c r="B289" t="e">
        <f ca="1">func_Vlookup2(29)</f>
        <v>#NAME?</v>
      </c>
    </row>
    <row r="290" spans="1:2" x14ac:dyDescent="0.2">
      <c r="A290" s="105" t="s">
        <v>755</v>
      </c>
      <c r="B290" t="e">
        <f ca="1">func_Vlookup2(30, "", "数値")</f>
        <v>#NAME?</v>
      </c>
    </row>
    <row r="291" spans="1:2" x14ac:dyDescent="0.2">
      <c r="A291" s="105" t="s">
        <v>756</v>
      </c>
      <c r="B291" t="e">
        <f ca="1">func_Vlookup2(31)</f>
        <v>#NAME?</v>
      </c>
    </row>
    <row r="292" spans="1:2" x14ac:dyDescent="0.2">
      <c r="A292" s="105" t="s">
        <v>757</v>
      </c>
      <c r="B292" t="e">
        <f ca="1">func_Vlookup2(32, "", "数値")</f>
        <v>#NAME?</v>
      </c>
    </row>
    <row r="293" spans="1:2" x14ac:dyDescent="0.2">
      <c r="A293" s="105" t="s">
        <v>758</v>
      </c>
      <c r="B293" t="e">
        <f ca="1">func_Vlookup2(33)</f>
        <v>#NAME?</v>
      </c>
    </row>
    <row r="294" spans="1:2" x14ac:dyDescent="0.2">
      <c r="A294" s="105" t="s">
        <v>759</v>
      </c>
      <c r="B294" t="e">
        <f ca="1">func_Vlookup2(34, "", "数値")</f>
        <v>#NAME?</v>
      </c>
    </row>
    <row r="295" spans="1:2" x14ac:dyDescent="0.2">
      <c r="A295" s="105" t="s">
        <v>760</v>
      </c>
      <c r="B295" t="e">
        <f ca="1">func_Vlookup2(35)</f>
        <v>#NAME?</v>
      </c>
    </row>
    <row r="296" spans="1:2" x14ac:dyDescent="0.2">
      <c r="A296" s="105" t="s">
        <v>761</v>
      </c>
      <c r="B296" t="e">
        <f ca="1">func_Vlookup2(36, "", "数値")</f>
        <v>#NAME?</v>
      </c>
    </row>
    <row r="297" spans="1:2" x14ac:dyDescent="0.2">
      <c r="A297" s="105" t="s">
        <v>762</v>
      </c>
      <c r="B297" t="e">
        <f ca="1">func_Vlookup2(37)</f>
        <v>#NAME?</v>
      </c>
    </row>
    <row r="298" spans="1:2" x14ac:dyDescent="0.2">
      <c r="A298" s="105" t="s">
        <v>763</v>
      </c>
      <c r="B298" t="e">
        <f ca="1">func_Vlookup2(38, "", "数値")</f>
        <v>#NAME?</v>
      </c>
    </row>
    <row r="299" spans="1:2" x14ac:dyDescent="0.2">
      <c r="A299" s="105" t="s">
        <v>764</v>
      </c>
      <c r="B299" t="e">
        <f ca="1">func_Vlookup2(39)</f>
        <v>#NAME?</v>
      </c>
    </row>
    <row r="300" spans="1:2" x14ac:dyDescent="0.2">
      <c r="A300" s="105" t="s">
        <v>765</v>
      </c>
      <c r="B300" t="e">
        <f ca="1">func_Vlookup2(40, "", "数値")</f>
        <v>#NAME?</v>
      </c>
    </row>
    <row r="301" spans="1:2" x14ac:dyDescent="0.2">
      <c r="A301" s="105" t="s">
        <v>766</v>
      </c>
      <c r="B301" t="e">
        <f ca="1">func_Vlookup2(41)</f>
        <v>#NAME?</v>
      </c>
    </row>
    <row r="302" spans="1:2" x14ac:dyDescent="0.2">
      <c r="A302" s="105" t="s">
        <v>767</v>
      </c>
      <c r="B302" t="e">
        <f ca="1">func_Vlookup2(42, "", "数値")</f>
        <v>#NAME?</v>
      </c>
    </row>
    <row r="303" spans="1:2" x14ac:dyDescent="0.2">
      <c r="A303" s="105" t="s">
        <v>768</v>
      </c>
      <c r="B303" t="e">
        <f ca="1">func_Vlookup2(43)</f>
        <v>#NAME?</v>
      </c>
    </row>
    <row r="304" spans="1:2" x14ac:dyDescent="0.2">
      <c r="A304" s="105" t="s">
        <v>769</v>
      </c>
      <c r="B304" t="e">
        <f ca="1">func_Vlookup2(44, "", "数値")</f>
        <v>#NAME?</v>
      </c>
    </row>
    <row r="305" spans="1:2" x14ac:dyDescent="0.2">
      <c r="A305" s="105" t="s">
        <v>770</v>
      </c>
      <c r="B305" t="e">
        <f ca="1">func_Vlookup2(45)</f>
        <v>#NAME?</v>
      </c>
    </row>
    <row r="306" spans="1:2" x14ac:dyDescent="0.2">
      <c r="A306" s="105" t="s">
        <v>771</v>
      </c>
      <c r="B306" t="e">
        <f ca="1">func_Vlookup2(46, "", "数値")</f>
        <v>#NAME?</v>
      </c>
    </row>
    <row r="307" spans="1:2" x14ac:dyDescent="0.2">
      <c r="A307" s="105" t="s">
        <v>772</v>
      </c>
      <c r="B307" t="e">
        <f ca="1">func_Vlookup2(47)</f>
        <v>#NAME?</v>
      </c>
    </row>
    <row r="308" spans="1:2" x14ac:dyDescent="0.2">
      <c r="A308" s="105" t="s">
        <v>773</v>
      </c>
      <c r="B308" t="e">
        <f ca="1">func_Vlookup2(48, "", "数値")</f>
        <v>#NAME?</v>
      </c>
    </row>
    <row r="309" spans="1:2" x14ac:dyDescent="0.2">
      <c r="A309" s="105" t="s">
        <v>774</v>
      </c>
      <c r="B309" t="e">
        <f ca="1">func_Vlookup2(49)</f>
        <v>#NAME?</v>
      </c>
    </row>
    <row r="310" spans="1:2" x14ac:dyDescent="0.2">
      <c r="A310" s="105" t="s">
        <v>775</v>
      </c>
      <c r="B310" t="e">
        <f ca="1">func_Vlookup2(50, "", "数値")</f>
        <v>#NAME?</v>
      </c>
    </row>
    <row r="311" spans="1:2" x14ac:dyDescent="0.2">
      <c r="A311" s="105" t="s">
        <v>776</v>
      </c>
      <c r="B311" t="e">
        <f ca="1">func_Vlookup2(51)</f>
        <v>#NAME?</v>
      </c>
    </row>
    <row r="312" spans="1:2" x14ac:dyDescent="0.2">
      <c r="A312" s="105" t="s">
        <v>777</v>
      </c>
      <c r="B312" t="e">
        <f ca="1">func_Vlookup2(52, "", "数値")</f>
        <v>#NAME?</v>
      </c>
    </row>
    <row r="313" spans="1:2" x14ac:dyDescent="0.2">
      <c r="A313" s="105" t="s">
        <v>778</v>
      </c>
      <c r="B313" t="e">
        <f ca="1">func_Vlookup2(53)</f>
        <v>#NAME?</v>
      </c>
    </row>
    <row r="314" spans="1:2" x14ac:dyDescent="0.2">
      <c r="A314" s="105" t="s">
        <v>779</v>
      </c>
      <c r="B314" t="e">
        <f ca="1">func_Vlookup2(54, "", "数値")</f>
        <v>#NAME?</v>
      </c>
    </row>
    <row r="315" spans="1:2" x14ac:dyDescent="0.2">
      <c r="A315" s="105" t="s">
        <v>780</v>
      </c>
      <c r="B315" t="e">
        <f ca="1">func_Vlookup2(55)</f>
        <v>#NAME?</v>
      </c>
    </row>
    <row r="316" spans="1:2" x14ac:dyDescent="0.2">
      <c r="A316" s="105" t="s">
        <v>781</v>
      </c>
      <c r="B316" t="e">
        <f ca="1">func_Vlookup2(56, "", "数値")</f>
        <v>#NAME?</v>
      </c>
    </row>
    <row r="317" spans="1:2" x14ac:dyDescent="0.2">
      <c r="A317" s="105" t="s">
        <v>782</v>
      </c>
      <c r="B317" t="e">
        <f ca="1">func_Vlookup2(57)</f>
        <v>#NAME?</v>
      </c>
    </row>
    <row r="318" spans="1:2" x14ac:dyDescent="0.2">
      <c r="A318" s="105" t="s">
        <v>783</v>
      </c>
      <c r="B318" t="e">
        <f ca="1">func_Vlookup2(58, "", "数値")</f>
        <v>#NAME?</v>
      </c>
    </row>
    <row r="319" spans="1:2" x14ac:dyDescent="0.2">
      <c r="A319" s="105" t="s">
        <v>784</v>
      </c>
      <c r="B319" t="e">
        <f ca="1">func_Vlookup2(59)</f>
        <v>#NAME?</v>
      </c>
    </row>
    <row r="320" spans="1:2" x14ac:dyDescent="0.2">
      <c r="A320" s="105" t="s">
        <v>785</v>
      </c>
      <c r="B320" t="e">
        <f ca="1">func_Vlookup2(60, "", "数値")</f>
        <v>#NAME?</v>
      </c>
    </row>
    <row r="321" spans="1:2" x14ac:dyDescent="0.2">
      <c r="A321" s="105" t="s">
        <v>786</v>
      </c>
      <c r="B321" t="e">
        <f ca="1">func_Vlookup2(61)</f>
        <v>#NAME?</v>
      </c>
    </row>
    <row r="322" spans="1:2" x14ac:dyDescent="0.2">
      <c r="A322" s="105" t="s">
        <v>787</v>
      </c>
      <c r="B322" t="e">
        <f ca="1">func_Vlookup2(62, "", "数値")</f>
        <v>#NAME?</v>
      </c>
    </row>
    <row r="323" spans="1:2" x14ac:dyDescent="0.2">
      <c r="A323" s="105" t="s">
        <v>788</v>
      </c>
      <c r="B323" t="e">
        <f ca="1">func_Vlookup2(63)</f>
        <v>#NAME?</v>
      </c>
    </row>
    <row r="324" spans="1:2" x14ac:dyDescent="0.2">
      <c r="A324" s="105" t="s">
        <v>789</v>
      </c>
      <c r="B324" t="e">
        <f ca="1">func_Vlookup2(64, "", "数値")</f>
        <v>#NAME?</v>
      </c>
    </row>
    <row r="325" spans="1:2" x14ac:dyDescent="0.2">
      <c r="A325" s="105" t="s">
        <v>790</v>
      </c>
      <c r="B325" t="e">
        <f ca="1">func_Vlookup2(65)</f>
        <v>#NAME?</v>
      </c>
    </row>
    <row r="326" spans="1:2" x14ac:dyDescent="0.2">
      <c r="A326" s="105" t="s">
        <v>791</v>
      </c>
      <c r="B326" t="e">
        <f ca="1">func_Vlookup2(66, "", "数値")</f>
        <v>#NAME?</v>
      </c>
    </row>
    <row r="327" spans="1:2" x14ac:dyDescent="0.2">
      <c r="A327" s="105" t="s">
        <v>792</v>
      </c>
      <c r="B327" t="e">
        <f ca="1">func_Vlookup2(67)</f>
        <v>#NAME?</v>
      </c>
    </row>
    <row r="328" spans="1:2" x14ac:dyDescent="0.2">
      <c r="A328" s="105" t="s">
        <v>793</v>
      </c>
      <c r="B328" t="e">
        <f ca="1">func_Vlookup2(68, "", "数値")</f>
        <v>#NAME?</v>
      </c>
    </row>
    <row r="329" spans="1:2" x14ac:dyDescent="0.2">
      <c r="A329" s="105" t="s">
        <v>794</v>
      </c>
      <c r="B329" t="e">
        <f ca="1">func_Vlookup2(69)</f>
        <v>#NAME?</v>
      </c>
    </row>
    <row r="330" spans="1:2" x14ac:dyDescent="0.2">
      <c r="A330" s="105" t="s">
        <v>795</v>
      </c>
      <c r="B330" t="e">
        <f ca="1">func_Vlookup2(70, "", "数値")</f>
        <v>#NAME?</v>
      </c>
    </row>
    <row r="331" spans="1:2" x14ac:dyDescent="0.2">
      <c r="A331" s="105" t="s">
        <v>796</v>
      </c>
      <c r="B331" t="e">
        <f ca="1">func_Vlookup2(71)</f>
        <v>#NAME?</v>
      </c>
    </row>
    <row r="332" spans="1:2" x14ac:dyDescent="0.2">
      <c r="A332" s="105" t="s">
        <v>797</v>
      </c>
      <c r="B332" t="e">
        <f ca="1">func_Vlookup2(72, "", "数値")</f>
        <v>#NAME?</v>
      </c>
    </row>
    <row r="333" spans="1:2" x14ac:dyDescent="0.2">
      <c r="A333" s="105" t="s">
        <v>798</v>
      </c>
      <c r="B333" t="e">
        <f ca="1">func_Vlookup2(73)</f>
        <v>#NAME?</v>
      </c>
    </row>
    <row r="334" spans="1:2" x14ac:dyDescent="0.2">
      <c r="A334" s="105" t="s">
        <v>799</v>
      </c>
      <c r="B334" t="e">
        <f ca="1">func_Vlookup2(74, "", "数値")</f>
        <v>#NAME?</v>
      </c>
    </row>
    <row r="335" spans="1:2" x14ac:dyDescent="0.2">
      <c r="A335" s="105" t="s">
        <v>800</v>
      </c>
      <c r="B335" t="e">
        <f ca="1">func_Vlookup2(75)</f>
        <v>#NAME?</v>
      </c>
    </row>
    <row r="336" spans="1:2" x14ac:dyDescent="0.2">
      <c r="A336" s="105" t="s">
        <v>801</v>
      </c>
      <c r="B336" t="e">
        <f ca="1">func_Vlookup2(76, "", "数値")</f>
        <v>#NAME?</v>
      </c>
    </row>
    <row r="337" spans="1:2" x14ac:dyDescent="0.2">
      <c r="A337" s="105" t="s">
        <v>802</v>
      </c>
      <c r="B337" t="e">
        <f ca="1">func_Vlookup2(77)</f>
        <v>#NAME?</v>
      </c>
    </row>
    <row r="338" spans="1:2" x14ac:dyDescent="0.2">
      <c r="A338" s="105" t="s">
        <v>803</v>
      </c>
      <c r="B338" t="e">
        <f ca="1">func_Vlookup2(78, "", "数値")</f>
        <v>#NAME?</v>
      </c>
    </row>
    <row r="339" spans="1:2" x14ac:dyDescent="0.2">
      <c r="A339" s="105" t="s">
        <v>804</v>
      </c>
      <c r="B339" t="e">
        <f ca="1">func_Vlookup2(79)</f>
        <v>#NAME?</v>
      </c>
    </row>
    <row r="340" spans="1:2" x14ac:dyDescent="0.2">
      <c r="A340" s="105" t="s">
        <v>805</v>
      </c>
      <c r="B340" t="e">
        <f ca="1">func_Vlookup2(80, "", "数値")</f>
        <v>#NAME?</v>
      </c>
    </row>
    <row r="341" spans="1:2" x14ac:dyDescent="0.2">
      <c r="A341" s="105" t="s">
        <v>806</v>
      </c>
      <c r="B341" t="e">
        <f ca="1">func_Vlookup2(81)</f>
        <v>#NAME?</v>
      </c>
    </row>
    <row r="342" spans="1:2" x14ac:dyDescent="0.2">
      <c r="A342" s="105" t="s">
        <v>807</v>
      </c>
      <c r="B342" t="e">
        <f ca="1">func_Vlookup2(82, "", "数値")</f>
        <v>#NAME?</v>
      </c>
    </row>
    <row r="343" spans="1:2" x14ac:dyDescent="0.2">
      <c r="A343" s="105" t="s">
        <v>808</v>
      </c>
      <c r="B343" t="e">
        <f ca="1">func_Vlookup2(83)</f>
        <v>#NAME?</v>
      </c>
    </row>
    <row r="344" spans="1:2" x14ac:dyDescent="0.2">
      <c r="A344" s="105" t="s">
        <v>809</v>
      </c>
      <c r="B344" t="e">
        <f ca="1">func_Vlookup2(84, "", "数値")</f>
        <v>#NAME?</v>
      </c>
    </row>
    <row r="345" spans="1:2" x14ac:dyDescent="0.2">
      <c r="A345" s="105" t="s">
        <v>810</v>
      </c>
      <c r="B345" t="e">
        <f ca="1">func_Vlookup2(85)</f>
        <v>#NAME?</v>
      </c>
    </row>
    <row r="346" spans="1:2" x14ac:dyDescent="0.2">
      <c r="A346" s="105" t="s">
        <v>811</v>
      </c>
      <c r="B346" t="e">
        <f ca="1">func_Vlookup2(86, "", "数値")</f>
        <v>#NAME?</v>
      </c>
    </row>
    <row r="347" spans="1:2" x14ac:dyDescent="0.2">
      <c r="A347" s="105" t="s">
        <v>812</v>
      </c>
      <c r="B347" t="e">
        <f ca="1">func_Vlookup2(87)</f>
        <v>#NAME?</v>
      </c>
    </row>
    <row r="348" spans="1:2" x14ac:dyDescent="0.2">
      <c r="A348" s="105" t="s">
        <v>813</v>
      </c>
      <c r="B348" t="e">
        <f ca="1">func_Vlookup2(88, "", "数値")</f>
        <v>#NAME?</v>
      </c>
    </row>
    <row r="349" spans="1:2" x14ac:dyDescent="0.2">
      <c r="A349" s="105" t="s">
        <v>814</v>
      </c>
      <c r="B349" t="e">
        <f ca="1">func_Vlookup2(89)</f>
        <v>#NAME?</v>
      </c>
    </row>
    <row r="350" spans="1:2" x14ac:dyDescent="0.2">
      <c r="A350" s="105" t="s">
        <v>815</v>
      </c>
      <c r="B350" t="e">
        <f ca="1">func_Vlookup2(90, "", "数値")</f>
        <v>#NAME?</v>
      </c>
    </row>
    <row r="351" spans="1:2" x14ac:dyDescent="0.2">
      <c r="A351" s="105" t="s">
        <v>816</v>
      </c>
      <c r="B351" t="e">
        <f ca="1">func_Vlookup2(91)</f>
        <v>#NAME?</v>
      </c>
    </row>
    <row r="352" spans="1:2" x14ac:dyDescent="0.2">
      <c r="A352" s="105" t="s">
        <v>817</v>
      </c>
      <c r="B352" t="e">
        <f ca="1">func_Vlookup2(92, "", "数値")</f>
        <v>#NAME?</v>
      </c>
    </row>
    <row r="353" spans="1:2" x14ac:dyDescent="0.2">
      <c r="A353" s="105" t="s">
        <v>818</v>
      </c>
      <c r="B353" t="e">
        <f ca="1">func_Vlookup2(93)</f>
        <v>#NAME?</v>
      </c>
    </row>
    <row r="354" spans="1:2" x14ac:dyDescent="0.2">
      <c r="A354" s="105" t="s">
        <v>819</v>
      </c>
      <c r="B354" t="e">
        <f ca="1">func_Vlookup2(94, "", "数値")</f>
        <v>#NAME?</v>
      </c>
    </row>
    <row r="355" spans="1:2" x14ac:dyDescent="0.2">
      <c r="A355" s="105" t="s">
        <v>820</v>
      </c>
      <c r="B355" t="e">
        <f ca="1">func_Vlookup2(95)</f>
        <v>#NAME?</v>
      </c>
    </row>
    <row r="356" spans="1:2" x14ac:dyDescent="0.2">
      <c r="A356" s="105" t="s">
        <v>821</v>
      </c>
      <c r="B356" t="e">
        <f ca="1">func_Vlookup2(96, "", "数値")</f>
        <v>#NAME?</v>
      </c>
    </row>
    <row r="357" spans="1:2" x14ac:dyDescent="0.2">
      <c r="A357" s="105" t="s">
        <v>822</v>
      </c>
      <c r="B357" t="e">
        <f ca="1">func_Vlookup2(97)</f>
        <v>#NAME?</v>
      </c>
    </row>
    <row r="358" spans="1:2" x14ac:dyDescent="0.2">
      <c r="A358" s="105" t="s">
        <v>823</v>
      </c>
      <c r="B358" t="e">
        <f ca="1">func_Vlookup2(98, "", "数値")</f>
        <v>#NAME?</v>
      </c>
    </row>
    <row r="359" spans="1:2" x14ac:dyDescent="0.2">
      <c r="A359" s="105" t="s">
        <v>824</v>
      </c>
      <c r="B359" t="e">
        <f ca="1">func_Vlookup2(99)</f>
        <v>#NAME?</v>
      </c>
    </row>
    <row r="360" spans="1:2" x14ac:dyDescent="0.2">
      <c r="A360" s="105" t="s">
        <v>825</v>
      </c>
      <c r="B360" t="e">
        <f ca="1">func_Vlookup2(100, "", "数値")</f>
        <v>#NAME?</v>
      </c>
    </row>
    <row r="361" spans="1:2" x14ac:dyDescent="0.2">
      <c r="A361" s="105" t="s">
        <v>826</v>
      </c>
      <c r="B361" t="e">
        <f ca="1">func_Vlookup2(101)</f>
        <v>#NAME?</v>
      </c>
    </row>
    <row r="362" spans="1:2" x14ac:dyDescent="0.2">
      <c r="A362" s="105" t="s">
        <v>827</v>
      </c>
      <c r="B362" t="e">
        <f ca="1">func_Vlookup2(102, "", "数値")</f>
        <v>#NAME?</v>
      </c>
    </row>
    <row r="363" spans="1:2" x14ac:dyDescent="0.2">
      <c r="A363" s="105" t="s">
        <v>828</v>
      </c>
      <c r="B363" t="e">
        <f ca="1">func_Vlookup2(103)</f>
        <v>#NAME?</v>
      </c>
    </row>
    <row r="364" spans="1:2" x14ac:dyDescent="0.2">
      <c r="A364" s="105" t="s">
        <v>829</v>
      </c>
      <c r="B364" t="e">
        <f ca="1">func_Vlookup2(104, "", "数値")</f>
        <v>#NAME?</v>
      </c>
    </row>
    <row r="365" spans="1:2" x14ac:dyDescent="0.2">
      <c r="A365" s="105" t="s">
        <v>830</v>
      </c>
      <c r="B365" t="e">
        <f ca="1">func_Vlookup2(105)</f>
        <v>#NAME?</v>
      </c>
    </row>
    <row r="366" spans="1:2" x14ac:dyDescent="0.2">
      <c r="A366" s="105" t="s">
        <v>831</v>
      </c>
      <c r="B366" t="e">
        <f ca="1">func_Vlookup2(106, "", "数値")</f>
        <v>#NAME?</v>
      </c>
    </row>
    <row r="367" spans="1:2" x14ac:dyDescent="0.2">
      <c r="A367" s="105" t="s">
        <v>832</v>
      </c>
      <c r="B367" t="e">
        <f ca="1">func_Vlookup2(107)</f>
        <v>#NAME?</v>
      </c>
    </row>
    <row r="368" spans="1:2" x14ac:dyDescent="0.2">
      <c r="A368" s="105" t="s">
        <v>833</v>
      </c>
      <c r="B368" t="e">
        <f ca="1">func_Vlookup2(108, "", "数値")</f>
        <v>#NAME?</v>
      </c>
    </row>
    <row r="369" spans="1:2" x14ac:dyDescent="0.2">
      <c r="A369" s="105" t="s">
        <v>834</v>
      </c>
      <c r="B369" t="e">
        <f ca="1">func_Vlookup2(109)</f>
        <v>#NAME?</v>
      </c>
    </row>
    <row r="370" spans="1:2" x14ac:dyDescent="0.2">
      <c r="A370" s="105" t="s">
        <v>835</v>
      </c>
      <c r="B370" t="e">
        <f ca="1">func_Vlookup2(110, "", "数値")</f>
        <v>#NAME?</v>
      </c>
    </row>
    <row r="371" spans="1:2" x14ac:dyDescent="0.2">
      <c r="A371" s="105" t="s">
        <v>836</v>
      </c>
      <c r="B371" t="e">
        <f ca="1">func_Vlookup2(111)</f>
        <v>#NAME?</v>
      </c>
    </row>
    <row r="372" spans="1:2" x14ac:dyDescent="0.2">
      <c r="A372" s="105" t="s">
        <v>837</v>
      </c>
      <c r="B372" t="e">
        <f ca="1">func_Vlookup2(112, "", "数値")</f>
        <v>#NAME?</v>
      </c>
    </row>
    <row r="373" spans="1:2" x14ac:dyDescent="0.2">
      <c r="A373" s="105" t="s">
        <v>838</v>
      </c>
      <c r="B373" t="e">
        <f ca="1">func_Vlookup2(113)</f>
        <v>#NAME?</v>
      </c>
    </row>
    <row r="374" spans="1:2" x14ac:dyDescent="0.2">
      <c r="A374" s="105" t="s">
        <v>839</v>
      </c>
      <c r="B374" t="e">
        <f ca="1">func_Vlookup2(114, "", "数値")</f>
        <v>#NAME?</v>
      </c>
    </row>
    <row r="375" spans="1:2" x14ac:dyDescent="0.2">
      <c r="A375" s="105" t="s">
        <v>840</v>
      </c>
      <c r="B375" t="e">
        <f ca="1">func_Vlookup2(115)</f>
        <v>#NAME?</v>
      </c>
    </row>
    <row r="376" spans="1:2" x14ac:dyDescent="0.2">
      <c r="A376" s="105" t="s">
        <v>841</v>
      </c>
      <c r="B376" t="e">
        <f ca="1">func_Vlookup2(116, "", "数値")</f>
        <v>#NAME?</v>
      </c>
    </row>
    <row r="377" spans="1:2" x14ac:dyDescent="0.2">
      <c r="A377" s="105" t="s">
        <v>842</v>
      </c>
      <c r="B377" t="e">
        <f ca="1">func_Vlookup2(117)</f>
        <v>#NAME?</v>
      </c>
    </row>
    <row r="378" spans="1:2" x14ac:dyDescent="0.2">
      <c r="A378" s="105" t="s">
        <v>843</v>
      </c>
      <c r="B378" t="e">
        <f ca="1">func_Vlookup2(118, "", "数値")</f>
        <v>#NAME?</v>
      </c>
    </row>
    <row r="379" spans="1:2" x14ac:dyDescent="0.2">
      <c r="A379" s="105" t="s">
        <v>844</v>
      </c>
      <c r="B379" t="e">
        <f ca="1">func_Vlookup2(119)</f>
        <v>#NAME?</v>
      </c>
    </row>
    <row r="380" spans="1:2" x14ac:dyDescent="0.2">
      <c r="A380" s="105" t="s">
        <v>845</v>
      </c>
      <c r="B380" t="e">
        <f ca="1">func_Vlookup2(120, "", "数値")</f>
        <v>#NAME?</v>
      </c>
    </row>
    <row r="381" spans="1:2" x14ac:dyDescent="0.2">
      <c r="A381" s="105" t="s">
        <v>846</v>
      </c>
      <c r="B381" t="e">
        <f ca="1">func_Vlookup2(121)</f>
        <v>#NAME?</v>
      </c>
    </row>
    <row r="382" spans="1:2" x14ac:dyDescent="0.2">
      <c r="A382" s="105" t="s">
        <v>847</v>
      </c>
      <c r="B382" t="e">
        <f ca="1">func_Vlookup2(122, "", "数値")</f>
        <v>#NAME?</v>
      </c>
    </row>
    <row r="383" spans="1:2" x14ac:dyDescent="0.2">
      <c r="A383" s="105" t="s">
        <v>848</v>
      </c>
      <c r="B383" t="e">
        <f ca="1">func_Vlookup2(123)</f>
        <v>#NAME?</v>
      </c>
    </row>
    <row r="384" spans="1:2" x14ac:dyDescent="0.2">
      <c r="A384" s="105" t="s">
        <v>849</v>
      </c>
      <c r="B384" t="e">
        <f ca="1">func_Vlookup2(124, "", "数値")</f>
        <v>#NAME?</v>
      </c>
    </row>
    <row r="385" spans="1:2" x14ac:dyDescent="0.2">
      <c r="A385" s="105" t="s">
        <v>850</v>
      </c>
      <c r="B385" t="e">
        <f ca="1">func_Vlookup2(125)</f>
        <v>#NAME?</v>
      </c>
    </row>
    <row r="386" spans="1:2" x14ac:dyDescent="0.2">
      <c r="A386" s="105" t="s">
        <v>851</v>
      </c>
      <c r="B386" t="e">
        <f ca="1">func_Vlookup2(126, "", "数値")</f>
        <v>#NAME?</v>
      </c>
    </row>
    <row r="387" spans="1:2" x14ac:dyDescent="0.2">
      <c r="A387" s="105" t="s">
        <v>852</v>
      </c>
      <c r="B387" t="e">
        <f ca="1">func_Vlookup2(127)</f>
        <v>#NAME?</v>
      </c>
    </row>
    <row r="388" spans="1:2" x14ac:dyDescent="0.2">
      <c r="A388" s="105" t="s">
        <v>853</v>
      </c>
      <c r="B388" t="e">
        <f ca="1">func_Vlookup2(128, "", "数値")</f>
        <v>#NAME?</v>
      </c>
    </row>
    <row r="389" spans="1:2" x14ac:dyDescent="0.2">
      <c r="A389" s="105" t="s">
        <v>854</v>
      </c>
      <c r="B389" t="e">
        <f ca="1">func_Vlookup2(129)</f>
        <v>#NAME?</v>
      </c>
    </row>
    <row r="390" spans="1:2" x14ac:dyDescent="0.2">
      <c r="A390" s="105" t="s">
        <v>855</v>
      </c>
      <c r="B390" t="e">
        <f ca="1">func_Vlookup2(130, "", "数値")</f>
        <v>#NAME?</v>
      </c>
    </row>
    <row r="391" spans="1:2" x14ac:dyDescent="0.2">
      <c r="A391" s="105" t="s">
        <v>856</v>
      </c>
      <c r="B391" t="e">
        <f ca="1">func_Vlookup2(131)</f>
        <v>#NAME?</v>
      </c>
    </row>
    <row r="392" spans="1:2" x14ac:dyDescent="0.2">
      <c r="A392" s="105" t="s">
        <v>857</v>
      </c>
      <c r="B392" t="e">
        <f ca="1">func_Vlookup2(132, "", "数値")</f>
        <v>#NAME?</v>
      </c>
    </row>
    <row r="393" spans="1:2" x14ac:dyDescent="0.2">
      <c r="A393" s="105" t="s">
        <v>858</v>
      </c>
      <c r="B393" t="e">
        <f ca="1">func_Vlookup2(133)</f>
        <v>#NAME?</v>
      </c>
    </row>
    <row r="394" spans="1:2" x14ac:dyDescent="0.2">
      <c r="A394" s="105" t="s">
        <v>859</v>
      </c>
      <c r="B394" t="e">
        <f ca="1">func_Vlookup2(134, "", "数値")</f>
        <v>#NAME?</v>
      </c>
    </row>
    <row r="395" spans="1:2" x14ac:dyDescent="0.2">
      <c r="A395" s="105" t="s">
        <v>860</v>
      </c>
      <c r="B395" t="e">
        <f ca="1">func_Vlookup2(135)</f>
        <v>#NAME?</v>
      </c>
    </row>
    <row r="396" spans="1:2" x14ac:dyDescent="0.2">
      <c r="A396" s="105" t="s">
        <v>861</v>
      </c>
      <c r="B396" t="e">
        <f ca="1">func_Vlookup2(136, "", "数値")</f>
        <v>#NAME?</v>
      </c>
    </row>
    <row r="397" spans="1:2" x14ac:dyDescent="0.2">
      <c r="A397" s="105" t="s">
        <v>862</v>
      </c>
      <c r="B397" t="e">
        <f ca="1">func_Vlookup2(137)</f>
        <v>#NAME?</v>
      </c>
    </row>
    <row r="398" spans="1:2" x14ac:dyDescent="0.2">
      <c r="A398" s="105" t="s">
        <v>863</v>
      </c>
      <c r="B398" t="e">
        <f ca="1">func_Vlookup2(138, "", "数値")</f>
        <v>#NAME?</v>
      </c>
    </row>
    <row r="399" spans="1:2" x14ac:dyDescent="0.2">
      <c r="A399" s="105" t="s">
        <v>864</v>
      </c>
      <c r="B399" t="e">
        <f ca="1">func_Vlookup2(139)</f>
        <v>#NAME?</v>
      </c>
    </row>
    <row r="400" spans="1:2" x14ac:dyDescent="0.2">
      <c r="A400" s="105" t="s">
        <v>865</v>
      </c>
      <c r="B400" t="e">
        <f ca="1">func_Vlookup2(140, "", "数値")</f>
        <v>#NAME?</v>
      </c>
    </row>
    <row r="401" spans="1:2" x14ac:dyDescent="0.2">
      <c r="A401" s="105" t="s">
        <v>866</v>
      </c>
      <c r="B401" t="e">
        <f ca="1">func_Vlookup2(141)</f>
        <v>#NAME?</v>
      </c>
    </row>
    <row r="402" spans="1:2" x14ac:dyDescent="0.2">
      <c r="A402" s="105" t="s">
        <v>867</v>
      </c>
      <c r="B402" t="e">
        <f ca="1">func_Vlookup2(142, "", "数値")</f>
        <v>#NAME?</v>
      </c>
    </row>
    <row r="403" spans="1:2" x14ac:dyDescent="0.2">
      <c r="A403" s="105" t="s">
        <v>868</v>
      </c>
      <c r="B403" t="e">
        <f ca="1">func_Vlookup2(143)</f>
        <v>#NAME?</v>
      </c>
    </row>
    <row r="404" spans="1:2" x14ac:dyDescent="0.2">
      <c r="A404" s="105" t="s">
        <v>869</v>
      </c>
      <c r="B404" t="e">
        <f ca="1">func_Vlookup2(144, "", "数値")</f>
        <v>#NAME?</v>
      </c>
    </row>
    <row r="405" spans="1:2" x14ac:dyDescent="0.2">
      <c r="A405" s="105" t="s">
        <v>870</v>
      </c>
      <c r="B405" t="e">
        <f ca="1">func_Vlookup2(145)</f>
        <v>#NAME?</v>
      </c>
    </row>
    <row r="406" spans="1:2" x14ac:dyDescent="0.2">
      <c r="A406" s="105" t="s">
        <v>871</v>
      </c>
      <c r="B406" t="e">
        <f ca="1">func_Vlookup2(146, "", "数値")</f>
        <v>#NAME?</v>
      </c>
    </row>
    <row r="407" spans="1:2" x14ac:dyDescent="0.2">
      <c r="A407" s="105" t="s">
        <v>872</v>
      </c>
      <c r="B407" t="e">
        <f ca="1">func_Vlookup2(147)</f>
        <v>#NAME?</v>
      </c>
    </row>
    <row r="408" spans="1:2" x14ac:dyDescent="0.2">
      <c r="A408" s="105" t="s">
        <v>873</v>
      </c>
      <c r="B408" t="e">
        <f ca="1">func_Vlookup2(148, "", "数値")</f>
        <v>#NAME?</v>
      </c>
    </row>
    <row r="409" spans="1:2" x14ac:dyDescent="0.2">
      <c r="A409" s="105" t="s">
        <v>874</v>
      </c>
      <c r="B409" t="e">
        <f ca="1">func_Vlookup2(149)</f>
        <v>#NAME?</v>
      </c>
    </row>
    <row r="410" spans="1:2" x14ac:dyDescent="0.2">
      <c r="A410" s="105" t="s">
        <v>875</v>
      </c>
      <c r="B410" t="e">
        <f ca="1">func_Vlookup2(150, "", "数値")</f>
        <v>#NAME?</v>
      </c>
    </row>
    <row r="411" spans="1:2" x14ac:dyDescent="0.2">
      <c r="A411" s="105" t="s">
        <v>876</v>
      </c>
      <c r="B411" t="e">
        <f ca="1">func_Vlookup2(151)</f>
        <v>#NAME?</v>
      </c>
    </row>
    <row r="412" spans="1:2" x14ac:dyDescent="0.2">
      <c r="A412" s="105" t="s">
        <v>877</v>
      </c>
      <c r="B412" t="e">
        <f ca="1">func_Vlookup2(152, "", "数値")</f>
        <v>#NAME?</v>
      </c>
    </row>
    <row r="413" spans="1:2" x14ac:dyDescent="0.2">
      <c r="A413" s="105" t="s">
        <v>888</v>
      </c>
      <c r="B413" t="e">
        <f ca="1">func_Vlookup2(153)</f>
        <v>#NAME?</v>
      </c>
    </row>
    <row r="414" spans="1:2" x14ac:dyDescent="0.2">
      <c r="A414" s="105" t="s">
        <v>889</v>
      </c>
      <c r="B414" t="e">
        <f ca="1">func_Vlookup2(154, "", "数値")</f>
        <v>#NAME?</v>
      </c>
    </row>
    <row r="415" spans="1:2" x14ac:dyDescent="0.2">
      <c r="A415" s="105" t="s">
        <v>890</v>
      </c>
      <c r="B415" t="e">
        <f ca="1">func_Vlookup2(155)</f>
        <v>#NAME?</v>
      </c>
    </row>
    <row r="416" spans="1:2" x14ac:dyDescent="0.2">
      <c r="A416" s="105" t="s">
        <v>891</v>
      </c>
      <c r="B416" t="e">
        <f ca="1">func_Vlookup2(156, "", "数値")</f>
        <v>#NAME?</v>
      </c>
    </row>
    <row r="417" spans="1:2" x14ac:dyDescent="0.2">
      <c r="A417" s="105" t="s">
        <v>892</v>
      </c>
      <c r="B417" t="e">
        <f ca="1">func_Vlookup2(157)</f>
        <v>#NAME?</v>
      </c>
    </row>
    <row r="418" spans="1:2" x14ac:dyDescent="0.2">
      <c r="A418" s="105" t="s">
        <v>893</v>
      </c>
      <c r="B418" t="e">
        <f ca="1">func_Vlookup2(158, "", "数値")</f>
        <v>#NAME?</v>
      </c>
    </row>
    <row r="419" spans="1:2" x14ac:dyDescent="0.2">
      <c r="A419" s="105" t="s">
        <v>894</v>
      </c>
      <c r="B419" t="e">
        <f ca="1">func_Vlookup2(159)</f>
        <v>#NAME?</v>
      </c>
    </row>
    <row r="420" spans="1:2" x14ac:dyDescent="0.2">
      <c r="A420" s="105" t="s">
        <v>895</v>
      </c>
      <c r="B420" t="e">
        <f ca="1">func_Vlookup2(160, "", "数値")</f>
        <v>#NAME?</v>
      </c>
    </row>
    <row r="421" spans="1:2" x14ac:dyDescent="0.2">
      <c r="A421" s="105" t="s">
        <v>896</v>
      </c>
      <c r="B421" t="e">
        <f ca="1">func_Vlookup2(161)</f>
        <v>#NAME?</v>
      </c>
    </row>
    <row r="422" spans="1:2" x14ac:dyDescent="0.2">
      <c r="A422" s="105" t="s">
        <v>897</v>
      </c>
      <c r="B422" t="e">
        <f ca="1">func_Vlookup2(162, "", "数値")</f>
        <v>#NAME?</v>
      </c>
    </row>
    <row r="423" spans="1:2" x14ac:dyDescent="0.2">
      <c r="A423" s="105" t="s">
        <v>898</v>
      </c>
      <c r="B423" t="e">
        <f ca="1">func_Vlookup2(163)</f>
        <v>#NAME?</v>
      </c>
    </row>
    <row r="424" spans="1:2" x14ac:dyDescent="0.2">
      <c r="A424" s="105" t="s">
        <v>899</v>
      </c>
      <c r="B424" t="e">
        <f ca="1">func_Vlookup2(164, "", "数値")</f>
        <v>#NAME?</v>
      </c>
    </row>
    <row r="425" spans="1:2" x14ac:dyDescent="0.2">
      <c r="A425" s="105" t="s">
        <v>900</v>
      </c>
      <c r="B425" t="e">
        <f ca="1">func_Vlookup2(165)</f>
        <v>#NAME?</v>
      </c>
    </row>
    <row r="426" spans="1:2" x14ac:dyDescent="0.2">
      <c r="A426" s="105" t="s">
        <v>901</v>
      </c>
      <c r="B426" t="e">
        <f ca="1">func_Vlookup2(166, "", "数値")</f>
        <v>#NAME?</v>
      </c>
    </row>
    <row r="427" spans="1:2" x14ac:dyDescent="0.2">
      <c r="A427" s="105" t="s">
        <v>902</v>
      </c>
      <c r="B427" t="e">
        <f ca="1">func_Vlookup2(167)</f>
        <v>#NAME?</v>
      </c>
    </row>
    <row r="428" spans="1:2" x14ac:dyDescent="0.2">
      <c r="A428" s="105" t="s">
        <v>903</v>
      </c>
      <c r="B428" t="e">
        <f ca="1">func_Vlookup2(168, "", "数値")</f>
        <v>#NAME?</v>
      </c>
    </row>
    <row r="429" spans="1:2" x14ac:dyDescent="0.2">
      <c r="A429" s="105" t="s">
        <v>904</v>
      </c>
      <c r="B429" t="e">
        <f ca="1">func_Vlookup2(169)</f>
        <v>#NAME?</v>
      </c>
    </row>
    <row r="430" spans="1:2" x14ac:dyDescent="0.2">
      <c r="A430" s="105" t="s">
        <v>905</v>
      </c>
      <c r="B430" t="e">
        <f ca="1">func_Vlookup2(170, "", "数値")</f>
        <v>#NAME?</v>
      </c>
    </row>
    <row r="431" spans="1:2" x14ac:dyDescent="0.2">
      <c r="A431" s="105" t="s">
        <v>906</v>
      </c>
      <c r="B431" t="e">
        <f ca="1">func_Vlookup2(171)</f>
        <v>#NAME?</v>
      </c>
    </row>
    <row r="432" spans="1:2" x14ac:dyDescent="0.2">
      <c r="A432" s="105" t="s">
        <v>907</v>
      </c>
      <c r="B432" t="e">
        <f ca="1">func_Vlookup2(172, "", "数値")</f>
        <v>#NAME?</v>
      </c>
    </row>
    <row r="433" spans="1:2" x14ac:dyDescent="0.2">
      <c r="A433" s="105" t="s">
        <v>908</v>
      </c>
      <c r="B433" t="e">
        <f ca="1">func_Vlookup2(173)</f>
        <v>#NAME?</v>
      </c>
    </row>
    <row r="434" spans="1:2" x14ac:dyDescent="0.2">
      <c r="A434" s="105" t="s">
        <v>909</v>
      </c>
      <c r="B434" t="e">
        <f ca="1">func_Vlookup2(174, "", "数値")</f>
        <v>#NAME?</v>
      </c>
    </row>
    <row r="435" spans="1:2" x14ac:dyDescent="0.2">
      <c r="A435" s="105" t="s">
        <v>910</v>
      </c>
      <c r="B435" t="e">
        <f ca="1">func_Vlookup2(175)</f>
        <v>#NAME?</v>
      </c>
    </row>
    <row r="436" spans="1:2" x14ac:dyDescent="0.2">
      <c r="A436" s="105" t="s">
        <v>911</v>
      </c>
      <c r="B436" t="e">
        <f ca="1">func_Vlookup2(176, "", "数値")</f>
        <v>#NAME?</v>
      </c>
    </row>
    <row r="437" spans="1:2" x14ac:dyDescent="0.2">
      <c r="A437" s="105" t="s">
        <v>912</v>
      </c>
      <c r="B437" t="e">
        <f ca="1">func_Vlookup2(177)</f>
        <v>#NAME?</v>
      </c>
    </row>
    <row r="438" spans="1:2" x14ac:dyDescent="0.2">
      <c r="A438" s="105" t="s">
        <v>913</v>
      </c>
      <c r="B438" t="e">
        <f ca="1">func_Vlookup2(178, "", "数値")</f>
        <v>#NAME?</v>
      </c>
    </row>
    <row r="439" spans="1:2" x14ac:dyDescent="0.2">
      <c r="A439" s="105" t="s">
        <v>914</v>
      </c>
      <c r="B439" t="e">
        <f ca="1">func_Vlookup2(179)</f>
        <v>#NAME?</v>
      </c>
    </row>
    <row r="440" spans="1:2" x14ac:dyDescent="0.2">
      <c r="A440" s="105" t="s">
        <v>915</v>
      </c>
      <c r="B440" t="e">
        <f ca="1">func_Vlookup2(180, "", "数値")</f>
        <v>#NAME?</v>
      </c>
    </row>
    <row r="441" spans="1:2" x14ac:dyDescent="0.2">
      <c r="A441" s="105" t="s">
        <v>916</v>
      </c>
      <c r="B441" t="e">
        <f ca="1">func_Vlookup2(181)</f>
        <v>#NAME?</v>
      </c>
    </row>
    <row r="442" spans="1:2" x14ac:dyDescent="0.2">
      <c r="A442" s="105" t="s">
        <v>917</v>
      </c>
      <c r="B442" t="e">
        <f ca="1">func_Vlookup2(182, "", "数値")</f>
        <v>#NAME?</v>
      </c>
    </row>
    <row r="443" spans="1:2" x14ac:dyDescent="0.2">
      <c r="A443" s="105" t="s">
        <v>918</v>
      </c>
      <c r="B443" t="e">
        <f ca="1">func_Vlookup2(183)</f>
        <v>#NAME?</v>
      </c>
    </row>
    <row r="444" spans="1:2" x14ac:dyDescent="0.2">
      <c r="A444" s="105" t="s">
        <v>919</v>
      </c>
      <c r="B444" t="e">
        <f ca="1">func_Vlookup2(184, "", "数値")</f>
        <v>#NAME?</v>
      </c>
    </row>
    <row r="445" spans="1:2" x14ac:dyDescent="0.2">
      <c r="A445" s="105" t="s">
        <v>920</v>
      </c>
      <c r="B445" t="e">
        <f ca="1">func_Vlookup2(185)</f>
        <v>#NAME?</v>
      </c>
    </row>
    <row r="446" spans="1:2" x14ac:dyDescent="0.2">
      <c r="A446" s="105" t="s">
        <v>921</v>
      </c>
      <c r="B446" t="e">
        <f ca="1">func_Vlookup2(186, "", "数値")</f>
        <v>#NAME?</v>
      </c>
    </row>
    <row r="447" spans="1:2" x14ac:dyDescent="0.2">
      <c r="A447" s="105" t="s">
        <v>922</v>
      </c>
      <c r="B447" t="e">
        <f ca="1">func_Vlookup2(187)</f>
        <v>#NAME?</v>
      </c>
    </row>
    <row r="448" spans="1:2" x14ac:dyDescent="0.2">
      <c r="A448" s="105" t="s">
        <v>923</v>
      </c>
      <c r="B448" t="e">
        <f ca="1">func_Vlookup2(188, "", "数値")</f>
        <v>#NAME?</v>
      </c>
    </row>
    <row r="449" spans="1:2" x14ac:dyDescent="0.2">
      <c r="A449" s="105" t="s">
        <v>924</v>
      </c>
      <c r="B449" t="e">
        <f ca="1">func_Vlookup2(189)</f>
        <v>#NAME?</v>
      </c>
    </row>
    <row r="450" spans="1:2" x14ac:dyDescent="0.2">
      <c r="A450" s="105" t="s">
        <v>925</v>
      </c>
      <c r="B450" t="e">
        <f ca="1">func_Vlookup2(190, "", "数値")</f>
        <v>#NAME?</v>
      </c>
    </row>
    <row r="451" spans="1:2" x14ac:dyDescent="0.2">
      <c r="A451" s="105" t="s">
        <v>926</v>
      </c>
      <c r="B451" t="e">
        <f ca="1">func_Vlookup2(191)</f>
        <v>#NAME?</v>
      </c>
    </row>
    <row r="452" spans="1:2" x14ac:dyDescent="0.2">
      <c r="A452" s="105" t="s">
        <v>927</v>
      </c>
      <c r="B452" t="e">
        <f ca="1">func_Vlookup2(192, "", "数値")</f>
        <v>#NAME?</v>
      </c>
    </row>
    <row r="453" spans="1:2" x14ac:dyDescent="0.2">
      <c r="A453" s="105" t="s">
        <v>928</v>
      </c>
      <c r="B453" t="e">
        <f ca="1">func_Vlookup2(193)</f>
        <v>#NAME?</v>
      </c>
    </row>
    <row r="454" spans="1:2" x14ac:dyDescent="0.2">
      <c r="A454" s="105" t="s">
        <v>929</v>
      </c>
      <c r="B454" t="e">
        <f ca="1">func_Vlookup2(194)</f>
        <v>#NAME?</v>
      </c>
    </row>
    <row r="455" spans="1:2" x14ac:dyDescent="0.2">
      <c r="A455" s="105" t="s">
        <v>930</v>
      </c>
      <c r="B455" t="e">
        <f ca="1">func_Vlookup2(195)</f>
        <v>#NAME?</v>
      </c>
    </row>
    <row r="456" spans="1:2" x14ac:dyDescent="0.2">
      <c r="A456" s="105" t="s">
        <v>931</v>
      </c>
      <c r="B456" t="e">
        <f ca="1">func_Vlookup2(196)</f>
        <v>#NAME?</v>
      </c>
    </row>
    <row r="457" spans="1:2" x14ac:dyDescent="0.2">
      <c r="A457" s="105" t="s">
        <v>932</v>
      </c>
      <c r="B457" t="e">
        <f ca="1">func_Vlookup2(197)</f>
        <v>#NAME?</v>
      </c>
    </row>
    <row r="458" spans="1:2" x14ac:dyDescent="0.2">
      <c r="A458" s="105" t="s">
        <v>933</v>
      </c>
      <c r="B458" t="e">
        <f ca="1">func_Vlookup2(198)</f>
        <v>#NAME?</v>
      </c>
    </row>
    <row r="459" spans="1:2" x14ac:dyDescent="0.2">
      <c r="A459" s="105" t="s">
        <v>934</v>
      </c>
      <c r="B459" t="e">
        <f ca="1">func_Vlookup2(199)</f>
        <v>#NAME?</v>
      </c>
    </row>
    <row r="460" spans="1:2" x14ac:dyDescent="0.2">
      <c r="A460" s="105" t="s">
        <v>935</v>
      </c>
      <c r="B460" t="e">
        <f ca="1">func_Vlookup2(200)</f>
        <v>#NAME?</v>
      </c>
    </row>
    <row r="461" spans="1:2" x14ac:dyDescent="0.2">
      <c r="A461" s="105" t="s">
        <v>936</v>
      </c>
      <c r="B461" t="e">
        <f ca="1">func_Vlookup2(201)</f>
        <v>#NAME?</v>
      </c>
    </row>
    <row r="462" spans="1:2" x14ac:dyDescent="0.2">
      <c r="A462" s="105" t="s">
        <v>937</v>
      </c>
      <c r="B462" t="e">
        <f ca="1">func_Vlookup2(202)</f>
        <v>#NAME?</v>
      </c>
    </row>
    <row r="463" spans="1:2" x14ac:dyDescent="0.2">
      <c r="A463" s="105" t="s">
        <v>938</v>
      </c>
      <c r="B463" t="e">
        <f ca="1">func_Vlookup2(203)</f>
        <v>#NAME?</v>
      </c>
    </row>
    <row r="464" spans="1:2" x14ac:dyDescent="0.2">
      <c r="A464" s="105" t="s">
        <v>939</v>
      </c>
      <c r="B464" t="e">
        <f ca="1">func_Vlookup2(204)</f>
        <v>#NAME?</v>
      </c>
    </row>
    <row r="465" spans="1:2" x14ac:dyDescent="0.2">
      <c r="A465" s="105" t="s">
        <v>940</v>
      </c>
      <c r="B465" t="e">
        <f ca="1">func_Vlookup2(205)</f>
        <v>#NAME?</v>
      </c>
    </row>
    <row r="466" spans="1:2" x14ac:dyDescent="0.2">
      <c r="A466" s="105" t="s">
        <v>941</v>
      </c>
      <c r="B466" t="e">
        <f ca="1">func_Vlookup2(206)</f>
        <v>#NAME?</v>
      </c>
    </row>
    <row r="467" spans="1:2" x14ac:dyDescent="0.2">
      <c r="A467" s="105" t="s">
        <v>942</v>
      </c>
      <c r="B467" t="e">
        <f ca="1">func_Vlookup2(207)</f>
        <v>#NAME?</v>
      </c>
    </row>
    <row r="468" spans="1:2" x14ac:dyDescent="0.2">
      <c r="A468" s="105" t="s">
        <v>943</v>
      </c>
      <c r="B468" t="e">
        <f ca="1">func_Vlookup2(208)</f>
        <v>#NAME?</v>
      </c>
    </row>
    <row r="469" spans="1:2" x14ac:dyDescent="0.2">
      <c r="A469" s="105" t="s">
        <v>944</v>
      </c>
      <c r="B469" t="e">
        <f ca="1">func_Vlookup2(209)</f>
        <v>#NAME?</v>
      </c>
    </row>
    <row r="470" spans="1:2" x14ac:dyDescent="0.2">
      <c r="A470" s="105" t="s">
        <v>945</v>
      </c>
      <c r="B470" t="e">
        <f ca="1">func_Vlookup2(210)</f>
        <v>#NAME?</v>
      </c>
    </row>
    <row r="471" spans="1:2" x14ac:dyDescent="0.2">
      <c r="A471" s="105" t="s">
        <v>946</v>
      </c>
      <c r="B471" t="e">
        <f ca="1">func_Vlookup2(211)</f>
        <v>#NAME?</v>
      </c>
    </row>
    <row r="472" spans="1:2" x14ac:dyDescent="0.2">
      <c r="A472" s="105" t="s">
        <v>947</v>
      </c>
      <c r="B472" t="e">
        <f ca="1">func_Vlookup2(212)</f>
        <v>#NAME?</v>
      </c>
    </row>
    <row r="473" spans="1:2" x14ac:dyDescent="0.2">
      <c r="A473" s="105" t="s">
        <v>948</v>
      </c>
      <c r="B473" t="e">
        <f ca="1">func_Vlookup2(213)</f>
        <v>#NAME?</v>
      </c>
    </row>
    <row r="474" spans="1:2" x14ac:dyDescent="0.2">
      <c r="A474" s="105" t="s">
        <v>949</v>
      </c>
      <c r="B474" t="e">
        <f ca="1">func_Vlookup2(214)</f>
        <v>#NAME?</v>
      </c>
    </row>
    <row r="475" spans="1:2" x14ac:dyDescent="0.2">
      <c r="A475" s="105" t="s">
        <v>950</v>
      </c>
      <c r="B475" t="e">
        <f ca="1">func_Vlookup2(215)</f>
        <v>#NAME?</v>
      </c>
    </row>
    <row r="476" spans="1:2" x14ac:dyDescent="0.2">
      <c r="A476" s="105" t="s">
        <v>951</v>
      </c>
      <c r="B476" t="e">
        <f ca="1">func_Vlookup2(216)</f>
        <v>#NAME?</v>
      </c>
    </row>
    <row r="477" spans="1:2" x14ac:dyDescent="0.2">
      <c r="A477" s="105" t="s">
        <v>952</v>
      </c>
      <c r="B477" t="e">
        <f ca="1">func_Vlookup2(217)</f>
        <v>#NAME?</v>
      </c>
    </row>
    <row r="478" spans="1:2" x14ac:dyDescent="0.2">
      <c r="A478" s="105" t="s">
        <v>953</v>
      </c>
      <c r="B478" t="e">
        <f ca="1">func_Vlookup2(218)</f>
        <v>#NAME?</v>
      </c>
    </row>
    <row r="479" spans="1:2" x14ac:dyDescent="0.2">
      <c r="A479" s="105" t="s">
        <v>954</v>
      </c>
      <c r="B479" t="e">
        <f ca="1">func_Vlookup2(219)</f>
        <v>#NAME?</v>
      </c>
    </row>
    <row r="480" spans="1:2" x14ac:dyDescent="0.2">
      <c r="A480" s="105" t="s">
        <v>955</v>
      </c>
      <c r="B480" t="e">
        <f ca="1">func_Vlookup2(220)</f>
        <v>#NAME?</v>
      </c>
    </row>
    <row r="481" spans="1:2" x14ac:dyDescent="0.2">
      <c r="A481" s="105" t="s">
        <v>956</v>
      </c>
      <c r="B481" t="e">
        <f ca="1">func_Vlookup2(221)</f>
        <v>#NAME?</v>
      </c>
    </row>
    <row r="482" spans="1:2" x14ac:dyDescent="0.2">
      <c r="A482" s="105" t="s">
        <v>957</v>
      </c>
      <c r="B482" t="e">
        <f ca="1">func_Vlookup2(222)</f>
        <v>#NAME?</v>
      </c>
    </row>
    <row r="483" spans="1:2" x14ac:dyDescent="0.2">
      <c r="A483" s="105" t="s">
        <v>958</v>
      </c>
      <c r="B483" t="e">
        <f ca="1">func_Vlookup2(223)</f>
        <v>#NAME?</v>
      </c>
    </row>
    <row r="484" spans="1:2" x14ac:dyDescent="0.2">
      <c r="A484" s="105" t="s">
        <v>959</v>
      </c>
      <c r="B484" t="e">
        <f ca="1">func_Vlookup2(224)</f>
        <v>#NAME?</v>
      </c>
    </row>
    <row r="485" spans="1:2" x14ac:dyDescent="0.2">
      <c r="A485" s="105" t="s">
        <v>960</v>
      </c>
      <c r="B485" t="e">
        <f ca="1">func_Vlookup2(225)</f>
        <v>#NAME?</v>
      </c>
    </row>
    <row r="486" spans="1:2" x14ac:dyDescent="0.2">
      <c r="A486" s="105" t="s">
        <v>961</v>
      </c>
      <c r="B486" t="e">
        <f ca="1">func_Vlookup2(226)</f>
        <v>#NAME?</v>
      </c>
    </row>
    <row r="487" spans="1:2" x14ac:dyDescent="0.2">
      <c r="A487" s="105" t="s">
        <v>962</v>
      </c>
      <c r="B487" t="e">
        <f ca="1">func_Vlookup2(227)</f>
        <v>#NAME?</v>
      </c>
    </row>
    <row r="488" spans="1:2" x14ac:dyDescent="0.2">
      <c r="A488" s="105" t="s">
        <v>963</v>
      </c>
      <c r="B488" t="e">
        <f ca="1">func_Vlookup2(228)</f>
        <v>#NAME?</v>
      </c>
    </row>
    <row r="489" spans="1:2" x14ac:dyDescent="0.2">
      <c r="A489" s="105" t="s">
        <v>964</v>
      </c>
      <c r="B489" t="e">
        <f ca="1">func_Vlookup2(229)</f>
        <v>#NAME?</v>
      </c>
    </row>
    <row r="490" spans="1:2" x14ac:dyDescent="0.2">
      <c r="A490" s="105" t="s">
        <v>965</v>
      </c>
      <c r="B490" t="e">
        <f ca="1">func_Vlookup2(230)</f>
        <v>#NAME?</v>
      </c>
    </row>
    <row r="491" spans="1:2" x14ac:dyDescent="0.2">
      <c r="A491" s="105" t="s">
        <v>966</v>
      </c>
      <c r="B491" t="e">
        <f ca="1">func_Vlookup2(231)</f>
        <v>#NAME?</v>
      </c>
    </row>
    <row r="492" spans="1:2" x14ac:dyDescent="0.2">
      <c r="A492" s="105" t="s">
        <v>635</v>
      </c>
      <c r="B492" t="e">
        <f ca="1">func_Vlookup2(232)</f>
        <v>#NAME?</v>
      </c>
    </row>
    <row r="493" spans="1:2" x14ac:dyDescent="0.2">
      <c r="A493" s="150" t="s">
        <v>643</v>
      </c>
      <c r="B493" t="e">
        <f ca="1">func_Vlookup2(233)</f>
        <v>#NAME?</v>
      </c>
    </row>
    <row r="494" spans="1:2" x14ac:dyDescent="0.2">
      <c r="A494" s="150" t="s">
        <v>644</v>
      </c>
      <c r="B494" t="e">
        <f ca="1">func_Vlookup2(234, "", "数値")</f>
        <v>#NAME?</v>
      </c>
    </row>
    <row r="495" spans="1:2" x14ac:dyDescent="0.2">
      <c r="A495" s="150" t="s">
        <v>637</v>
      </c>
      <c r="B495" t="e">
        <f ca="1">func_Vlookup2(235)</f>
        <v>#NAME?</v>
      </c>
    </row>
    <row r="496" spans="1:2" x14ac:dyDescent="0.2">
      <c r="A496" s="150" t="s">
        <v>638</v>
      </c>
      <c r="B496" t="e">
        <f ca="1">func_Vlookup2(236, "", "数値")</f>
        <v>#NAME?</v>
      </c>
    </row>
    <row r="497" spans="1:2" x14ac:dyDescent="0.2">
      <c r="A497" s="150" t="s">
        <v>639</v>
      </c>
      <c r="B497" t="e">
        <f ca="1">func_Vlookup2(237)</f>
        <v>#NAME?</v>
      </c>
    </row>
    <row r="498" spans="1:2" x14ac:dyDescent="0.2">
      <c r="A498" s="150" t="s">
        <v>645</v>
      </c>
      <c r="B498" t="e">
        <f ca="1">func_Vlookup2(238, "", "数値")</f>
        <v>#NAME?</v>
      </c>
    </row>
    <row r="499" spans="1:2" x14ac:dyDescent="0.2">
      <c r="A499" s="150" t="s">
        <v>640</v>
      </c>
      <c r="B499" t="e">
        <f ca="1">func_Vlookup2(239)</f>
        <v>#NAME?</v>
      </c>
    </row>
    <row r="500" spans="1:2" x14ac:dyDescent="0.2">
      <c r="A500" s="150" t="s">
        <v>646</v>
      </c>
      <c r="B500" t="e">
        <f ca="1">func_Vlookup2(240, "", "数値")</f>
        <v>#NAME?</v>
      </c>
    </row>
    <row r="501" spans="1:2" x14ac:dyDescent="0.2">
      <c r="A501" s="150" t="s">
        <v>641</v>
      </c>
      <c r="B501" t="e">
        <f ca="1">func_Vlookup2(241)</f>
        <v>#NAME?</v>
      </c>
    </row>
    <row r="502" spans="1:2" x14ac:dyDescent="0.2">
      <c r="A502" s="150" t="s">
        <v>642</v>
      </c>
      <c r="B502" t="e">
        <f ca="1">func_Vlookup2(242, "", "数値")</f>
        <v>#NAME?</v>
      </c>
    </row>
    <row r="503" spans="1:2" x14ac:dyDescent="0.2">
      <c r="A503" s="105" t="s">
        <v>967</v>
      </c>
      <c r="B503" t="e">
        <f ca="1">func_Vlookup3(3)</f>
        <v>#NAME?</v>
      </c>
    </row>
    <row r="504" spans="1:2" x14ac:dyDescent="0.2">
      <c r="A504" s="105" t="s">
        <v>636</v>
      </c>
      <c r="B504" t="e">
        <f ca="1">func_Vlookup3(4, "", "数値")</f>
        <v>#NAME?</v>
      </c>
    </row>
    <row r="505" spans="1:2" x14ac:dyDescent="0.2">
      <c r="A505" s="105" t="s">
        <v>968</v>
      </c>
      <c r="B505" t="e">
        <f ca="1">func_Vlookup3(5)</f>
        <v>#NAME?</v>
      </c>
    </row>
    <row r="506" spans="1:2" x14ac:dyDescent="0.2">
      <c r="A506" s="105" t="s">
        <v>969</v>
      </c>
      <c r="B506" t="e">
        <f ca="1">func_Vlookup3(6, "", "数値")</f>
        <v>#NAME?</v>
      </c>
    </row>
    <row r="507" spans="1:2" x14ac:dyDescent="0.2">
      <c r="A507" s="105" t="s">
        <v>970</v>
      </c>
      <c r="B507" t="e">
        <f ca="1">func_Vlookup3(7)</f>
        <v>#NAME?</v>
      </c>
    </row>
    <row r="508" spans="1:2" x14ac:dyDescent="0.2">
      <c r="A508" s="105" t="s">
        <v>971</v>
      </c>
      <c r="B508" t="e">
        <f ca="1">func_Vlookup3(8, "", "数値")</f>
        <v>#NAME?</v>
      </c>
    </row>
    <row r="509" spans="1:2" x14ac:dyDescent="0.2">
      <c r="A509" s="105" t="s">
        <v>972</v>
      </c>
      <c r="B509" t="e">
        <f ca="1">func_Vlookup3(9)</f>
        <v>#NAME?</v>
      </c>
    </row>
    <row r="510" spans="1:2" x14ac:dyDescent="0.2">
      <c r="A510" s="105" t="s">
        <v>973</v>
      </c>
      <c r="B510" t="e">
        <f ca="1">func_Vlookup3(10, "", "数値")</f>
        <v>#NAME?</v>
      </c>
    </row>
    <row r="511" spans="1:2" x14ac:dyDescent="0.2">
      <c r="A511" s="105" t="s">
        <v>974</v>
      </c>
      <c r="B511" t="e">
        <f ca="1">func_Vlookup3(11)</f>
        <v>#NAME?</v>
      </c>
    </row>
    <row r="512" spans="1:2" x14ac:dyDescent="0.2">
      <c r="A512" s="105" t="s">
        <v>975</v>
      </c>
      <c r="B512" t="e">
        <f ca="1">func_Vlookup3(12, "", "数値")</f>
        <v>#NAME?</v>
      </c>
    </row>
    <row r="513" spans="1:2" x14ac:dyDescent="0.2">
      <c r="A513" s="105" t="s">
        <v>976</v>
      </c>
      <c r="B513" t="e">
        <f ca="1">func_Vlookup3(13)</f>
        <v>#NAME?</v>
      </c>
    </row>
    <row r="514" spans="1:2" x14ac:dyDescent="0.2">
      <c r="A514" s="105" t="s">
        <v>977</v>
      </c>
      <c r="B514" t="e">
        <f ca="1">func_Vlookup3(14, "", "数値")</f>
        <v>#NAME?</v>
      </c>
    </row>
    <row r="515" spans="1:2" x14ac:dyDescent="0.2">
      <c r="A515" s="105" t="s">
        <v>978</v>
      </c>
      <c r="B515" t="e">
        <f ca="1">func_Vlookup3(15)</f>
        <v>#NAME?</v>
      </c>
    </row>
    <row r="516" spans="1:2" x14ac:dyDescent="0.2">
      <c r="A516" s="105" t="s">
        <v>979</v>
      </c>
      <c r="B516" t="e">
        <f ca="1">func_Vlookup3(16, "", "数値")</f>
        <v>#NAME?</v>
      </c>
    </row>
    <row r="517" spans="1:2" x14ac:dyDescent="0.2">
      <c r="A517" s="105" t="s">
        <v>980</v>
      </c>
      <c r="B517" t="e">
        <f ca="1">func_Vlookup3(17)</f>
        <v>#NAME?</v>
      </c>
    </row>
    <row r="518" spans="1:2" x14ac:dyDescent="0.2">
      <c r="A518" s="105" t="s">
        <v>981</v>
      </c>
      <c r="B518" t="e">
        <f ca="1">func_Vlookup3(18, "", "数値")</f>
        <v>#NAME?</v>
      </c>
    </row>
    <row r="519" spans="1:2" x14ac:dyDescent="0.2">
      <c r="A519" s="105" t="s">
        <v>982</v>
      </c>
      <c r="B519" t="e">
        <f ca="1">func_Vlookup3(19)</f>
        <v>#NAME?</v>
      </c>
    </row>
    <row r="520" spans="1:2" x14ac:dyDescent="0.2">
      <c r="A520" s="105" t="s">
        <v>983</v>
      </c>
      <c r="B520" t="e">
        <f ca="1">func_Vlookup3(20, "", "数値")</f>
        <v>#NAME?</v>
      </c>
    </row>
    <row r="521" spans="1:2" x14ac:dyDescent="0.2">
      <c r="A521" s="105" t="s">
        <v>984</v>
      </c>
      <c r="B521" t="e">
        <f ca="1">func_Vlookup3(21)</f>
        <v>#NAME?</v>
      </c>
    </row>
    <row r="522" spans="1:2" x14ac:dyDescent="0.2">
      <c r="A522" s="105" t="s">
        <v>985</v>
      </c>
      <c r="B522" t="e">
        <f ca="1">func_Vlookup3(22, "", "数値")</f>
        <v>#NAME?</v>
      </c>
    </row>
    <row r="523" spans="1:2" x14ac:dyDescent="0.2">
      <c r="A523" s="105" t="s">
        <v>986</v>
      </c>
      <c r="B523" t="e">
        <f ca="1">func_Vlookup3(23)</f>
        <v>#NAME?</v>
      </c>
    </row>
    <row r="524" spans="1:2" x14ac:dyDescent="0.2">
      <c r="A524" s="105" t="s">
        <v>987</v>
      </c>
      <c r="B524" t="e">
        <f ca="1">func_Vlookup3(24, "", "数値")</f>
        <v>#NAME?</v>
      </c>
    </row>
    <row r="525" spans="1:2" x14ac:dyDescent="0.2">
      <c r="A525" s="105" t="s">
        <v>988</v>
      </c>
      <c r="B525" t="e">
        <f ca="1">func_Vlookup3(25)</f>
        <v>#NAME?</v>
      </c>
    </row>
    <row r="526" spans="1:2" x14ac:dyDescent="0.2">
      <c r="A526" s="105" t="s">
        <v>989</v>
      </c>
      <c r="B526" t="e">
        <f ca="1">func_Vlookup3(26, "", "数値")</f>
        <v>#NAME?</v>
      </c>
    </row>
    <row r="527" spans="1:2" x14ac:dyDescent="0.2">
      <c r="A527" s="105" t="s">
        <v>990</v>
      </c>
      <c r="B527" t="e">
        <f ca="1">func_Vlookup3(27)</f>
        <v>#NAME?</v>
      </c>
    </row>
    <row r="528" spans="1:2" x14ac:dyDescent="0.2">
      <c r="A528" s="105" t="s">
        <v>991</v>
      </c>
      <c r="B528" t="e">
        <f ca="1">func_Vlookup3(28, "", "数値")</f>
        <v>#NAME?</v>
      </c>
    </row>
    <row r="529" spans="1:2" x14ac:dyDescent="0.2">
      <c r="A529" s="105" t="s">
        <v>992</v>
      </c>
      <c r="B529" t="e">
        <f ca="1">func_Vlookup3(29)</f>
        <v>#NAME?</v>
      </c>
    </row>
    <row r="530" spans="1:2" x14ac:dyDescent="0.2">
      <c r="A530" s="105" t="s">
        <v>993</v>
      </c>
      <c r="B530" t="e">
        <f ca="1">func_Vlookup3(30, "", "数値")</f>
        <v>#NAME?</v>
      </c>
    </row>
    <row r="531" spans="1:2" x14ac:dyDescent="0.2">
      <c r="A531" s="105" t="s">
        <v>994</v>
      </c>
      <c r="B531" t="e">
        <f ca="1">func_Vlookup3(31)</f>
        <v>#NAME?</v>
      </c>
    </row>
    <row r="532" spans="1:2" x14ac:dyDescent="0.2">
      <c r="A532" s="105" t="s">
        <v>995</v>
      </c>
      <c r="B532" t="e">
        <f ca="1">func_Vlookup3(32, "", "数値")</f>
        <v>#NAME?</v>
      </c>
    </row>
    <row r="533" spans="1:2" x14ac:dyDescent="0.2">
      <c r="A533" s="105" t="s">
        <v>996</v>
      </c>
      <c r="B533" t="e">
        <f ca="1">func_Vlookup3(33)</f>
        <v>#NAME?</v>
      </c>
    </row>
    <row r="534" spans="1:2" x14ac:dyDescent="0.2">
      <c r="A534" s="105" t="s">
        <v>997</v>
      </c>
      <c r="B534" t="e">
        <f ca="1">func_Vlookup3(34, "", "数値")</f>
        <v>#NAME?</v>
      </c>
    </row>
    <row r="535" spans="1:2" x14ac:dyDescent="0.2">
      <c r="A535" s="105" t="s">
        <v>998</v>
      </c>
      <c r="B535" t="e">
        <f ca="1">func_Vlookup3(35)</f>
        <v>#NAME?</v>
      </c>
    </row>
    <row r="536" spans="1:2" x14ac:dyDescent="0.2">
      <c r="A536" s="105" t="s">
        <v>999</v>
      </c>
      <c r="B536" t="e">
        <f ca="1">func_Vlookup3(36, "", "数値")</f>
        <v>#NAME?</v>
      </c>
    </row>
    <row r="537" spans="1:2" x14ac:dyDescent="0.2">
      <c r="A537" s="105" t="s">
        <v>1000</v>
      </c>
      <c r="B537" t="e">
        <f ca="1">func_Vlookup3(37)</f>
        <v>#NAME?</v>
      </c>
    </row>
    <row r="538" spans="1:2" x14ac:dyDescent="0.2">
      <c r="A538" s="105" t="s">
        <v>1001</v>
      </c>
      <c r="B538" t="e">
        <f ca="1">func_Vlookup3(38, "", "数値")</f>
        <v>#NAME?</v>
      </c>
    </row>
    <row r="539" spans="1:2" x14ac:dyDescent="0.2">
      <c r="A539" s="105" t="s">
        <v>1002</v>
      </c>
      <c r="B539" t="e">
        <f ca="1">func_Vlookup3(39)</f>
        <v>#NAME?</v>
      </c>
    </row>
    <row r="540" spans="1:2" x14ac:dyDescent="0.2">
      <c r="A540" s="105" t="s">
        <v>1003</v>
      </c>
      <c r="B540" t="e">
        <f ca="1">func_Vlookup3(40, "", "数値")</f>
        <v>#NAME?</v>
      </c>
    </row>
    <row r="541" spans="1:2" x14ac:dyDescent="0.2">
      <c r="A541" s="105" t="s">
        <v>1004</v>
      </c>
      <c r="B541" t="e">
        <f ca="1">func_Vlookup3(41)</f>
        <v>#NAME?</v>
      </c>
    </row>
    <row r="542" spans="1:2" x14ac:dyDescent="0.2">
      <c r="A542" s="105" t="s">
        <v>1005</v>
      </c>
      <c r="B542" t="e">
        <f ca="1">func_Vlookup3(42, "", "数値")</f>
        <v>#NAME?</v>
      </c>
    </row>
    <row r="543" spans="1:2" x14ac:dyDescent="0.2">
      <c r="A543" s="105" t="s">
        <v>1006</v>
      </c>
      <c r="B543" t="e">
        <f ca="1">func_Vlookup3(43)</f>
        <v>#NAME?</v>
      </c>
    </row>
    <row r="544" spans="1:2" x14ac:dyDescent="0.2">
      <c r="A544" s="105" t="s">
        <v>1007</v>
      </c>
      <c r="B544" t="e">
        <f ca="1">func_Vlookup3(44, "", "数値")</f>
        <v>#NAME?</v>
      </c>
    </row>
    <row r="545" spans="1:2" x14ac:dyDescent="0.2">
      <c r="A545" s="105" t="s">
        <v>1008</v>
      </c>
      <c r="B545" t="e">
        <f ca="1">func_Vlookup3(45)</f>
        <v>#NAME?</v>
      </c>
    </row>
    <row r="546" spans="1:2" x14ac:dyDescent="0.2">
      <c r="A546" s="105" t="s">
        <v>1009</v>
      </c>
      <c r="B546" t="e">
        <f ca="1">func_Vlookup3(46, "", "数値")</f>
        <v>#NAME?</v>
      </c>
    </row>
    <row r="547" spans="1:2" x14ac:dyDescent="0.2">
      <c r="A547" s="105" t="s">
        <v>1010</v>
      </c>
      <c r="B547" t="e">
        <f ca="1">func_Vlookup3(47)</f>
        <v>#NAME?</v>
      </c>
    </row>
    <row r="548" spans="1:2" x14ac:dyDescent="0.2">
      <c r="A548" s="105" t="s">
        <v>1011</v>
      </c>
      <c r="B548" t="e">
        <f ca="1">func_Vlookup3(48, "", "数値")</f>
        <v>#NAME?</v>
      </c>
    </row>
    <row r="549" spans="1:2" x14ac:dyDescent="0.2">
      <c r="A549" s="105" t="s">
        <v>1012</v>
      </c>
      <c r="B549" t="e">
        <f ca="1">func_Vlookup3(49)</f>
        <v>#NAME?</v>
      </c>
    </row>
    <row r="550" spans="1:2" x14ac:dyDescent="0.2">
      <c r="A550" s="105" t="s">
        <v>1013</v>
      </c>
      <c r="B550" t="e">
        <f ca="1">func_Vlookup3(50, "", "数値")</f>
        <v>#NAME?</v>
      </c>
    </row>
    <row r="551" spans="1:2" x14ac:dyDescent="0.2">
      <c r="A551" s="105" t="s">
        <v>1014</v>
      </c>
      <c r="B551" t="e">
        <f ca="1">func_Vlookup3(51)</f>
        <v>#NAME?</v>
      </c>
    </row>
    <row r="552" spans="1:2" x14ac:dyDescent="0.2">
      <c r="A552" s="105" t="s">
        <v>1015</v>
      </c>
      <c r="B552" t="e">
        <f ca="1">func_Vlookup3(52, "", "数値")</f>
        <v>#NAME?</v>
      </c>
    </row>
    <row r="553" spans="1:2" x14ac:dyDescent="0.2">
      <c r="A553" s="105" t="s">
        <v>1016</v>
      </c>
      <c r="B553" t="e">
        <f ca="1">func_Vlookup3(53)</f>
        <v>#NAME?</v>
      </c>
    </row>
    <row r="554" spans="1:2" x14ac:dyDescent="0.2">
      <c r="A554" s="105" t="s">
        <v>1017</v>
      </c>
      <c r="B554" t="e">
        <f ca="1">func_Vlookup3(54, "", "数値")</f>
        <v>#NAME?</v>
      </c>
    </row>
    <row r="555" spans="1:2" x14ac:dyDescent="0.2">
      <c r="A555" s="105" t="s">
        <v>1018</v>
      </c>
      <c r="B555" t="e">
        <f ca="1">func_Vlookup3(55)</f>
        <v>#NAME?</v>
      </c>
    </row>
    <row r="556" spans="1:2" x14ac:dyDescent="0.2">
      <c r="A556" s="105" t="s">
        <v>1019</v>
      </c>
      <c r="B556" t="e">
        <f ca="1">func_Vlookup3(56, "", "数値")</f>
        <v>#NAME?</v>
      </c>
    </row>
    <row r="557" spans="1:2" x14ac:dyDescent="0.2">
      <c r="A557" s="105" t="s">
        <v>1020</v>
      </c>
      <c r="B557" t="e">
        <f ca="1">func_Vlookup3(57)</f>
        <v>#NAME?</v>
      </c>
    </row>
    <row r="558" spans="1:2" x14ac:dyDescent="0.2">
      <c r="A558" s="105" t="s">
        <v>1021</v>
      </c>
      <c r="B558" t="e">
        <f ca="1">func_Vlookup3(58, "", "数値")</f>
        <v>#NAME?</v>
      </c>
    </row>
    <row r="559" spans="1:2" x14ac:dyDescent="0.2">
      <c r="A559" s="105" t="s">
        <v>1022</v>
      </c>
      <c r="B559" t="e">
        <f ca="1">func_Vlookup3(59)</f>
        <v>#NAME?</v>
      </c>
    </row>
    <row r="560" spans="1:2" x14ac:dyDescent="0.2">
      <c r="A560" s="105" t="s">
        <v>1023</v>
      </c>
      <c r="B560" t="e">
        <f ca="1">func_Vlookup3(60, "", "数値")</f>
        <v>#NAME?</v>
      </c>
    </row>
    <row r="561" spans="1:2" x14ac:dyDescent="0.2">
      <c r="A561" s="105" t="s">
        <v>1024</v>
      </c>
      <c r="B561" t="e">
        <f ca="1">func_Vlookup3(61)</f>
        <v>#NAME?</v>
      </c>
    </row>
    <row r="562" spans="1:2" x14ac:dyDescent="0.2">
      <c r="A562" s="105" t="s">
        <v>1025</v>
      </c>
      <c r="B562" t="e">
        <f ca="1">func_Vlookup3(62, "", "数値")</f>
        <v>#NAME?</v>
      </c>
    </row>
    <row r="563" spans="1:2" x14ac:dyDescent="0.2">
      <c r="A563" s="105" t="s">
        <v>1026</v>
      </c>
      <c r="B563" t="e">
        <f ca="1">func_Vlookup3(63)</f>
        <v>#NAME?</v>
      </c>
    </row>
    <row r="564" spans="1:2" x14ac:dyDescent="0.2">
      <c r="A564" s="105" t="s">
        <v>1027</v>
      </c>
      <c r="B564" t="e">
        <f ca="1">func_Vlookup3(64, "", "数値")</f>
        <v>#NAME?</v>
      </c>
    </row>
    <row r="565" spans="1:2" x14ac:dyDescent="0.2">
      <c r="A565" s="105" t="s">
        <v>1028</v>
      </c>
      <c r="B565" t="e">
        <f ca="1">func_Vlookup3(65)</f>
        <v>#NAME?</v>
      </c>
    </row>
    <row r="566" spans="1:2" x14ac:dyDescent="0.2">
      <c r="A566" s="105" t="s">
        <v>1029</v>
      </c>
      <c r="B566" t="e">
        <f ca="1">func_Vlookup3(66, "", "数値")</f>
        <v>#NAME?</v>
      </c>
    </row>
    <row r="567" spans="1:2" x14ac:dyDescent="0.2">
      <c r="A567" s="105" t="s">
        <v>1030</v>
      </c>
      <c r="B567" t="e">
        <f ca="1">func_Vlookup3(67)</f>
        <v>#NAME?</v>
      </c>
    </row>
    <row r="568" spans="1:2" x14ac:dyDescent="0.2">
      <c r="A568" s="105" t="s">
        <v>1031</v>
      </c>
      <c r="B568" t="e">
        <f ca="1">func_Vlookup3(68, "", "数値")</f>
        <v>#NAME?</v>
      </c>
    </row>
    <row r="569" spans="1:2" x14ac:dyDescent="0.2">
      <c r="A569" s="105" t="s">
        <v>1032</v>
      </c>
      <c r="B569" t="e">
        <f ca="1">func_Vlookup3(69)</f>
        <v>#NAME?</v>
      </c>
    </row>
    <row r="570" spans="1:2" x14ac:dyDescent="0.2">
      <c r="A570" s="105" t="s">
        <v>1033</v>
      </c>
      <c r="B570" t="e">
        <f ca="1">func_Vlookup3(70, "", "数値")</f>
        <v>#NAME?</v>
      </c>
    </row>
    <row r="571" spans="1:2" x14ac:dyDescent="0.2">
      <c r="A571" s="105" t="s">
        <v>1034</v>
      </c>
      <c r="B571" t="e">
        <f ca="1">func_Vlookup3(71)</f>
        <v>#NAME?</v>
      </c>
    </row>
    <row r="572" spans="1:2" x14ac:dyDescent="0.2">
      <c r="A572" s="105" t="s">
        <v>1035</v>
      </c>
      <c r="B572" t="e">
        <f ca="1">func_Vlookup3(72, "", "数値")</f>
        <v>#NAME?</v>
      </c>
    </row>
    <row r="573" spans="1:2" x14ac:dyDescent="0.2">
      <c r="A573" s="105" t="s">
        <v>1036</v>
      </c>
      <c r="B573" t="e">
        <f ca="1">func_Vlookup3(73)</f>
        <v>#NAME?</v>
      </c>
    </row>
    <row r="574" spans="1:2" x14ac:dyDescent="0.2">
      <c r="A574" s="105" t="s">
        <v>1037</v>
      </c>
      <c r="B574" t="e">
        <f ca="1">func_Vlookup3(74, "", "数値")</f>
        <v>#NAME?</v>
      </c>
    </row>
    <row r="575" spans="1:2" x14ac:dyDescent="0.2">
      <c r="A575" s="105" t="s">
        <v>1038</v>
      </c>
      <c r="B575" t="e">
        <f ca="1">func_Vlookup3(75)</f>
        <v>#NAME?</v>
      </c>
    </row>
    <row r="576" spans="1:2" x14ac:dyDescent="0.2">
      <c r="A576" s="105" t="s">
        <v>1039</v>
      </c>
      <c r="B576" t="e">
        <f ca="1">func_Vlookup3(76, "", "数値")</f>
        <v>#NAME?</v>
      </c>
    </row>
    <row r="577" spans="1:2" x14ac:dyDescent="0.2">
      <c r="A577" s="105" t="s">
        <v>1040</v>
      </c>
      <c r="B577" t="e">
        <f ca="1">func_Vlookup3(77)</f>
        <v>#NAME?</v>
      </c>
    </row>
    <row r="578" spans="1:2" x14ac:dyDescent="0.2">
      <c r="A578" s="105" t="s">
        <v>1041</v>
      </c>
      <c r="B578" t="e">
        <f ca="1">func_Vlookup3(78, "", "数値")</f>
        <v>#NAME?</v>
      </c>
    </row>
    <row r="579" spans="1:2" x14ac:dyDescent="0.2">
      <c r="A579" s="105" t="s">
        <v>1042</v>
      </c>
      <c r="B579" t="e">
        <f ca="1">func_Vlookup3(79)</f>
        <v>#NAME?</v>
      </c>
    </row>
    <row r="580" spans="1:2" x14ac:dyDescent="0.2">
      <c r="A580" s="105" t="s">
        <v>1043</v>
      </c>
      <c r="B580" t="e">
        <f ca="1">func_Vlookup3(80, "", "数値")</f>
        <v>#NAME?</v>
      </c>
    </row>
    <row r="581" spans="1:2" x14ac:dyDescent="0.2">
      <c r="A581" s="105" t="s">
        <v>1044</v>
      </c>
      <c r="B581" t="e">
        <f ca="1">func_Vlookup3(81)</f>
        <v>#NAME?</v>
      </c>
    </row>
    <row r="582" spans="1:2" x14ac:dyDescent="0.2">
      <c r="A582" s="105" t="s">
        <v>1045</v>
      </c>
      <c r="B582" t="e">
        <f ca="1">func_Vlookup3(82, "", "数値")</f>
        <v>#NAME?</v>
      </c>
    </row>
    <row r="583" spans="1:2" x14ac:dyDescent="0.2">
      <c r="A583" s="105" t="s">
        <v>1046</v>
      </c>
      <c r="B583" t="e">
        <f ca="1">func_Vlookup3(83)</f>
        <v>#NAME?</v>
      </c>
    </row>
    <row r="584" spans="1:2" x14ac:dyDescent="0.2">
      <c r="A584" s="105" t="s">
        <v>1047</v>
      </c>
      <c r="B584" t="e">
        <f ca="1">func_Vlookup3(84, "", "数値")</f>
        <v>#NAME?</v>
      </c>
    </row>
    <row r="585" spans="1:2" x14ac:dyDescent="0.2">
      <c r="A585" s="105" t="s">
        <v>1048</v>
      </c>
      <c r="B585" t="e">
        <f ca="1">func_Vlookup3(85)</f>
        <v>#NAME?</v>
      </c>
    </row>
    <row r="586" spans="1:2" x14ac:dyDescent="0.2">
      <c r="A586" s="105" t="s">
        <v>1049</v>
      </c>
      <c r="B586" t="e">
        <f ca="1">func_Vlookup3(86, "", "数値")</f>
        <v>#NAME?</v>
      </c>
    </row>
    <row r="587" spans="1:2" x14ac:dyDescent="0.2">
      <c r="A587" s="105" t="s">
        <v>1050</v>
      </c>
      <c r="B587" t="e">
        <f ca="1">func_Vlookup3(87)</f>
        <v>#NAME?</v>
      </c>
    </row>
    <row r="588" spans="1:2" x14ac:dyDescent="0.2">
      <c r="A588" s="105" t="s">
        <v>1051</v>
      </c>
      <c r="B588" t="e">
        <f ca="1">func_Vlookup3(88, "", "数値")</f>
        <v>#NAME?</v>
      </c>
    </row>
    <row r="589" spans="1:2" x14ac:dyDescent="0.2">
      <c r="A589" s="105" t="s">
        <v>1052</v>
      </c>
      <c r="B589" t="e">
        <f ca="1">func_Vlookup3(89)</f>
        <v>#NAME?</v>
      </c>
    </row>
    <row r="590" spans="1:2" x14ac:dyDescent="0.2">
      <c r="A590" s="105" t="s">
        <v>1053</v>
      </c>
      <c r="B590" t="e">
        <f ca="1">func_Vlookup3(90, "", "数値")</f>
        <v>#NAME?</v>
      </c>
    </row>
    <row r="591" spans="1:2" x14ac:dyDescent="0.2">
      <c r="A591" s="105" t="s">
        <v>1054</v>
      </c>
      <c r="B591" t="e">
        <f ca="1">func_Vlookup3(91)</f>
        <v>#NAME?</v>
      </c>
    </row>
    <row r="592" spans="1:2" x14ac:dyDescent="0.2">
      <c r="A592" s="105" t="s">
        <v>1055</v>
      </c>
      <c r="B592" t="e">
        <f ca="1">func_Vlookup3(92, "", "数値")</f>
        <v>#NAME?</v>
      </c>
    </row>
    <row r="593" spans="1:2" x14ac:dyDescent="0.2">
      <c r="A593" s="105" t="s">
        <v>1056</v>
      </c>
      <c r="B593" t="e">
        <f ca="1">func_Vlookup3(93, "", "数値")</f>
        <v>#NAME?</v>
      </c>
    </row>
    <row r="594" spans="1:2" x14ac:dyDescent="0.2">
      <c r="A594" s="105" t="s">
        <v>1057</v>
      </c>
      <c r="B594" t="e">
        <f ca="1">func_Vlookup3(94, "", "数値")</f>
        <v>#NAME?</v>
      </c>
    </row>
    <row r="595" spans="1:2" x14ac:dyDescent="0.2">
      <c r="A595" s="105" t="s">
        <v>1058</v>
      </c>
      <c r="B595" t="e">
        <f ca="1">func_Vlookup3(95, "", "数値")</f>
        <v>#NAME?</v>
      </c>
    </row>
    <row r="596" spans="1:2" x14ac:dyDescent="0.2">
      <c r="A596" s="105" t="s">
        <v>1059</v>
      </c>
      <c r="B596" t="e">
        <f ca="1">func_Vlookup3(96, "", "数値")</f>
        <v>#NAME?</v>
      </c>
    </row>
    <row r="597" spans="1:2" x14ac:dyDescent="0.2">
      <c r="A597" s="105" t="s">
        <v>1060</v>
      </c>
      <c r="B597" t="e">
        <f ca="1">func_Vlookup3(97, "", "数値")</f>
        <v>#NAME?</v>
      </c>
    </row>
    <row r="598" spans="1:2" x14ac:dyDescent="0.2">
      <c r="A598" s="105" t="s">
        <v>1061</v>
      </c>
      <c r="B598" t="e">
        <f ca="1">func_Vlookup3(98, "", "数値")</f>
        <v>#NAME?</v>
      </c>
    </row>
    <row r="599" spans="1:2" x14ac:dyDescent="0.2">
      <c r="A599" s="105" t="s">
        <v>1062</v>
      </c>
      <c r="B599" t="e">
        <f ca="1">func_Vlookup3(99, "", "数値")</f>
        <v>#NAME?</v>
      </c>
    </row>
    <row r="600" spans="1:2" x14ac:dyDescent="0.2">
      <c r="A600" s="105" t="s">
        <v>1063</v>
      </c>
      <c r="B600" t="e">
        <f ca="1">func_Vlookup3(100, "", "数値")</f>
        <v>#NAME?</v>
      </c>
    </row>
    <row r="601" spans="1:2" x14ac:dyDescent="0.2">
      <c r="A601" s="105" t="s">
        <v>1064</v>
      </c>
      <c r="B601" t="e">
        <f ca="1">func_Vlookup3(101, "", "数値")</f>
        <v>#NAME?</v>
      </c>
    </row>
    <row r="602" spans="1:2" x14ac:dyDescent="0.2">
      <c r="A602" s="105" t="s">
        <v>1065</v>
      </c>
      <c r="B602" t="e">
        <f ca="1">func_Vlookup3(102, "", "数値")</f>
        <v>#NAME?</v>
      </c>
    </row>
    <row r="603" spans="1:2" x14ac:dyDescent="0.2">
      <c r="A603" s="105" t="s">
        <v>1066</v>
      </c>
      <c r="B603" t="e">
        <f ca="1">func_Vlookup3(103)</f>
        <v>#NAME?</v>
      </c>
    </row>
    <row r="604" spans="1:2" x14ac:dyDescent="0.2">
      <c r="A604" s="105" t="s">
        <v>1067</v>
      </c>
      <c r="B604" t="e">
        <f ca="1">func_Vlookup3(104, "", "数値")</f>
        <v>#NAME?</v>
      </c>
    </row>
    <row r="605" spans="1:2" x14ac:dyDescent="0.2">
      <c r="A605" s="105" t="s">
        <v>1068</v>
      </c>
      <c r="B605" t="e">
        <f ca="1">func_Vlookup3(105)</f>
        <v>#NAME?</v>
      </c>
    </row>
    <row r="606" spans="1:2" x14ac:dyDescent="0.2">
      <c r="A606" s="105" t="s">
        <v>1069</v>
      </c>
      <c r="B606" t="e">
        <f ca="1">func_Vlookup3(106, "", "数値")</f>
        <v>#NAME?</v>
      </c>
    </row>
    <row r="607" spans="1:2" x14ac:dyDescent="0.2">
      <c r="A607" s="105" t="s">
        <v>1070</v>
      </c>
      <c r="B607" t="e">
        <f ca="1">func_Vlookup3(107)</f>
        <v>#NAME?</v>
      </c>
    </row>
    <row r="608" spans="1:2" x14ac:dyDescent="0.2">
      <c r="A608" s="105" t="s">
        <v>1071</v>
      </c>
      <c r="B608" t="e">
        <f ca="1">func_Vlookup3(108, "", "数値")</f>
        <v>#NAME?</v>
      </c>
    </row>
    <row r="609" spans="1:2" x14ac:dyDescent="0.2">
      <c r="A609" s="105" t="s">
        <v>1072</v>
      </c>
      <c r="B609" t="e">
        <f ca="1">func_Vlookup3(109)</f>
        <v>#NAME?</v>
      </c>
    </row>
    <row r="610" spans="1:2" x14ac:dyDescent="0.2">
      <c r="A610" s="105" t="s">
        <v>1073</v>
      </c>
      <c r="B610" t="e">
        <f ca="1">func_Vlookup3(110, "", "数値")</f>
        <v>#NAME?</v>
      </c>
    </row>
    <row r="611" spans="1:2" x14ac:dyDescent="0.2">
      <c r="A611" s="105" t="s">
        <v>1074</v>
      </c>
      <c r="B611" t="e">
        <f ca="1">func_Vlookup3(111)</f>
        <v>#NAME?</v>
      </c>
    </row>
    <row r="612" spans="1:2" x14ac:dyDescent="0.2">
      <c r="A612" s="105" t="s">
        <v>1075</v>
      </c>
      <c r="B612" t="e">
        <f ca="1">func_Vlookup3(112, "", "数値")</f>
        <v>#NAME?</v>
      </c>
    </row>
    <row r="613" spans="1:2" x14ac:dyDescent="0.2">
      <c r="A613" s="105" t="s">
        <v>1076</v>
      </c>
      <c r="B613" t="e">
        <f ca="1">func_Vlookup3(113)</f>
        <v>#NAME?</v>
      </c>
    </row>
    <row r="614" spans="1:2" x14ac:dyDescent="0.2">
      <c r="A614" s="105" t="s">
        <v>1077</v>
      </c>
      <c r="B614" t="e">
        <f ca="1">func_Vlookup3(114, "", "数値")</f>
        <v>#NAME?</v>
      </c>
    </row>
    <row r="615" spans="1:2" x14ac:dyDescent="0.2">
      <c r="A615" s="105" t="s">
        <v>1078</v>
      </c>
      <c r="B615" t="e">
        <f ca="1">func_Vlookup3(115)</f>
        <v>#NAME?</v>
      </c>
    </row>
    <row r="616" spans="1:2" x14ac:dyDescent="0.2">
      <c r="A616" s="105" t="s">
        <v>1079</v>
      </c>
      <c r="B616" t="e">
        <f ca="1">func_Vlookup3(116, "", "数値")</f>
        <v>#NAME?</v>
      </c>
    </row>
    <row r="617" spans="1:2" x14ac:dyDescent="0.2">
      <c r="A617" s="105" t="s">
        <v>1080</v>
      </c>
      <c r="B617" t="e">
        <f ca="1">func_Vlookup3(117)</f>
        <v>#NAME?</v>
      </c>
    </row>
    <row r="618" spans="1:2" x14ac:dyDescent="0.2">
      <c r="A618" s="105" t="s">
        <v>1081</v>
      </c>
      <c r="B618" t="e">
        <f ca="1">func_Vlookup3(118, "", "数値")</f>
        <v>#NAME?</v>
      </c>
    </row>
    <row r="619" spans="1:2" x14ac:dyDescent="0.2">
      <c r="A619" s="105" t="s">
        <v>1082</v>
      </c>
      <c r="B619" t="e">
        <f ca="1">func_Vlookup3(119)</f>
        <v>#NAME?</v>
      </c>
    </row>
    <row r="620" spans="1:2" x14ac:dyDescent="0.2">
      <c r="A620" s="105" t="s">
        <v>1083</v>
      </c>
      <c r="B620" t="e">
        <f ca="1">func_Vlookup3(120, "", "数値")</f>
        <v>#NAME?</v>
      </c>
    </row>
    <row r="621" spans="1:2" x14ac:dyDescent="0.2">
      <c r="A621" s="105" t="s">
        <v>1084</v>
      </c>
      <c r="B621" t="e">
        <f ca="1">func_Vlookup3(121)</f>
        <v>#NAME?</v>
      </c>
    </row>
    <row r="622" spans="1:2" x14ac:dyDescent="0.2">
      <c r="A622" s="105" t="s">
        <v>1085</v>
      </c>
      <c r="B622" t="e">
        <f ca="1">func_Vlookup3(122, "", "数値")</f>
        <v>#NAME?</v>
      </c>
    </row>
    <row r="623" spans="1:2" x14ac:dyDescent="0.2">
      <c r="A623" s="105" t="s">
        <v>66</v>
      </c>
      <c r="B623" t="e">
        <f ca="1">func_Vlookup3(123)</f>
        <v>#NAME?</v>
      </c>
    </row>
    <row r="624" spans="1:2" x14ac:dyDescent="0.2">
      <c r="A624" s="105" t="s">
        <v>67</v>
      </c>
      <c r="B624" t="e">
        <f ca="1">func_Vlookup3(124)</f>
        <v>#NAME?</v>
      </c>
    </row>
    <row r="625" spans="1:2" x14ac:dyDescent="0.2">
      <c r="A625" s="105" t="s">
        <v>68</v>
      </c>
      <c r="B625" t="e">
        <f ca="1">func_Vlookup3(125)</f>
        <v>#NAME?</v>
      </c>
    </row>
    <row r="626" spans="1:2" x14ac:dyDescent="0.2">
      <c r="A626" s="105" t="s">
        <v>69</v>
      </c>
      <c r="B626" t="e">
        <f ca="1">func_Vlookup3(126)</f>
        <v>#NAME?</v>
      </c>
    </row>
    <row r="627" spans="1:2" x14ac:dyDescent="0.2">
      <c r="A627" s="105" t="s">
        <v>70</v>
      </c>
      <c r="B627" t="e">
        <f ca="1">func_Vlookup3(127)</f>
        <v>#NAME?</v>
      </c>
    </row>
    <row r="628" spans="1:2" x14ac:dyDescent="0.2">
      <c r="A628" s="105" t="s">
        <v>71</v>
      </c>
      <c r="B628" t="e">
        <f ca="1">func_Vlookup3(128)</f>
        <v>#NAME?</v>
      </c>
    </row>
    <row r="629" spans="1:2" x14ac:dyDescent="0.2">
      <c r="A629" s="105" t="s">
        <v>72</v>
      </c>
      <c r="B629" t="e">
        <f ca="1">func_Vlookup3(129)</f>
        <v>#NAME?</v>
      </c>
    </row>
    <row r="630" spans="1:2" x14ac:dyDescent="0.2">
      <c r="A630" s="105" t="s">
        <v>73</v>
      </c>
      <c r="B630" t="e">
        <f ca="1">func_Vlookup3(130)</f>
        <v>#NAME?</v>
      </c>
    </row>
    <row r="631" spans="1:2" x14ac:dyDescent="0.2">
      <c r="A631" s="105" t="s">
        <v>74</v>
      </c>
      <c r="B631" t="e">
        <f ca="1">func_Vlookup3(131)</f>
        <v>#NAME?</v>
      </c>
    </row>
    <row r="632" spans="1:2" x14ac:dyDescent="0.2">
      <c r="A632" s="105" t="s">
        <v>75</v>
      </c>
      <c r="B632" t="e">
        <f ca="1">func_Vlookup3(132)</f>
        <v>#NAME?</v>
      </c>
    </row>
    <row r="633" spans="1:2" x14ac:dyDescent="0.2">
      <c r="A633" s="105" t="s">
        <v>76</v>
      </c>
      <c r="B633" t="e">
        <f ca="1">func_Vlookup3(133)</f>
        <v>#NAME?</v>
      </c>
    </row>
    <row r="634" spans="1:2" x14ac:dyDescent="0.2">
      <c r="A634" s="105" t="s">
        <v>77</v>
      </c>
      <c r="B634" t="e">
        <f ca="1">func_Vlookup3(134)</f>
        <v>#NAME?</v>
      </c>
    </row>
    <row r="635" spans="1:2" x14ac:dyDescent="0.2">
      <c r="A635" s="105" t="s">
        <v>78</v>
      </c>
      <c r="B635" t="e">
        <f ca="1">func_Vlookup3(135)</f>
        <v>#NAME?</v>
      </c>
    </row>
    <row r="636" spans="1:2" x14ac:dyDescent="0.2">
      <c r="A636" s="105" t="s">
        <v>79</v>
      </c>
      <c r="B636" t="e">
        <f ca="1">func_Vlookup3(136)</f>
        <v>#NAME?</v>
      </c>
    </row>
    <row r="637" spans="1:2" x14ac:dyDescent="0.2">
      <c r="A637" s="105" t="s">
        <v>80</v>
      </c>
      <c r="B637" t="e">
        <f ca="1">func_Vlookup3(137)</f>
        <v>#NAME?</v>
      </c>
    </row>
    <row r="638" spans="1:2" x14ac:dyDescent="0.2">
      <c r="A638" s="105" t="s">
        <v>81</v>
      </c>
      <c r="B638" t="e">
        <f ca="1">func_Vlookup3(138)</f>
        <v>#NAME?</v>
      </c>
    </row>
    <row r="639" spans="1:2" x14ac:dyDescent="0.2">
      <c r="A639" s="105" t="s">
        <v>82</v>
      </c>
      <c r="B639" t="e">
        <f ca="1">func_Vlookup3(139)</f>
        <v>#NAME?</v>
      </c>
    </row>
    <row r="640" spans="1:2" x14ac:dyDescent="0.2">
      <c r="A640" s="105" t="s">
        <v>83</v>
      </c>
      <c r="B640" t="e">
        <f ca="1">func_Vlookup3(140)</f>
        <v>#NAME?</v>
      </c>
    </row>
    <row r="641" spans="1:2" x14ac:dyDescent="0.2">
      <c r="A641" s="105" t="s">
        <v>84</v>
      </c>
      <c r="B641" t="e">
        <f ca="1">func_Vlookup3(141)</f>
        <v>#NAME?</v>
      </c>
    </row>
    <row r="642" spans="1:2" x14ac:dyDescent="0.2">
      <c r="A642" s="105" t="s">
        <v>85</v>
      </c>
      <c r="B642" t="e">
        <f ca="1">func_Vlookup3(142)</f>
        <v>#NAME?</v>
      </c>
    </row>
    <row r="643" spans="1:2" x14ac:dyDescent="0.2">
      <c r="A643" s="105" t="s">
        <v>86</v>
      </c>
      <c r="B643" t="e">
        <f ca="1">func_Vlookup3(143)</f>
        <v>#NAME?</v>
      </c>
    </row>
    <row r="644" spans="1:2" x14ac:dyDescent="0.2">
      <c r="A644" s="105" t="s">
        <v>87</v>
      </c>
      <c r="B644" t="e">
        <f ca="1">func_Vlookup3(144)</f>
        <v>#NAME?</v>
      </c>
    </row>
    <row r="645" spans="1:2" x14ac:dyDescent="0.2">
      <c r="A645" s="105" t="s">
        <v>88</v>
      </c>
      <c r="B645" t="e">
        <f ca="1">func_Vlookup3(145)</f>
        <v>#NAME?</v>
      </c>
    </row>
    <row r="646" spans="1:2" x14ac:dyDescent="0.2">
      <c r="A646" s="105" t="s">
        <v>89</v>
      </c>
      <c r="B646" t="e">
        <f ca="1">func_Vlookup3(146)</f>
        <v>#NAME?</v>
      </c>
    </row>
    <row r="647" spans="1:2" x14ac:dyDescent="0.2">
      <c r="A647" s="105" t="s">
        <v>90</v>
      </c>
      <c r="B647" t="e">
        <f ca="1">func_Vlookup3(147)</f>
        <v>#NAME?</v>
      </c>
    </row>
    <row r="648" spans="1:2" x14ac:dyDescent="0.2">
      <c r="A648" s="105" t="s">
        <v>91</v>
      </c>
      <c r="B648" t="e">
        <f ca="1">func_Vlookup3(148)</f>
        <v>#NAME?</v>
      </c>
    </row>
    <row r="649" spans="1:2" x14ac:dyDescent="0.2">
      <c r="A649" s="105" t="s">
        <v>92</v>
      </c>
      <c r="B649" t="e">
        <f ca="1">func_Vlookup3(149)</f>
        <v>#NAME?</v>
      </c>
    </row>
    <row r="650" spans="1:2" x14ac:dyDescent="0.2">
      <c r="A650" s="105" t="s">
        <v>93</v>
      </c>
      <c r="B650" t="e">
        <f ca="1">func_Vlookup3(150)</f>
        <v>#NAME?</v>
      </c>
    </row>
    <row r="651" spans="1:2" x14ac:dyDescent="0.2">
      <c r="A651" s="105" t="s">
        <v>94</v>
      </c>
      <c r="B651" t="e">
        <f ca="1">func_Vlookup3(151)</f>
        <v>#NAME?</v>
      </c>
    </row>
    <row r="652" spans="1:2" x14ac:dyDescent="0.2">
      <c r="A652" s="105" t="s">
        <v>95</v>
      </c>
      <c r="B652" t="e">
        <f ca="1">func_Vlookup3(152)</f>
        <v>#NAME?</v>
      </c>
    </row>
    <row r="653" spans="1:2" x14ac:dyDescent="0.2">
      <c r="A653" s="105" t="s">
        <v>96</v>
      </c>
      <c r="B653" t="e">
        <f ca="1">func_Vlookup3(153)</f>
        <v>#NAME?</v>
      </c>
    </row>
    <row r="654" spans="1:2" x14ac:dyDescent="0.2">
      <c r="A654" s="105" t="s">
        <v>97</v>
      </c>
      <c r="B654" t="e">
        <f ca="1">func_Vlookup3(154)</f>
        <v>#NAME?</v>
      </c>
    </row>
    <row r="655" spans="1:2" x14ac:dyDescent="0.2">
      <c r="A655" s="105" t="s">
        <v>98</v>
      </c>
      <c r="B655" t="e">
        <f ca="1">func_Vlookup3(155)</f>
        <v>#NAME?</v>
      </c>
    </row>
    <row r="656" spans="1:2" x14ac:dyDescent="0.2">
      <c r="A656" s="105" t="s">
        <v>99</v>
      </c>
      <c r="B656" t="e">
        <f ca="1">func_Vlookup3(156)</f>
        <v>#NAME?</v>
      </c>
    </row>
    <row r="657" spans="1:2" x14ac:dyDescent="0.2">
      <c r="A657" s="105" t="s">
        <v>100</v>
      </c>
      <c r="B657" t="e">
        <f ca="1">func_Vlookup3(157)</f>
        <v>#NAME?</v>
      </c>
    </row>
    <row r="658" spans="1:2" x14ac:dyDescent="0.2">
      <c r="A658" s="105" t="s">
        <v>101</v>
      </c>
      <c r="B658" t="e">
        <f ca="1">func_Vlookup3(158)</f>
        <v>#NAME?</v>
      </c>
    </row>
    <row r="659" spans="1:2" x14ac:dyDescent="0.2">
      <c r="A659" s="105" t="s">
        <v>102</v>
      </c>
      <c r="B659" t="e">
        <f ca="1">func_Vlookup3(159)</f>
        <v>#NAME?</v>
      </c>
    </row>
    <row r="660" spans="1:2" x14ac:dyDescent="0.2">
      <c r="A660" s="105" t="s">
        <v>103</v>
      </c>
      <c r="B660" t="e">
        <f ca="1">func_Vlookup3(160)</f>
        <v>#NAME?</v>
      </c>
    </row>
    <row r="661" spans="1:2" x14ac:dyDescent="0.2">
      <c r="A661" s="105" t="s">
        <v>104</v>
      </c>
      <c r="B661" t="e">
        <f ca="1">func_Vlookup3(161)</f>
        <v>#NAME?</v>
      </c>
    </row>
    <row r="662" spans="1:2" x14ac:dyDescent="0.2">
      <c r="A662" s="105" t="s">
        <v>105</v>
      </c>
      <c r="B662" t="e">
        <f ca="1">func_Vlookup3(162)</f>
        <v>#NAME?</v>
      </c>
    </row>
    <row r="663" spans="1:2" x14ac:dyDescent="0.2">
      <c r="A663" s="105" t="s">
        <v>106</v>
      </c>
      <c r="B663" t="e">
        <f ca="1">func_Vlookup3(163)</f>
        <v>#NAME?</v>
      </c>
    </row>
    <row r="664" spans="1:2" x14ac:dyDescent="0.2">
      <c r="A664" s="105" t="s">
        <v>107</v>
      </c>
      <c r="B664" t="e">
        <f ca="1">func_Vlookup3(164)</f>
        <v>#NAME?</v>
      </c>
    </row>
    <row r="665" spans="1:2" x14ac:dyDescent="0.2">
      <c r="A665" s="105" t="s">
        <v>108</v>
      </c>
      <c r="B665" t="e">
        <f ca="1">func_Vlookup3(165)</f>
        <v>#NAME?</v>
      </c>
    </row>
    <row r="666" spans="1:2" x14ac:dyDescent="0.2">
      <c r="A666" s="105" t="s">
        <v>109</v>
      </c>
      <c r="B666" t="e">
        <f ca="1">func_Vlookup3(166)</f>
        <v>#NAME?</v>
      </c>
    </row>
    <row r="667" spans="1:2" x14ac:dyDescent="0.2">
      <c r="A667" s="105" t="s">
        <v>110</v>
      </c>
      <c r="B667" t="e">
        <f ca="1">func_Vlookup3(167)</f>
        <v>#NAME?</v>
      </c>
    </row>
    <row r="668" spans="1:2" x14ac:dyDescent="0.2">
      <c r="A668" s="105" t="s">
        <v>111</v>
      </c>
      <c r="B668" t="e">
        <f ca="1">func_Vlookup3(168)</f>
        <v>#NAME?</v>
      </c>
    </row>
    <row r="669" spans="1:2" x14ac:dyDescent="0.2">
      <c r="A669" s="105" t="s">
        <v>112</v>
      </c>
      <c r="B669" t="e">
        <f ca="1">func_Vlookup3(169)</f>
        <v>#NAME?</v>
      </c>
    </row>
    <row r="670" spans="1:2" x14ac:dyDescent="0.2">
      <c r="A670" s="105" t="s">
        <v>113</v>
      </c>
      <c r="B670" t="e">
        <f ca="1">func_Vlookup3(170)</f>
        <v>#NAME?</v>
      </c>
    </row>
    <row r="671" spans="1:2" x14ac:dyDescent="0.2">
      <c r="A671" s="105" t="s">
        <v>114</v>
      </c>
      <c r="B671" t="e">
        <f ca="1">func_Vlookup3(171)</f>
        <v>#NAME?</v>
      </c>
    </row>
    <row r="672" spans="1:2" x14ac:dyDescent="0.2">
      <c r="A672" s="105" t="s">
        <v>115</v>
      </c>
      <c r="B672" t="e">
        <f ca="1">func_Vlookup3(172)</f>
        <v>#NAME?</v>
      </c>
    </row>
    <row r="673" spans="1:2" x14ac:dyDescent="0.2">
      <c r="A673" s="105" t="s">
        <v>116</v>
      </c>
      <c r="B673" t="e">
        <f ca="1">func_Vlookup3(173)</f>
        <v>#NAME?</v>
      </c>
    </row>
    <row r="674" spans="1:2" x14ac:dyDescent="0.2">
      <c r="A674" s="105" t="s">
        <v>117</v>
      </c>
      <c r="B674" t="e">
        <f ca="1">func_Vlookup3(174)</f>
        <v>#NAME?</v>
      </c>
    </row>
    <row r="675" spans="1:2" x14ac:dyDescent="0.2">
      <c r="A675" s="105" t="s">
        <v>118</v>
      </c>
      <c r="B675" t="e">
        <f ca="1">func_Vlookup3(175)</f>
        <v>#NAME?</v>
      </c>
    </row>
    <row r="676" spans="1:2" x14ac:dyDescent="0.2">
      <c r="A676" s="105" t="s">
        <v>119</v>
      </c>
      <c r="B676" t="e">
        <f ca="1">func_Vlookup3(176)</f>
        <v>#NAME?</v>
      </c>
    </row>
    <row r="677" spans="1:2" x14ac:dyDescent="0.2">
      <c r="A677" s="105" t="s">
        <v>120</v>
      </c>
      <c r="B677" t="e">
        <f ca="1">func_Vlookup3(177)</f>
        <v>#NAME?</v>
      </c>
    </row>
    <row r="678" spans="1:2" x14ac:dyDescent="0.2">
      <c r="A678" s="105" t="s">
        <v>121</v>
      </c>
      <c r="B678" t="e">
        <f ca="1">func_Vlookup3(178)</f>
        <v>#NAME?</v>
      </c>
    </row>
    <row r="679" spans="1:2" x14ac:dyDescent="0.2">
      <c r="A679" s="105" t="s">
        <v>122</v>
      </c>
      <c r="B679" t="e">
        <f ca="1">func_Vlookup3(179)</f>
        <v>#NAME?</v>
      </c>
    </row>
    <row r="680" spans="1:2" x14ac:dyDescent="0.2">
      <c r="A680" s="105" t="s">
        <v>123</v>
      </c>
      <c r="B680" t="e">
        <f ca="1">func_Vlookup3(180)</f>
        <v>#NAME?</v>
      </c>
    </row>
    <row r="681" spans="1:2" x14ac:dyDescent="0.2">
      <c r="A681" s="105" t="s">
        <v>124</v>
      </c>
      <c r="B681" t="e">
        <f ca="1">func_Vlookup3(181)</f>
        <v>#NAME?</v>
      </c>
    </row>
    <row r="682" spans="1:2" x14ac:dyDescent="0.2">
      <c r="A682" s="105" t="s">
        <v>125</v>
      </c>
      <c r="B682" t="e">
        <f ca="1">func_Vlookup3(182)</f>
        <v>#NAME?</v>
      </c>
    </row>
    <row r="683" spans="1:2" x14ac:dyDescent="0.2">
      <c r="A683" s="105" t="s">
        <v>126</v>
      </c>
      <c r="B683" t="e">
        <f ca="1">func_Vlookup3(183)</f>
        <v>#NAME?</v>
      </c>
    </row>
    <row r="684" spans="1:2" x14ac:dyDescent="0.2">
      <c r="A684" s="105" t="s">
        <v>127</v>
      </c>
      <c r="B684" t="e">
        <f ca="1">func_Vlookup3(184)</f>
        <v>#NAME?</v>
      </c>
    </row>
    <row r="685" spans="1:2" x14ac:dyDescent="0.2">
      <c r="A685" s="105" t="s">
        <v>128</v>
      </c>
      <c r="B685" t="e">
        <f ca="1">func_Vlookup3(185)</f>
        <v>#NAME?</v>
      </c>
    </row>
    <row r="686" spans="1:2" x14ac:dyDescent="0.2">
      <c r="A686" s="105" t="s">
        <v>129</v>
      </c>
      <c r="B686" t="e">
        <f ca="1">func_Vlookup3(186)</f>
        <v>#NAME?</v>
      </c>
    </row>
    <row r="687" spans="1:2" x14ac:dyDescent="0.2">
      <c r="A687" s="105" t="s">
        <v>130</v>
      </c>
      <c r="B687" t="e">
        <f ca="1">func_Vlookup3(187)</f>
        <v>#NAME?</v>
      </c>
    </row>
    <row r="688" spans="1:2" x14ac:dyDescent="0.2">
      <c r="A688" s="105" t="s">
        <v>131</v>
      </c>
      <c r="B688" t="e">
        <f ca="1">func_Vlookup3(188)</f>
        <v>#NAME?</v>
      </c>
    </row>
    <row r="689" spans="1:2" x14ac:dyDescent="0.2">
      <c r="A689" s="105" t="s">
        <v>132</v>
      </c>
      <c r="B689" t="e">
        <f ca="1">func_Vlookup3(189)</f>
        <v>#NAME?</v>
      </c>
    </row>
    <row r="690" spans="1:2" x14ac:dyDescent="0.2">
      <c r="A690" s="105" t="s">
        <v>133</v>
      </c>
      <c r="B690" t="e">
        <f ca="1">func_Vlookup3(190)</f>
        <v>#NAME?</v>
      </c>
    </row>
    <row r="691" spans="1:2" x14ac:dyDescent="0.2">
      <c r="A691" s="105" t="s">
        <v>134</v>
      </c>
      <c r="B691" t="e">
        <f ca="1">func_Vlookup3(191)</f>
        <v>#NAME?</v>
      </c>
    </row>
    <row r="692" spans="1:2" x14ac:dyDescent="0.2">
      <c r="A692" s="105" t="s">
        <v>135</v>
      </c>
      <c r="B692" t="e">
        <f ca="1">func_Vlookup3(192)</f>
        <v>#NAME?</v>
      </c>
    </row>
    <row r="693" spans="1:2" x14ac:dyDescent="0.2">
      <c r="A693" s="105" t="s">
        <v>136</v>
      </c>
      <c r="B693" t="e">
        <f ca="1">func_Vlookup3(193)</f>
        <v>#NAME?</v>
      </c>
    </row>
    <row r="694" spans="1:2" x14ac:dyDescent="0.2">
      <c r="A694" s="105" t="s">
        <v>137</v>
      </c>
      <c r="B694" t="e">
        <f ca="1">func_Vlookup3(194)</f>
        <v>#NAME?</v>
      </c>
    </row>
    <row r="695" spans="1:2" x14ac:dyDescent="0.2">
      <c r="A695" s="105" t="s">
        <v>138</v>
      </c>
      <c r="B695" t="e">
        <f ca="1">func_Vlookup3(195)</f>
        <v>#NAME?</v>
      </c>
    </row>
    <row r="696" spans="1:2" x14ac:dyDescent="0.2">
      <c r="A696" s="105" t="s">
        <v>139</v>
      </c>
      <c r="B696" t="e">
        <f ca="1">func_Vlookup3(196)</f>
        <v>#NAME?</v>
      </c>
    </row>
    <row r="697" spans="1:2" x14ac:dyDescent="0.2">
      <c r="A697" s="105" t="s">
        <v>140</v>
      </c>
      <c r="B697" t="e">
        <f ca="1">func_Vlookup3(197)</f>
        <v>#NAME?</v>
      </c>
    </row>
    <row r="698" spans="1:2" x14ac:dyDescent="0.2">
      <c r="A698" s="105" t="s">
        <v>141</v>
      </c>
      <c r="B698" t="e">
        <f ca="1">func_Vlookup3(198)</f>
        <v>#NAME?</v>
      </c>
    </row>
    <row r="699" spans="1:2" x14ac:dyDescent="0.2">
      <c r="A699" s="105" t="s">
        <v>142</v>
      </c>
      <c r="B699" t="e">
        <f ca="1">func_Vlookup3(199)</f>
        <v>#NAME?</v>
      </c>
    </row>
    <row r="700" spans="1:2" x14ac:dyDescent="0.2">
      <c r="A700" s="105" t="s">
        <v>143</v>
      </c>
      <c r="B700" t="e">
        <f ca="1">func_Vlookup3(200)</f>
        <v>#NAME?</v>
      </c>
    </row>
    <row r="701" spans="1:2" x14ac:dyDescent="0.2">
      <c r="A701" s="105" t="s">
        <v>144</v>
      </c>
      <c r="B701" t="e">
        <f ca="1">func_Vlookup3(201)</f>
        <v>#NAME?</v>
      </c>
    </row>
    <row r="702" spans="1:2" x14ac:dyDescent="0.2">
      <c r="A702" s="105" t="s">
        <v>145</v>
      </c>
      <c r="B702" t="e">
        <f ca="1">func_Vlookup3(202)</f>
        <v>#NAME?</v>
      </c>
    </row>
    <row r="703" spans="1:2" x14ac:dyDescent="0.2">
      <c r="A703" s="105" t="s">
        <v>146</v>
      </c>
      <c r="B703" t="e">
        <f ca="1">func_Vlookup3(203)</f>
        <v>#NAME?</v>
      </c>
    </row>
    <row r="704" spans="1:2" x14ac:dyDescent="0.2">
      <c r="A704" s="105" t="s">
        <v>147</v>
      </c>
      <c r="B704" t="e">
        <f ca="1">func_Vlookup3(204)</f>
        <v>#NAME?</v>
      </c>
    </row>
    <row r="705" spans="1:2" x14ac:dyDescent="0.2">
      <c r="A705" s="105" t="s">
        <v>1086</v>
      </c>
      <c r="B705" t="e">
        <f ca="1">func_Vlookup3(205)</f>
        <v>#NAME?</v>
      </c>
    </row>
    <row r="706" spans="1:2" x14ac:dyDescent="0.2">
      <c r="A706" s="105" t="s">
        <v>1087</v>
      </c>
      <c r="B706" t="e">
        <f ca="1">func_Vlookup3(206)</f>
        <v>#NAME?</v>
      </c>
    </row>
    <row r="707" spans="1:2" x14ac:dyDescent="0.2">
      <c r="A707" s="105" t="s">
        <v>1088</v>
      </c>
      <c r="B707" t="e">
        <f ca="1">func_Vlookup3(207, "", "数値")</f>
        <v>#NAME?</v>
      </c>
    </row>
    <row r="708" spans="1:2" x14ac:dyDescent="0.2">
      <c r="A708" s="105" t="s">
        <v>1089</v>
      </c>
      <c r="B708" t="e">
        <f ca="1">func_Vlookup3(208)</f>
        <v>#NAME?</v>
      </c>
    </row>
    <row r="709" spans="1:2" x14ac:dyDescent="0.2">
      <c r="A709" s="105" t="s">
        <v>1090</v>
      </c>
      <c r="B709" t="e">
        <f ca="1">func_Vlookup3(209)</f>
        <v>#NAME?</v>
      </c>
    </row>
    <row r="710" spans="1:2" x14ac:dyDescent="0.2">
      <c r="A710" s="105" t="s">
        <v>148</v>
      </c>
      <c r="B710" t="e">
        <f ca="1">func_Vlookup3(210)</f>
        <v>#NAME?</v>
      </c>
    </row>
    <row r="711" spans="1:2" x14ac:dyDescent="0.2">
      <c r="A711" s="105" t="s">
        <v>149</v>
      </c>
      <c r="B711" t="e">
        <f ca="1">func_Vlookup3(211)</f>
        <v>#NAME?</v>
      </c>
    </row>
    <row r="712" spans="1:2" x14ac:dyDescent="0.2">
      <c r="A712" s="105" t="s">
        <v>1091</v>
      </c>
      <c r="B712" t="e">
        <f ca="1">func_Vlookup3(212, "", "数値")</f>
        <v>#NAME?</v>
      </c>
    </row>
    <row r="713" spans="1:2" x14ac:dyDescent="0.2">
      <c r="A713" s="105" t="s">
        <v>1092</v>
      </c>
      <c r="B713" t="e">
        <f ca="1">func_Vlookup3(213, "", "数値")</f>
        <v>#NAME?</v>
      </c>
    </row>
    <row r="714" spans="1:2" x14ac:dyDescent="0.2">
      <c r="A714" s="105" t="s">
        <v>374</v>
      </c>
      <c r="B714" t="e">
        <f ca="1">func_Vlookup4(3)</f>
        <v>#NAME?</v>
      </c>
    </row>
    <row r="715" spans="1:2" x14ac:dyDescent="0.2">
      <c r="A715" s="105" t="s">
        <v>375</v>
      </c>
      <c r="B715" t="e">
        <f ca="1">func_Vlookup4(4)</f>
        <v>#NAME?</v>
      </c>
    </row>
    <row r="716" spans="1:2" x14ac:dyDescent="0.2">
      <c r="A716" s="105" t="s">
        <v>376</v>
      </c>
      <c r="B716" t="e">
        <f ca="1">func_Vlookup4(5)</f>
        <v>#NAME?</v>
      </c>
    </row>
    <row r="717" spans="1:2" x14ac:dyDescent="0.2">
      <c r="A717" s="105" t="s">
        <v>377</v>
      </c>
      <c r="B717" t="e">
        <f ca="1">func_Vlookup4(6)</f>
        <v>#NAME?</v>
      </c>
    </row>
    <row r="718" spans="1:2" x14ac:dyDescent="0.2">
      <c r="A718" s="105" t="s">
        <v>378</v>
      </c>
      <c r="B718" t="e">
        <f ca="1">func_Vlookup4(7)</f>
        <v>#NAME?</v>
      </c>
    </row>
    <row r="719" spans="1:2" x14ac:dyDescent="0.2">
      <c r="A719" s="105" t="s">
        <v>379</v>
      </c>
      <c r="B719" t="e">
        <f ca="1">func_Vlookup4(8)</f>
        <v>#NAME?</v>
      </c>
    </row>
    <row r="720" spans="1:2" x14ac:dyDescent="0.2">
      <c r="A720" s="105" t="s">
        <v>380</v>
      </c>
      <c r="B720" t="e">
        <f ca="1">func_Vlookup4(9)</f>
        <v>#NAME?</v>
      </c>
    </row>
    <row r="721" spans="1:2" x14ac:dyDescent="0.2">
      <c r="A721" s="105" t="s">
        <v>381</v>
      </c>
      <c r="B721" t="e">
        <f ca="1">func_Vlookup4(10)</f>
        <v>#NAME?</v>
      </c>
    </row>
    <row r="722" spans="1:2" x14ac:dyDescent="0.2">
      <c r="A722" s="105" t="s">
        <v>382</v>
      </c>
      <c r="B722" t="e">
        <f ca="1">func_Vlookup4(11)</f>
        <v>#NAME?</v>
      </c>
    </row>
    <row r="723" spans="1:2" x14ac:dyDescent="0.2">
      <c r="A723" s="105" t="s">
        <v>383</v>
      </c>
      <c r="B723" t="e">
        <f ca="1">func_Vlookup4(12)</f>
        <v>#NAME?</v>
      </c>
    </row>
    <row r="724" spans="1:2" x14ac:dyDescent="0.2">
      <c r="A724" s="105" t="s">
        <v>384</v>
      </c>
      <c r="B724" t="e">
        <f ca="1">func_Vlookup4(13)</f>
        <v>#NAME?</v>
      </c>
    </row>
    <row r="725" spans="1:2" x14ac:dyDescent="0.2">
      <c r="A725" s="105" t="s">
        <v>385</v>
      </c>
      <c r="B725" t="e">
        <f ca="1">func_Vlookup4(14)</f>
        <v>#NAME?</v>
      </c>
    </row>
    <row r="726" spans="1:2" x14ac:dyDescent="0.2">
      <c r="A726" s="105" t="s">
        <v>386</v>
      </c>
      <c r="B726" t="e">
        <f ca="1">func_Vlookup4(15)</f>
        <v>#NAME?</v>
      </c>
    </row>
    <row r="727" spans="1:2" x14ac:dyDescent="0.2">
      <c r="A727" s="105" t="s">
        <v>387</v>
      </c>
      <c r="B727" t="e">
        <f ca="1">func_Vlookup4(16)</f>
        <v>#NAME?</v>
      </c>
    </row>
    <row r="728" spans="1:2" x14ac:dyDescent="0.2">
      <c r="A728" s="105" t="s">
        <v>388</v>
      </c>
      <c r="B728" t="e">
        <f ca="1">func_Vlookup4(17)</f>
        <v>#NAME?</v>
      </c>
    </row>
    <row r="729" spans="1:2" x14ac:dyDescent="0.2">
      <c r="A729" s="105" t="s">
        <v>389</v>
      </c>
      <c r="B729" t="e">
        <f ca="1">func_Vlookup4(18)</f>
        <v>#NAME?</v>
      </c>
    </row>
    <row r="730" spans="1:2" x14ac:dyDescent="0.2">
      <c r="A730" s="105" t="s">
        <v>390</v>
      </c>
      <c r="B730" t="e">
        <f ca="1">func_Vlookup4(19)</f>
        <v>#NAME?</v>
      </c>
    </row>
    <row r="731" spans="1:2" x14ac:dyDescent="0.2">
      <c r="A731" s="105" t="s">
        <v>391</v>
      </c>
      <c r="B731" t="e">
        <f ca="1">func_Vlookup4(20)</f>
        <v>#NAME?</v>
      </c>
    </row>
    <row r="732" spans="1:2" x14ac:dyDescent="0.2">
      <c r="A732" s="105" t="s">
        <v>392</v>
      </c>
      <c r="B732" t="e">
        <f ca="1">func_Vlookup4(21)</f>
        <v>#NAME?</v>
      </c>
    </row>
    <row r="733" spans="1:2" x14ac:dyDescent="0.2">
      <c r="A733" s="105" t="s">
        <v>393</v>
      </c>
      <c r="B733" t="e">
        <f ca="1">func_Vlookup4(22)</f>
        <v>#NAME?</v>
      </c>
    </row>
    <row r="734" spans="1:2" x14ac:dyDescent="0.2">
      <c r="A734" s="105" t="s">
        <v>394</v>
      </c>
      <c r="B734" t="e">
        <f ca="1">func_Vlookup4(23)</f>
        <v>#NAME?</v>
      </c>
    </row>
    <row r="735" spans="1:2" x14ac:dyDescent="0.2">
      <c r="A735" s="105" t="s">
        <v>395</v>
      </c>
      <c r="B735" t="e">
        <f ca="1">func_Vlookup4(24)</f>
        <v>#NAME?</v>
      </c>
    </row>
    <row r="736" spans="1:2" x14ac:dyDescent="0.2">
      <c r="A736" s="105" t="s">
        <v>396</v>
      </c>
      <c r="B736" t="e">
        <f ca="1">func_Vlookup4(25)</f>
        <v>#NAME?</v>
      </c>
    </row>
    <row r="737" spans="1:2" x14ac:dyDescent="0.2">
      <c r="A737" s="105" t="s">
        <v>397</v>
      </c>
      <c r="B737" t="e">
        <f ca="1">func_Vlookup4(26)</f>
        <v>#NAME?</v>
      </c>
    </row>
    <row r="738" spans="1:2" x14ac:dyDescent="0.2">
      <c r="A738" s="105" t="s">
        <v>398</v>
      </c>
      <c r="B738" t="e">
        <f ca="1">func_Vlookup4(27)</f>
        <v>#NAME?</v>
      </c>
    </row>
    <row r="739" spans="1:2" x14ac:dyDescent="0.2">
      <c r="A739" s="105" t="s">
        <v>399</v>
      </c>
      <c r="B739" t="e">
        <f ca="1">func_Vlookup4(28)</f>
        <v>#NAME?</v>
      </c>
    </row>
    <row r="740" spans="1:2" x14ac:dyDescent="0.2">
      <c r="A740" s="105" t="s">
        <v>400</v>
      </c>
      <c r="B740" t="e">
        <f ca="1">func_Vlookup4(29)</f>
        <v>#NAME?</v>
      </c>
    </row>
    <row r="741" spans="1:2" x14ac:dyDescent="0.2">
      <c r="A741" s="105" t="s">
        <v>401</v>
      </c>
      <c r="B741" t="e">
        <f ca="1">func_Vlookup4(30)</f>
        <v>#NAME?</v>
      </c>
    </row>
    <row r="742" spans="1:2" x14ac:dyDescent="0.2">
      <c r="A742" s="105" t="s">
        <v>402</v>
      </c>
      <c r="B742" t="e">
        <f ca="1">func_Vlookup4(31)</f>
        <v>#NAME?</v>
      </c>
    </row>
    <row r="743" spans="1:2" x14ac:dyDescent="0.2">
      <c r="A743" s="105" t="s">
        <v>403</v>
      </c>
      <c r="B743" t="e">
        <f ca="1">func_Vlookup4(32)</f>
        <v>#NAME?</v>
      </c>
    </row>
    <row r="744" spans="1:2" x14ac:dyDescent="0.2">
      <c r="A744" s="105" t="s">
        <v>404</v>
      </c>
      <c r="B744" t="e">
        <f ca="1">func_Vlookup4(33)</f>
        <v>#NAME?</v>
      </c>
    </row>
    <row r="745" spans="1:2" x14ac:dyDescent="0.2">
      <c r="A745" s="105" t="s">
        <v>1118</v>
      </c>
      <c r="B745" t="e">
        <f ca="1">func_Vlookup4(34)</f>
        <v>#NAME?</v>
      </c>
    </row>
    <row r="746" spans="1:2" x14ac:dyDescent="0.2">
      <c r="A746" s="105" t="s">
        <v>405</v>
      </c>
      <c r="B746" t="e">
        <f ca="1">func_Vlookup4(35)</f>
        <v>#NAME?</v>
      </c>
    </row>
    <row r="747" spans="1:2" x14ac:dyDescent="0.2">
      <c r="A747" s="105" t="s">
        <v>406</v>
      </c>
      <c r="B747" t="e">
        <f ca="1">func_Vlookup4(36)</f>
        <v>#NAME?</v>
      </c>
    </row>
    <row r="748" spans="1:2" x14ac:dyDescent="0.2">
      <c r="A748" s="105" t="s">
        <v>407</v>
      </c>
      <c r="B748" t="e">
        <f ca="1">func_Vlookup4(37)</f>
        <v>#NAME?</v>
      </c>
    </row>
    <row r="749" spans="1:2" x14ac:dyDescent="0.2">
      <c r="A749" s="105" t="s">
        <v>408</v>
      </c>
      <c r="B749" t="e">
        <f ca="1">func_Vlookup4(38)</f>
        <v>#NAME?</v>
      </c>
    </row>
    <row r="750" spans="1:2" x14ac:dyDescent="0.2">
      <c r="A750" s="105" t="s">
        <v>409</v>
      </c>
      <c r="B750" t="e">
        <f ca="1">func_Vlookup4(39)</f>
        <v>#NAME?</v>
      </c>
    </row>
    <row r="751" spans="1:2" x14ac:dyDescent="0.2">
      <c r="A751" s="105" t="s">
        <v>410</v>
      </c>
      <c r="B751" t="e">
        <f ca="1">func_Vlookup4(40)</f>
        <v>#NAME?</v>
      </c>
    </row>
    <row r="752" spans="1:2" x14ac:dyDescent="0.2">
      <c r="A752" s="105" t="s">
        <v>411</v>
      </c>
      <c r="B752" t="e">
        <f ca="1">func_Vlookup4(41)</f>
        <v>#NAME?</v>
      </c>
    </row>
    <row r="753" spans="1:2" x14ac:dyDescent="0.2">
      <c r="A753" s="105" t="s">
        <v>412</v>
      </c>
      <c r="B753" t="e">
        <f ca="1">func_Vlookup4(42)</f>
        <v>#NAME?</v>
      </c>
    </row>
    <row r="754" spans="1:2" x14ac:dyDescent="0.2">
      <c r="A754" s="105" t="s">
        <v>413</v>
      </c>
      <c r="B754" t="e">
        <f ca="1">func_Vlookup4(43)</f>
        <v>#NAME?</v>
      </c>
    </row>
    <row r="755" spans="1:2" x14ac:dyDescent="0.2">
      <c r="A755" s="105" t="s">
        <v>414</v>
      </c>
      <c r="B755" t="e">
        <f ca="1">func_Vlookup4(44)</f>
        <v>#NAME?</v>
      </c>
    </row>
    <row r="756" spans="1:2" x14ac:dyDescent="0.2">
      <c r="A756" s="105" t="s">
        <v>415</v>
      </c>
      <c r="B756" t="e">
        <f ca="1">func_Vlookup4(45)</f>
        <v>#NAME?</v>
      </c>
    </row>
    <row r="757" spans="1:2" x14ac:dyDescent="0.2">
      <c r="A757" s="105" t="s">
        <v>416</v>
      </c>
      <c r="B757" t="e">
        <f ca="1">func_Vlookup4(46)</f>
        <v>#NAME?</v>
      </c>
    </row>
    <row r="758" spans="1:2" x14ac:dyDescent="0.2">
      <c r="A758" s="105" t="s">
        <v>417</v>
      </c>
      <c r="B758" t="e">
        <f ca="1">func_Vlookup4(47)</f>
        <v>#NAME?</v>
      </c>
    </row>
    <row r="759" spans="1:2" x14ac:dyDescent="0.2">
      <c r="A759" s="105" t="s">
        <v>418</v>
      </c>
      <c r="B759" t="e">
        <f ca="1">func_Vlookup4(48)</f>
        <v>#NAME?</v>
      </c>
    </row>
    <row r="760" spans="1:2" x14ac:dyDescent="0.2">
      <c r="A760" s="105" t="s">
        <v>419</v>
      </c>
      <c r="B760" t="e">
        <f ca="1">func_Vlookup4(49)</f>
        <v>#NAME?</v>
      </c>
    </row>
    <row r="761" spans="1:2" x14ac:dyDescent="0.2">
      <c r="A761" s="105" t="s">
        <v>420</v>
      </c>
      <c r="B761" t="e">
        <f ca="1">func_Vlookup4(50)</f>
        <v>#NAME?</v>
      </c>
    </row>
    <row r="762" spans="1:2" x14ac:dyDescent="0.2">
      <c r="A762" s="105" t="s">
        <v>421</v>
      </c>
      <c r="B762" t="e">
        <f ca="1">func_Vlookup4(51)</f>
        <v>#NAME?</v>
      </c>
    </row>
    <row r="763" spans="1:2" x14ac:dyDescent="0.2">
      <c r="A763" s="105" t="s">
        <v>422</v>
      </c>
      <c r="B763" t="e">
        <f ca="1">func_Vlookup4(52)</f>
        <v>#NAME?</v>
      </c>
    </row>
    <row r="764" spans="1:2" x14ac:dyDescent="0.2">
      <c r="A764" s="105" t="s">
        <v>423</v>
      </c>
      <c r="B764" t="e">
        <f ca="1">func_Vlookup4(53)</f>
        <v>#NAME?</v>
      </c>
    </row>
    <row r="765" spans="1:2" x14ac:dyDescent="0.2">
      <c r="A765" s="105" t="s">
        <v>424</v>
      </c>
      <c r="B765" t="e">
        <f ca="1">func_Vlookup4(54)</f>
        <v>#NAME?</v>
      </c>
    </row>
    <row r="766" spans="1:2" x14ac:dyDescent="0.2">
      <c r="A766" s="105" t="s">
        <v>425</v>
      </c>
      <c r="B766" t="e">
        <f ca="1">func_Vlookup4(55)</f>
        <v>#NAME?</v>
      </c>
    </row>
    <row r="767" spans="1:2" x14ac:dyDescent="0.2">
      <c r="A767" s="105" t="s">
        <v>426</v>
      </c>
      <c r="B767" t="e">
        <f ca="1">func_Vlookup4(56)</f>
        <v>#NAME?</v>
      </c>
    </row>
    <row r="768" spans="1:2" x14ac:dyDescent="0.2">
      <c r="A768" s="105" t="s">
        <v>427</v>
      </c>
      <c r="B768" t="e">
        <f ca="1">func_Vlookup4(57)</f>
        <v>#NAME?</v>
      </c>
    </row>
    <row r="769" spans="1:2" x14ac:dyDescent="0.2">
      <c r="A769" s="105" t="s">
        <v>428</v>
      </c>
      <c r="B769" t="e">
        <f ca="1">func_Vlookup4(58)</f>
        <v>#NAME?</v>
      </c>
    </row>
    <row r="770" spans="1:2" x14ac:dyDescent="0.2">
      <c r="A770" s="105" t="s">
        <v>429</v>
      </c>
      <c r="B770" t="e">
        <f ca="1">func_Vlookup4(59)</f>
        <v>#NAME?</v>
      </c>
    </row>
    <row r="771" spans="1:2" x14ac:dyDescent="0.2">
      <c r="A771" s="105" t="s">
        <v>430</v>
      </c>
      <c r="B771" t="e">
        <f ca="1">func_Vlookup4(60)</f>
        <v>#NAME?</v>
      </c>
    </row>
    <row r="772" spans="1:2" x14ac:dyDescent="0.2">
      <c r="A772" s="105" t="s">
        <v>431</v>
      </c>
      <c r="B772" t="e">
        <f ca="1">func_Vlookup4(61)</f>
        <v>#NAME?</v>
      </c>
    </row>
    <row r="773" spans="1:2" x14ac:dyDescent="0.2">
      <c r="A773" s="105" t="s">
        <v>432</v>
      </c>
      <c r="B773" t="e">
        <f ca="1">func_Vlookup4(62)</f>
        <v>#NAME?</v>
      </c>
    </row>
    <row r="774" spans="1:2" x14ac:dyDescent="0.2">
      <c r="A774" s="105" t="s">
        <v>433</v>
      </c>
      <c r="B774" t="e">
        <f ca="1">func_Vlookup4(63)</f>
        <v>#NAME?</v>
      </c>
    </row>
    <row r="775" spans="1:2" x14ac:dyDescent="0.2">
      <c r="A775" s="105" t="s">
        <v>434</v>
      </c>
      <c r="B775" t="e">
        <f ca="1">func_Vlookup4(64)</f>
        <v>#NAME?</v>
      </c>
    </row>
    <row r="776" spans="1:2" x14ac:dyDescent="0.2">
      <c r="A776" s="105" t="s">
        <v>435</v>
      </c>
      <c r="B776" t="e">
        <f ca="1">func_Vlookup4(65)</f>
        <v>#NAME?</v>
      </c>
    </row>
    <row r="777" spans="1:2" x14ac:dyDescent="0.2">
      <c r="A777" s="105" t="s">
        <v>436</v>
      </c>
      <c r="B777" t="e">
        <f ca="1">func_Vlookup4(66)</f>
        <v>#NAME?</v>
      </c>
    </row>
    <row r="778" spans="1:2" x14ac:dyDescent="0.2">
      <c r="A778" s="105" t="s">
        <v>437</v>
      </c>
      <c r="B778" t="e">
        <f ca="1">func_Vlookup4(67)</f>
        <v>#NAME?</v>
      </c>
    </row>
    <row r="779" spans="1:2" x14ac:dyDescent="0.2">
      <c r="A779" s="105" t="s">
        <v>438</v>
      </c>
      <c r="B779" t="e">
        <f ca="1">func_Vlookup4(68)</f>
        <v>#NAME?</v>
      </c>
    </row>
    <row r="780" spans="1:2" x14ac:dyDescent="0.2">
      <c r="A780" s="105" t="s">
        <v>439</v>
      </c>
      <c r="B780" t="e">
        <f ca="1">func_Vlookup4(69)</f>
        <v>#NAME?</v>
      </c>
    </row>
    <row r="781" spans="1:2" x14ac:dyDescent="0.2">
      <c r="A781" s="105" t="s">
        <v>440</v>
      </c>
      <c r="B781" t="e">
        <f ca="1">func_Vlookup4(70)</f>
        <v>#NAME?</v>
      </c>
    </row>
    <row r="782" spans="1:2" x14ac:dyDescent="0.2">
      <c r="A782" s="105" t="s">
        <v>441</v>
      </c>
      <c r="B782" t="e">
        <f ca="1">func_Vlookup4(71)</f>
        <v>#NAME?</v>
      </c>
    </row>
    <row r="783" spans="1:2" x14ac:dyDescent="0.2">
      <c r="A783" s="105" t="s">
        <v>442</v>
      </c>
      <c r="B783" t="e">
        <f ca="1">func_Vlookup4(72)</f>
        <v>#NAME?</v>
      </c>
    </row>
    <row r="784" spans="1:2" x14ac:dyDescent="0.2">
      <c r="A784" s="105" t="s">
        <v>1119</v>
      </c>
      <c r="B784" t="e">
        <f ca="1">func_Vlookup4(73)</f>
        <v>#NAME?</v>
      </c>
    </row>
    <row r="785" spans="1:2" x14ac:dyDescent="0.2">
      <c r="A785" s="105" t="s">
        <v>1120</v>
      </c>
      <c r="B785" t="e">
        <f ca="1">func_Vlookup4(74)</f>
        <v>#NAME?</v>
      </c>
    </row>
    <row r="786" spans="1:2" x14ac:dyDescent="0.2">
      <c r="A786" s="105" t="s">
        <v>1121</v>
      </c>
      <c r="B786" t="e">
        <f ca="1">func_Vlookup4(75)</f>
        <v>#NAME?</v>
      </c>
    </row>
    <row r="787" spans="1:2" x14ac:dyDescent="0.2">
      <c r="A787" s="105" t="s">
        <v>1122</v>
      </c>
      <c r="B787" t="e">
        <f ca="1">func_Vlookup4(76)</f>
        <v>#NAME?</v>
      </c>
    </row>
    <row r="788" spans="1:2" x14ac:dyDescent="0.2">
      <c r="A788" s="105" t="s">
        <v>1093</v>
      </c>
      <c r="B788" t="e">
        <f ca="1">func_Vlookup3(214, "", "数値")</f>
        <v>#NAME?</v>
      </c>
    </row>
    <row r="789" spans="1:2" x14ac:dyDescent="0.2">
      <c r="A789" s="105" t="s">
        <v>1094</v>
      </c>
      <c r="B789" t="e">
        <f ca="1">func_Vlookup3(215, "", "数値")</f>
        <v>#NAME?</v>
      </c>
    </row>
    <row r="790" spans="1:2" x14ac:dyDescent="0.2">
      <c r="A790" s="105" t="s">
        <v>1095</v>
      </c>
      <c r="B790" t="e">
        <f ca="1">func_Vlookup3(216, "", "数値")</f>
        <v>#NAME?</v>
      </c>
    </row>
    <row r="791" spans="1:2" x14ac:dyDescent="0.2">
      <c r="A791" s="105" t="s">
        <v>1096</v>
      </c>
      <c r="B791" t="e">
        <f ca="1">func_Vlookup3(217, "", "数値")</f>
        <v>#NAME?</v>
      </c>
    </row>
    <row r="792" spans="1:2" x14ac:dyDescent="0.2">
      <c r="A792" s="105" t="s">
        <v>1097</v>
      </c>
      <c r="B792" t="e">
        <f ca="1">func_Vlookup3(218, "", "数値")</f>
        <v>#NAME?</v>
      </c>
    </row>
    <row r="793" spans="1:2" x14ac:dyDescent="0.2">
      <c r="A793" s="105" t="s">
        <v>452</v>
      </c>
      <c r="B793" t="e">
        <f ca="1">func_Vlookup3(219)</f>
        <v>#NAME?</v>
      </c>
    </row>
    <row r="794" spans="1:2" x14ac:dyDescent="0.2">
      <c r="A794" s="105" t="s">
        <v>453</v>
      </c>
      <c r="B794" t="e">
        <f ca="1">func_Vlookup3(220)</f>
        <v>#NAME?</v>
      </c>
    </row>
    <row r="795" spans="1:2" x14ac:dyDescent="0.2">
      <c r="A795" s="105" t="s">
        <v>454</v>
      </c>
      <c r="B795" t="e">
        <f ca="1">func_Vlookup3(221)</f>
        <v>#NAME?</v>
      </c>
    </row>
    <row r="796" spans="1:2" x14ac:dyDescent="0.2">
      <c r="A796" s="105" t="s">
        <v>455</v>
      </c>
      <c r="B796" t="e">
        <f ca="1">func_Vlookup3(222)</f>
        <v>#NAME?</v>
      </c>
    </row>
    <row r="797" spans="1:2" x14ac:dyDescent="0.2">
      <c r="A797" s="105" t="s">
        <v>456</v>
      </c>
      <c r="B797" t="e">
        <f ca="1">func_Vlookup3(223)</f>
        <v>#NAME?</v>
      </c>
    </row>
    <row r="798" spans="1:2" x14ac:dyDescent="0.2">
      <c r="A798" s="105" t="s">
        <v>1134</v>
      </c>
      <c r="B798" t="e">
        <f ca="1">func_Vlookup3(224, "", "数値")</f>
        <v>#NAME?</v>
      </c>
    </row>
    <row r="799" spans="1:2" x14ac:dyDescent="0.2">
      <c r="A799" s="105" t="s">
        <v>1098</v>
      </c>
      <c r="B799" t="e">
        <f ca="1">func_Vlookup3(225, "", "数値")</f>
        <v>#NAME?</v>
      </c>
    </row>
    <row r="800" spans="1:2" x14ac:dyDescent="0.2">
      <c r="A800" s="105" t="s">
        <v>1099</v>
      </c>
      <c r="B800" t="e">
        <f ca="1">func_Vlookup3(226, "", "数値")</f>
        <v>#NAME?</v>
      </c>
    </row>
    <row r="801" spans="1:2" x14ac:dyDescent="0.2">
      <c r="A801" s="105" t="s">
        <v>1100</v>
      </c>
      <c r="B801" t="e">
        <f ca="1">func_Vlookup3(227, "", "数値")</f>
        <v>#NAME?</v>
      </c>
    </row>
    <row r="802" spans="1:2" x14ac:dyDescent="0.2">
      <c r="A802" s="105" t="s">
        <v>1101</v>
      </c>
      <c r="B802" t="e">
        <f ca="1">func_Vlookup3(228, "", "数値")</f>
        <v>#NAME?</v>
      </c>
    </row>
    <row r="803" spans="1:2" x14ac:dyDescent="0.2">
      <c r="A803" s="105" t="s">
        <v>457</v>
      </c>
      <c r="B803" t="e">
        <f ca="1">func_Vlookup3(229)</f>
        <v>#NAME?</v>
      </c>
    </row>
    <row r="804" spans="1:2" x14ac:dyDescent="0.2">
      <c r="A804" s="105" t="s">
        <v>458</v>
      </c>
      <c r="B804" t="e">
        <f ca="1">func_Vlookup3(230)</f>
        <v>#NAME?</v>
      </c>
    </row>
    <row r="805" spans="1:2" x14ac:dyDescent="0.2">
      <c r="A805" s="105" t="s">
        <v>459</v>
      </c>
      <c r="B805" t="e">
        <f ca="1">func_Vlookup3(231)</f>
        <v>#NAME?</v>
      </c>
    </row>
    <row r="806" spans="1:2" x14ac:dyDescent="0.2">
      <c r="A806" s="105" t="s">
        <v>460</v>
      </c>
      <c r="B806" t="e">
        <f ca="1">func_Vlookup3(232)</f>
        <v>#NAME?</v>
      </c>
    </row>
    <row r="807" spans="1:2" x14ac:dyDescent="0.2">
      <c r="A807" s="105" t="s">
        <v>461</v>
      </c>
      <c r="B807" t="e">
        <f ca="1">func_Vlookup3(233)</f>
        <v>#NAME?</v>
      </c>
    </row>
    <row r="808" spans="1:2" x14ac:dyDescent="0.2">
      <c r="A808" s="105" t="s">
        <v>1103</v>
      </c>
      <c r="B808" t="e">
        <f ca="1">func_Vlookup3(234)</f>
        <v>#NAME?</v>
      </c>
    </row>
    <row r="809" spans="1:2" x14ac:dyDescent="0.2">
      <c r="A809" s="105" t="s">
        <v>1104</v>
      </c>
      <c r="B809" t="e">
        <f ca="1">func_Vlookup3(235)</f>
        <v>#NAME?</v>
      </c>
    </row>
    <row r="810" spans="1:2" x14ac:dyDescent="0.2">
      <c r="A810" s="105" t="s">
        <v>1105</v>
      </c>
      <c r="B810" t="e">
        <f ca="1">func_Vlookup3(236)</f>
        <v>#NAME?</v>
      </c>
    </row>
    <row r="811" spans="1:2" x14ac:dyDescent="0.2">
      <c r="A811" s="105" t="s">
        <v>1106</v>
      </c>
      <c r="B811" t="e">
        <f ca="1">func_Vlookup3(237)</f>
        <v>#NAME?</v>
      </c>
    </row>
    <row r="812" spans="1:2" x14ac:dyDescent="0.2">
      <c r="A812" s="105" t="s">
        <v>1107</v>
      </c>
      <c r="B812" t="e">
        <f ca="1">func_Vlookup3(238)</f>
        <v>#NAME?</v>
      </c>
    </row>
    <row r="813" spans="1:2" x14ac:dyDescent="0.2">
      <c r="A813" s="105" t="s">
        <v>1109</v>
      </c>
      <c r="B813" t="e">
        <f ca="1">func_Vlookup3(239)</f>
        <v>#NAME?</v>
      </c>
    </row>
    <row r="814" spans="1:2" x14ac:dyDescent="0.2">
      <c r="A814" s="105" t="s">
        <v>1110</v>
      </c>
      <c r="B814" t="e">
        <f ca="1">func_Vlookup3(240)</f>
        <v>#NAME?</v>
      </c>
    </row>
    <row r="815" spans="1:2" x14ac:dyDescent="0.2">
      <c r="A815" s="105" t="s">
        <v>1111</v>
      </c>
      <c r="B815" t="e">
        <f ca="1">func_Vlookup3(241)</f>
        <v>#NAME?</v>
      </c>
    </row>
    <row r="816" spans="1:2" x14ac:dyDescent="0.2">
      <c r="A816" s="105" t="s">
        <v>1112</v>
      </c>
      <c r="B816" t="e">
        <f ca="1">func_Vlookup3(242)</f>
        <v>#NAME?</v>
      </c>
    </row>
    <row r="817" spans="1:2" x14ac:dyDescent="0.2">
      <c r="A817" s="105" t="s">
        <v>1108</v>
      </c>
      <c r="B817" t="e">
        <f ca="1">func_Vlookup3(243)</f>
        <v>#NAME?</v>
      </c>
    </row>
    <row r="818" spans="1:2" x14ac:dyDescent="0.2">
      <c r="A818" s="105" t="s">
        <v>1113</v>
      </c>
      <c r="B818" t="e">
        <f ca="1">func_Vlookup3(244)</f>
        <v>#NAME?</v>
      </c>
    </row>
    <row r="819" spans="1:2" x14ac:dyDescent="0.2">
      <c r="A819" s="105" t="s">
        <v>1114</v>
      </c>
      <c r="B819" t="e">
        <f ca="1">func_Vlookup3(245)</f>
        <v>#NAME?</v>
      </c>
    </row>
    <row r="820" spans="1:2" x14ac:dyDescent="0.2">
      <c r="A820" s="105" t="s">
        <v>1115</v>
      </c>
      <c r="B820" t="e">
        <f ca="1">func_Vlookup3(246)</f>
        <v>#NAME?</v>
      </c>
    </row>
    <row r="821" spans="1:2" x14ac:dyDescent="0.2">
      <c r="A821" s="105" t="s">
        <v>1116</v>
      </c>
      <c r="B821" t="e">
        <f ca="1">func_Vlookup3(247)</f>
        <v>#NAME?</v>
      </c>
    </row>
    <row r="822" spans="1:2" x14ac:dyDescent="0.2">
      <c r="A822" t="s">
        <v>157</v>
      </c>
      <c r="B822" t="e">
        <f ca="1">func_Vlookup(,"A5")</f>
        <v>#NAME?</v>
      </c>
    </row>
    <row r="823" spans="1:2" x14ac:dyDescent="0.2">
      <c r="A823" t="s">
        <v>158</v>
      </c>
      <c r="B823" t="e">
        <f ca="1">func_Vlookup(,"A6")</f>
        <v>#NAME?</v>
      </c>
    </row>
    <row r="824" spans="1:2" x14ac:dyDescent="0.2">
      <c r="A824" t="s">
        <v>220</v>
      </c>
      <c r="B824" t="e">
        <f ca="1">func_Vlookup(,"A7")</f>
        <v>#NAME?</v>
      </c>
    </row>
    <row r="825" spans="1:2" x14ac:dyDescent="0.2">
      <c r="A825" t="s">
        <v>221</v>
      </c>
      <c r="B825" t="e">
        <f ca="1">func_Vlookup(,"A8")</f>
        <v>#NAME?</v>
      </c>
    </row>
    <row r="826" spans="1:2" x14ac:dyDescent="0.2">
      <c r="A826" t="s">
        <v>222</v>
      </c>
      <c r="B826" t="e">
        <f ca="1">func_Vlookup(,"A9")</f>
        <v>#NAME?</v>
      </c>
    </row>
    <row r="827" spans="1:2" x14ac:dyDescent="0.2">
      <c r="A827" t="s">
        <v>223</v>
      </c>
      <c r="B827" t="e">
        <f ca="1">func_Vlookup(,"A10")</f>
        <v>#NAME?</v>
      </c>
    </row>
    <row r="828" spans="1:2" x14ac:dyDescent="0.2">
      <c r="A828" t="s">
        <v>224</v>
      </c>
      <c r="B828" t="e">
        <f ca="1">func_Vlookup(,"A11")</f>
        <v>#NAME?</v>
      </c>
    </row>
    <row r="829" spans="1:2" x14ac:dyDescent="0.2">
      <c r="A829" t="s">
        <v>225</v>
      </c>
      <c r="B829" t="e">
        <f ca="1">func_Vlookup(,"A12")</f>
        <v>#NAME?</v>
      </c>
    </row>
    <row r="830" spans="1:2" x14ac:dyDescent="0.2">
      <c r="A830" t="s">
        <v>226</v>
      </c>
      <c r="B830" t="e">
        <f ca="1">func_Vlookup(,"A13")</f>
        <v>#NAME?</v>
      </c>
    </row>
    <row r="831" spans="1:2" x14ac:dyDescent="0.2">
      <c r="A831" t="s">
        <v>227</v>
      </c>
      <c r="B831" t="e">
        <f ca="1">func_Vlookup(,"A14")</f>
        <v>#NAME?</v>
      </c>
    </row>
    <row r="832" spans="1:2" x14ac:dyDescent="0.2">
      <c r="A832" t="s">
        <v>228</v>
      </c>
      <c r="B832" t="e">
        <f ca="1">func_Vlookup(,"A15")</f>
        <v>#NAME?</v>
      </c>
    </row>
    <row r="833" spans="1:2" x14ac:dyDescent="0.2">
      <c r="A833" t="s">
        <v>229</v>
      </c>
      <c r="B833" t="e">
        <f ca="1">func_Vlookup(,"A16")</f>
        <v>#NAME?</v>
      </c>
    </row>
    <row r="834" spans="1:2" x14ac:dyDescent="0.2">
      <c r="A834" t="s">
        <v>230</v>
      </c>
      <c r="B834" t="e">
        <f ca="1">func_Vlookup(,"A17")</f>
        <v>#NAME?</v>
      </c>
    </row>
    <row r="835" spans="1:2" x14ac:dyDescent="0.2">
      <c r="A835" t="s">
        <v>231</v>
      </c>
      <c r="B835" t="e">
        <f ca="1">func_Vlookup(,"A18")</f>
        <v>#NAME?</v>
      </c>
    </row>
    <row r="836" spans="1:2" x14ac:dyDescent="0.2">
      <c r="A836" t="s">
        <v>232</v>
      </c>
      <c r="B836" t="e">
        <f ca="1">func_Vlookup(,"A19")</f>
        <v>#NAME?</v>
      </c>
    </row>
    <row r="837" spans="1:2" x14ac:dyDescent="0.2">
      <c r="A837" t="s">
        <v>233</v>
      </c>
      <c r="B837" t="e">
        <f ca="1">func_Vlookup(,"A20")</f>
        <v>#NAME?</v>
      </c>
    </row>
    <row r="838" spans="1:2" x14ac:dyDescent="0.2">
      <c r="A838" t="s">
        <v>234</v>
      </c>
      <c r="B838" t="e">
        <f ca="1">func_Vlookup(,"A21")</f>
        <v>#NAME?</v>
      </c>
    </row>
    <row r="839" spans="1:2" x14ac:dyDescent="0.2">
      <c r="A839" t="s">
        <v>235</v>
      </c>
      <c r="B839" t="e">
        <f ca="1">func_Vlookup(,"A22")</f>
        <v>#NAME?</v>
      </c>
    </row>
    <row r="840" spans="1:2" x14ac:dyDescent="0.2">
      <c r="A840" t="s">
        <v>236</v>
      </c>
      <c r="B840" t="e">
        <f ca="1">func_Vlookup(,"A23")</f>
        <v>#NAME?</v>
      </c>
    </row>
    <row r="841" spans="1:2" x14ac:dyDescent="0.2">
      <c r="A841" t="s">
        <v>237</v>
      </c>
      <c r="B841" t="e">
        <f ca="1">func_Vlookup(,"A24")</f>
        <v>#NAME?</v>
      </c>
    </row>
    <row r="842" spans="1:2" x14ac:dyDescent="0.2">
      <c r="A842" t="s">
        <v>238</v>
      </c>
      <c r="B842" t="e">
        <f ca="1">func_Vlookup(,"A25")</f>
        <v>#NAME?</v>
      </c>
    </row>
    <row r="843" spans="1:2" x14ac:dyDescent="0.2">
      <c r="A843" t="s">
        <v>239</v>
      </c>
      <c r="B843" t="e">
        <f ca="1">func_Vlookup(,"A26")</f>
        <v>#NAME?</v>
      </c>
    </row>
    <row r="844" spans="1:2" x14ac:dyDescent="0.2">
      <c r="A844" t="s">
        <v>240</v>
      </c>
      <c r="B844" t="e">
        <f ca="1">func_Vlookup(,"A27")</f>
        <v>#NAME?</v>
      </c>
    </row>
    <row r="845" spans="1:2" x14ac:dyDescent="0.2">
      <c r="A845" t="s">
        <v>241</v>
      </c>
      <c r="B845" t="e">
        <f ca="1">func_Vlookup(,"A28")</f>
        <v>#NAME?</v>
      </c>
    </row>
    <row r="846" spans="1:2" x14ac:dyDescent="0.2">
      <c r="A846" t="s">
        <v>242</v>
      </c>
      <c r="B846" t="e">
        <f ca="1">func_Vlookup(,"A29")</f>
        <v>#NAME?</v>
      </c>
    </row>
    <row r="847" spans="1:2" x14ac:dyDescent="0.2">
      <c r="A847" t="s">
        <v>243</v>
      </c>
      <c r="B847" t="e">
        <f ca="1">func_Vlookup(,"A30")</f>
        <v>#NAME?</v>
      </c>
    </row>
    <row r="848" spans="1:2" x14ac:dyDescent="0.2">
      <c r="A848" t="s">
        <v>244</v>
      </c>
      <c r="B848" t="e">
        <f ca="1">func_Vlookup(,"A31")</f>
        <v>#NAME?</v>
      </c>
    </row>
    <row r="849" spans="1:2" x14ac:dyDescent="0.2">
      <c r="A849" t="s">
        <v>245</v>
      </c>
      <c r="B849" t="e">
        <f ca="1">func_Vlookup(,"A32")</f>
        <v>#NAME?</v>
      </c>
    </row>
    <row r="850" spans="1:2" x14ac:dyDescent="0.2">
      <c r="A850" t="s">
        <v>246</v>
      </c>
      <c r="B850" t="e">
        <f ca="1">func_Vlookup(,"A33")</f>
        <v>#NAME?</v>
      </c>
    </row>
    <row r="851" spans="1:2" x14ac:dyDescent="0.2">
      <c r="A851" t="s">
        <v>247</v>
      </c>
      <c r="B851" t="e">
        <f ca="1">func_Vlookup(,"A34")</f>
        <v>#NAME?</v>
      </c>
    </row>
    <row r="852" spans="1:2" x14ac:dyDescent="0.2">
      <c r="A852" t="s">
        <v>248</v>
      </c>
      <c r="B852" t="e">
        <f ca="1">func_Vlookup(,"A35")</f>
        <v>#NAME?</v>
      </c>
    </row>
    <row r="853" spans="1:2" x14ac:dyDescent="0.2">
      <c r="A853" t="s">
        <v>249</v>
      </c>
      <c r="B853" t="e">
        <f ca="1">func_Vlookup(,"A36")</f>
        <v>#NAME?</v>
      </c>
    </row>
    <row r="854" spans="1:2" x14ac:dyDescent="0.2">
      <c r="A854" t="s">
        <v>250</v>
      </c>
      <c r="B854" t="e">
        <f ca="1">func_Vlookup(,"A37")</f>
        <v>#NAME?</v>
      </c>
    </row>
    <row r="855" spans="1:2" x14ac:dyDescent="0.2">
      <c r="A855" t="s">
        <v>251</v>
      </c>
      <c r="B855" t="e">
        <f ca="1">func_Vlookup(,"A38")</f>
        <v>#NAME?</v>
      </c>
    </row>
    <row r="856" spans="1:2" x14ac:dyDescent="0.2">
      <c r="A856" t="s">
        <v>252</v>
      </c>
      <c r="B856" t="e">
        <f ca="1">func_Vlookup(,"A39")</f>
        <v>#NAME?</v>
      </c>
    </row>
    <row r="857" spans="1:2" x14ac:dyDescent="0.2">
      <c r="A857" t="s">
        <v>253</v>
      </c>
      <c r="B857" t="e">
        <f ca="1">func_Vlookup(,"A40")</f>
        <v>#NAME?</v>
      </c>
    </row>
    <row r="858" spans="1:2" x14ac:dyDescent="0.2">
      <c r="A858" t="s">
        <v>254</v>
      </c>
      <c r="B858" t="e">
        <f ca="1">func_Vlookup(,"A41")</f>
        <v>#NAME?</v>
      </c>
    </row>
    <row r="859" spans="1:2" x14ac:dyDescent="0.2">
      <c r="A859" t="s">
        <v>255</v>
      </c>
      <c r="B859" t="e">
        <f ca="1">func_Vlookup(,"A42")</f>
        <v>#NAME?</v>
      </c>
    </row>
    <row r="860" spans="1:2" x14ac:dyDescent="0.2">
      <c r="A860" t="s">
        <v>256</v>
      </c>
      <c r="B860" t="e">
        <f ca="1">func_Vlookup(,"A43")</f>
        <v>#NAME?</v>
      </c>
    </row>
    <row r="861" spans="1:2" x14ac:dyDescent="0.2">
      <c r="A861" t="s">
        <v>257</v>
      </c>
      <c r="B861" t="e">
        <f ca="1">func_Vlookup(,"A44")</f>
        <v>#NAME?</v>
      </c>
    </row>
    <row r="862" spans="1:2" x14ac:dyDescent="0.2">
      <c r="A862" t="s">
        <v>258</v>
      </c>
      <c r="B862" t="e">
        <f ca="1">func_Vlookup(,"A45")</f>
        <v>#NAME?</v>
      </c>
    </row>
    <row r="863" spans="1:2" x14ac:dyDescent="0.2">
      <c r="A863" t="s">
        <v>259</v>
      </c>
      <c r="B863" t="e">
        <f ca="1">func_Vlookup(,"A46")</f>
        <v>#NAME?</v>
      </c>
    </row>
    <row r="864" spans="1:2" x14ac:dyDescent="0.2">
      <c r="A864" t="s">
        <v>260</v>
      </c>
      <c r="B864" t="e">
        <f ca="1">func_Vlookup(,"A47")</f>
        <v>#NAME?</v>
      </c>
    </row>
    <row r="865" spans="1:2" x14ac:dyDescent="0.2">
      <c r="A865" t="s">
        <v>261</v>
      </c>
      <c r="B865" t="e">
        <f ca="1">func_Vlookup(,"A48")</f>
        <v>#NAME?</v>
      </c>
    </row>
    <row r="866" spans="1:2" x14ac:dyDescent="0.2">
      <c r="A866" t="s">
        <v>262</v>
      </c>
      <c r="B866" t="e">
        <f ca="1">func_Vlookup(,"A49")</f>
        <v>#NAME?</v>
      </c>
    </row>
    <row r="867" spans="1:2" x14ac:dyDescent="0.2">
      <c r="A867" t="s">
        <v>263</v>
      </c>
      <c r="B867" t="e">
        <f ca="1">func_Vlookup(,"A50")</f>
        <v>#NAME?</v>
      </c>
    </row>
    <row r="868" spans="1:2" x14ac:dyDescent="0.2">
      <c r="A868" t="s">
        <v>264</v>
      </c>
      <c r="B868" t="e">
        <f ca="1">func_Vlookup(,"A51")</f>
        <v>#NAME?</v>
      </c>
    </row>
    <row r="869" spans="1:2" x14ac:dyDescent="0.2">
      <c r="A869" s="105" t="s">
        <v>1125</v>
      </c>
      <c r="B869" t="e">
        <f ca="1">func_Vlookup(257)</f>
        <v>#NAME?</v>
      </c>
    </row>
    <row r="870" spans="1:2" x14ac:dyDescent="0.2">
      <c r="A870" s="105" t="s">
        <v>1124</v>
      </c>
      <c r="B870" t="e">
        <f ca="1">func_Vlookup(258, "", "数値")</f>
        <v>#NAME?</v>
      </c>
    </row>
    <row r="871" spans="1:2" x14ac:dyDescent="0.2">
      <c r="A871" s="105" t="s">
        <v>1126</v>
      </c>
      <c r="B871" t="e">
        <f ca="1">func_Vlookup(259)</f>
        <v>#NAME?</v>
      </c>
    </row>
    <row r="872" spans="1:2" x14ac:dyDescent="0.2">
      <c r="A872" s="105" t="s">
        <v>1127</v>
      </c>
      <c r="B872" t="e">
        <f ca="1">func_Vlookup(260, "", "数値")</f>
        <v>#NAME?</v>
      </c>
    </row>
    <row r="873" spans="1:2" x14ac:dyDescent="0.2">
      <c r="A873" s="105" t="s">
        <v>1128</v>
      </c>
      <c r="B873" t="e">
        <f ca="1">func_Vlookup(261)</f>
        <v>#NAME?</v>
      </c>
    </row>
    <row r="874" spans="1:2" x14ac:dyDescent="0.2">
      <c r="A874" s="105" t="s">
        <v>1129</v>
      </c>
      <c r="B874" t="e">
        <f ca="1">func_Vlookup(262, "", "数値")</f>
        <v>#NAME?</v>
      </c>
    </row>
    <row r="875" spans="1:2" x14ac:dyDescent="0.2">
      <c r="A875" s="105" t="s">
        <v>1130</v>
      </c>
      <c r="B875" t="e">
        <f ca="1">func_Vlookup(263)</f>
        <v>#NAME?</v>
      </c>
    </row>
    <row r="876" spans="1:2" x14ac:dyDescent="0.2">
      <c r="A876" s="105" t="s">
        <v>1131</v>
      </c>
      <c r="B876" t="e">
        <f ca="1">func_Vlookup(264, "", "数値")</f>
        <v>#NAME?</v>
      </c>
    </row>
    <row r="877" spans="1:2" x14ac:dyDescent="0.2">
      <c r="A877" s="105" t="s">
        <v>1132</v>
      </c>
      <c r="B877" t="e">
        <f ca="1">func_Vlookup(265)</f>
        <v>#NAME?</v>
      </c>
    </row>
    <row r="878" spans="1:2" x14ac:dyDescent="0.2">
      <c r="A878" s="105" t="s">
        <v>1133</v>
      </c>
      <c r="B878" t="e">
        <f ca="1">func_Vlookup(266, "", "数値")</f>
        <v>#NAME?</v>
      </c>
    </row>
    <row r="879" spans="1:2" x14ac:dyDescent="0.2">
      <c r="A879" t="s">
        <v>1137</v>
      </c>
      <c r="B879" t="e">
        <f ca="1">func_Vlookup5(3)</f>
        <v>#NAME?</v>
      </c>
    </row>
    <row r="880" spans="1:2" x14ac:dyDescent="0.2">
      <c r="A880" t="s">
        <v>1138</v>
      </c>
      <c r="B880" t="e">
        <f ca="1">func_Vlookup5(4)</f>
        <v>#NAME?</v>
      </c>
    </row>
    <row r="881" spans="1:2" x14ac:dyDescent="0.2">
      <c r="A881" t="s">
        <v>1139</v>
      </c>
      <c r="B881" t="e">
        <f ca="1">func_Vlookup5(5)</f>
        <v>#NAME?</v>
      </c>
    </row>
    <row r="882" spans="1:2" x14ac:dyDescent="0.2">
      <c r="A882" t="s">
        <v>1140</v>
      </c>
      <c r="B882" t="e">
        <f ca="1">func_Vlookup5(6)</f>
        <v>#NAME?</v>
      </c>
    </row>
    <row r="883" spans="1:2" x14ac:dyDescent="0.2">
      <c r="A883" t="s">
        <v>1141</v>
      </c>
      <c r="B883" t="e">
        <f ca="1">func_Vlookup5(8)</f>
        <v>#NAME?</v>
      </c>
    </row>
    <row r="884" spans="1:2" x14ac:dyDescent="0.2">
      <c r="A884" t="s">
        <v>1142</v>
      </c>
      <c r="B884" t="e">
        <f ca="1">func_Vlookup5(9)</f>
        <v>#NAME?</v>
      </c>
    </row>
    <row r="885" spans="1:2" x14ac:dyDescent="0.2">
      <c r="A885" t="s">
        <v>1143</v>
      </c>
      <c r="B885" t="e">
        <f ca="1">func_Vlookup5(10)</f>
        <v>#NAME?</v>
      </c>
    </row>
    <row r="886" spans="1:2" x14ac:dyDescent="0.2">
      <c r="A886" t="s">
        <v>1144</v>
      </c>
      <c r="B886" t="e">
        <f ca="1">func_Vlookup5(11)</f>
        <v>#NAME?</v>
      </c>
    </row>
    <row r="887" spans="1:2" x14ac:dyDescent="0.2">
      <c r="A887" t="s">
        <v>1145</v>
      </c>
      <c r="B887" t="e">
        <f ca="1">func_Vlookup5(12)</f>
        <v>#NAME?</v>
      </c>
    </row>
    <row r="888" spans="1:2" x14ac:dyDescent="0.2">
      <c r="A888" t="s">
        <v>1146</v>
      </c>
      <c r="B888" t="e">
        <f ca="1">func_Vlookup5(13)</f>
        <v>#NAME?</v>
      </c>
    </row>
    <row r="889" spans="1:2" x14ac:dyDescent="0.2">
      <c r="A889" t="s">
        <v>1147</v>
      </c>
      <c r="B889" t="e">
        <f ca="1">func_Vlookup5(14)</f>
        <v>#NAME?</v>
      </c>
    </row>
    <row r="890" spans="1:2" x14ac:dyDescent="0.2">
      <c r="A890" t="s">
        <v>1148</v>
      </c>
      <c r="B890" t="e">
        <f ca="1">func_Vlookup5(15)</f>
        <v>#NAME?</v>
      </c>
    </row>
    <row r="891" spans="1:2" x14ac:dyDescent="0.2">
      <c r="A891" t="s">
        <v>1149</v>
      </c>
      <c r="B891" t="e">
        <f ca="1">func_Vlookup5(16)</f>
        <v>#NAME?</v>
      </c>
    </row>
    <row r="892" spans="1:2" x14ac:dyDescent="0.2">
      <c r="A892" t="s">
        <v>1150</v>
      </c>
      <c r="B892" t="e">
        <f ca="1">func_Vlookup5(17)</f>
        <v>#NAME?</v>
      </c>
    </row>
    <row r="893" spans="1:2" x14ac:dyDescent="0.2">
      <c r="A893" t="s">
        <v>1151</v>
      </c>
      <c r="B893" t="e">
        <f ca="1">func_Vlookup5(,"A7")</f>
        <v>#NAME?</v>
      </c>
    </row>
    <row r="894" spans="1:2" x14ac:dyDescent="0.2">
      <c r="A894" t="s">
        <v>1152</v>
      </c>
      <c r="B894" t="e">
        <f ca="1">func_Vlookup5(,"A8")</f>
        <v>#NAME?</v>
      </c>
    </row>
    <row r="895" spans="1:2" x14ac:dyDescent="0.2">
      <c r="A895" t="s">
        <v>1153</v>
      </c>
      <c r="B895" t="e">
        <f ca="1">func_Vlookup5(,"A9")</f>
        <v>#NAME?</v>
      </c>
    </row>
    <row r="896" spans="1:2" x14ac:dyDescent="0.2">
      <c r="A896" t="s">
        <v>1154</v>
      </c>
      <c r="B896" t="e">
        <f ca="1">func_Vlookup5(,"A10")</f>
        <v>#NAME?</v>
      </c>
    </row>
    <row r="897" spans="1:2" x14ac:dyDescent="0.2">
      <c r="A897" t="s">
        <v>1155</v>
      </c>
      <c r="B897" t="e">
        <f ca="1">func_Vlookup5(,"A11")</f>
        <v>#NAME?</v>
      </c>
    </row>
    <row r="898" spans="1:2" x14ac:dyDescent="0.2">
      <c r="A898" t="s">
        <v>1156</v>
      </c>
      <c r="B898" t="e">
        <f ca="1">func_Vlookup5(,"A12")</f>
        <v>#NAME?</v>
      </c>
    </row>
    <row r="899" spans="1:2" x14ac:dyDescent="0.2">
      <c r="A899" t="s">
        <v>1157</v>
      </c>
      <c r="B899" t="e">
        <f ca="1">func_Vlookup5(,"A13")</f>
        <v>#NAME?</v>
      </c>
    </row>
    <row r="900" spans="1:2" x14ac:dyDescent="0.2">
      <c r="A900" t="s">
        <v>1158</v>
      </c>
      <c r="B900" t="e">
        <f ca="1">func_Vlookup5(,"A14")</f>
        <v>#NAME?</v>
      </c>
    </row>
    <row r="901" spans="1:2" x14ac:dyDescent="0.2">
      <c r="A901" t="s">
        <v>1159</v>
      </c>
      <c r="B901" t="e">
        <f ca="1">func_Vlookup5(,"A15")</f>
        <v>#NAME?</v>
      </c>
    </row>
    <row r="902" spans="1:2" x14ac:dyDescent="0.2">
      <c r="A902" t="s">
        <v>1160</v>
      </c>
      <c r="B902" t="e">
        <f ca="1">func_Vlookup5(,"A16")</f>
        <v>#NAME?</v>
      </c>
    </row>
    <row r="903" spans="1:2" x14ac:dyDescent="0.2">
      <c r="A903" t="s">
        <v>1161</v>
      </c>
      <c r="B903" t="e">
        <f ca="1">func_Vlookup5(,"A17")</f>
        <v>#NAME?</v>
      </c>
    </row>
    <row r="904" spans="1:2" x14ac:dyDescent="0.2">
      <c r="A904" t="s">
        <v>1162</v>
      </c>
      <c r="B904" t="e">
        <f ca="1">func_Vlookup5(,"A18")</f>
        <v>#NAME?</v>
      </c>
    </row>
    <row r="905" spans="1:2" x14ac:dyDescent="0.2">
      <c r="A905" t="s">
        <v>1163</v>
      </c>
      <c r="B905" t="e">
        <f ca="1">func_Vlookup5(,"A19")</f>
        <v>#NAME?</v>
      </c>
    </row>
    <row r="906" spans="1:2" x14ac:dyDescent="0.2">
      <c r="A906" t="s">
        <v>1164</v>
      </c>
      <c r="B906" t="e">
        <f ca="1">func_Vlookup3(248)</f>
        <v>#NAME?</v>
      </c>
    </row>
    <row r="907" spans="1:2" x14ac:dyDescent="0.2">
      <c r="A907" t="s">
        <v>1165</v>
      </c>
      <c r="B907" t="e">
        <f ca="1">func_Vlookup3(249)</f>
        <v>#NAME?</v>
      </c>
    </row>
    <row r="908" spans="1:2" x14ac:dyDescent="0.2">
      <c r="A908" t="s">
        <v>1166</v>
      </c>
      <c r="B908" t="e">
        <f ca="1">func_Vlookup3(250)</f>
        <v>#NAME?</v>
      </c>
    </row>
    <row r="909" spans="1:2" x14ac:dyDescent="0.2">
      <c r="A909" t="s">
        <v>1167</v>
      </c>
      <c r="B909" t="e">
        <f ca="1">func_Vlookup3(251)</f>
        <v>#NAME?</v>
      </c>
    </row>
    <row r="910" spans="1:2" x14ac:dyDescent="0.2">
      <c r="A910" t="s">
        <v>1168</v>
      </c>
      <c r="B910" t="e">
        <f ca="1">func_Vlookup3(252)</f>
        <v>#NAME?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D43"/>
  <sheetViews>
    <sheetView workbookViewId="0">
      <selection activeCell="B8" sqref="B8"/>
    </sheetView>
  </sheetViews>
  <sheetFormatPr defaultColWidth="9" defaultRowHeight="13" x14ac:dyDescent="0.2"/>
  <cols>
    <col min="1" max="2" width="12.6328125" style="116" customWidth="1"/>
    <col min="3" max="3" width="106" style="116" customWidth="1"/>
    <col min="4" max="16384" width="9" style="116"/>
  </cols>
  <sheetData>
    <row r="1" spans="1:4" ht="20.149999999999999" customHeight="1" x14ac:dyDescent="0.2">
      <c r="A1" s="115" t="s">
        <v>449</v>
      </c>
      <c r="B1" s="115" t="s">
        <v>1198</v>
      </c>
    </row>
    <row r="2" spans="1:4" ht="20.149999999999999" customHeight="1" x14ac:dyDescent="0.2"/>
    <row r="3" spans="1:4" x14ac:dyDescent="0.2">
      <c r="A3" s="117" t="s">
        <v>450</v>
      </c>
      <c r="B3" s="117"/>
      <c r="C3" s="118"/>
    </row>
    <row r="4" spans="1:4" x14ac:dyDescent="0.2">
      <c r="A4" s="119"/>
      <c r="B4" s="119"/>
      <c r="C4" s="119"/>
      <c r="D4" s="119"/>
    </row>
    <row r="5" spans="1:4" ht="8.15" customHeight="1" x14ac:dyDescent="0.2">
      <c r="A5" s="120"/>
      <c r="B5" s="120"/>
      <c r="C5" s="189"/>
      <c r="D5" s="189"/>
    </row>
    <row r="6" spans="1:4" x14ac:dyDescent="0.2">
      <c r="A6" s="116" t="s">
        <v>1201</v>
      </c>
      <c r="B6" s="116" t="s">
        <v>1202</v>
      </c>
      <c r="C6" s="190"/>
      <c r="D6" s="190"/>
    </row>
    <row r="7" spans="1:4" x14ac:dyDescent="0.2">
      <c r="C7" s="190"/>
      <c r="D7" s="190"/>
    </row>
    <row r="8" spans="1:4" x14ac:dyDescent="0.2">
      <c r="C8" s="190"/>
      <c r="D8" s="190"/>
    </row>
    <row r="9" spans="1:4" x14ac:dyDescent="0.2">
      <c r="C9" s="191"/>
      <c r="D9" s="191"/>
    </row>
    <row r="10" spans="1:4" x14ac:dyDescent="0.2">
      <c r="C10" s="191"/>
      <c r="D10" s="191"/>
    </row>
    <row r="11" spans="1:4" x14ac:dyDescent="0.2">
      <c r="C11" s="191"/>
      <c r="D11" s="191"/>
    </row>
    <row r="12" spans="1:4" x14ac:dyDescent="0.2">
      <c r="C12" s="191"/>
      <c r="D12" s="191"/>
    </row>
    <row r="13" spans="1:4" x14ac:dyDescent="0.2">
      <c r="C13" s="191"/>
      <c r="D13" s="191"/>
    </row>
    <row r="14" spans="1:4" x14ac:dyDescent="0.2">
      <c r="C14" s="191"/>
      <c r="D14" s="191"/>
    </row>
    <row r="15" spans="1:4" x14ac:dyDescent="0.2">
      <c r="C15" s="191"/>
      <c r="D15" s="191"/>
    </row>
    <row r="16" spans="1:4" x14ac:dyDescent="0.2">
      <c r="C16" s="191"/>
      <c r="D16" s="191"/>
    </row>
    <row r="17" spans="3:4" x14ac:dyDescent="0.2">
      <c r="C17" s="191"/>
      <c r="D17" s="191"/>
    </row>
    <row r="18" spans="3:4" x14ac:dyDescent="0.2">
      <c r="C18" s="191"/>
      <c r="D18" s="191"/>
    </row>
    <row r="19" spans="3:4" x14ac:dyDescent="0.2">
      <c r="C19" s="191"/>
      <c r="D19" s="191"/>
    </row>
    <row r="20" spans="3:4" x14ac:dyDescent="0.2">
      <c r="C20" s="191"/>
      <c r="D20" s="191"/>
    </row>
    <row r="21" spans="3:4" x14ac:dyDescent="0.2">
      <c r="C21" s="191"/>
      <c r="D21" s="191"/>
    </row>
    <row r="22" spans="3:4" x14ac:dyDescent="0.2">
      <c r="C22" s="191"/>
      <c r="D22" s="191"/>
    </row>
    <row r="23" spans="3:4" x14ac:dyDescent="0.2">
      <c r="C23" s="191"/>
      <c r="D23" s="191"/>
    </row>
    <row r="24" spans="3:4" x14ac:dyDescent="0.2">
      <c r="C24" s="191"/>
      <c r="D24" s="191"/>
    </row>
    <row r="25" spans="3:4" x14ac:dyDescent="0.2">
      <c r="C25" s="191"/>
      <c r="D25" s="191"/>
    </row>
    <row r="26" spans="3:4" x14ac:dyDescent="0.2">
      <c r="C26" s="191"/>
      <c r="D26" s="191"/>
    </row>
    <row r="27" spans="3:4" x14ac:dyDescent="0.2">
      <c r="C27" s="191"/>
      <c r="D27" s="191"/>
    </row>
    <row r="28" spans="3:4" x14ac:dyDescent="0.2">
      <c r="C28" s="191"/>
      <c r="D28" s="191"/>
    </row>
    <row r="29" spans="3:4" x14ac:dyDescent="0.2">
      <c r="C29" s="191"/>
      <c r="D29" s="191"/>
    </row>
    <row r="30" spans="3:4" x14ac:dyDescent="0.2">
      <c r="C30" s="191"/>
      <c r="D30" s="191"/>
    </row>
    <row r="31" spans="3:4" x14ac:dyDescent="0.2">
      <c r="C31" s="191"/>
      <c r="D31" s="191"/>
    </row>
    <row r="32" spans="3:4" x14ac:dyDescent="0.2">
      <c r="C32" s="191"/>
      <c r="D32" s="191"/>
    </row>
    <row r="33" spans="3:4" x14ac:dyDescent="0.2">
      <c r="C33" s="191"/>
      <c r="D33" s="191"/>
    </row>
    <row r="34" spans="3:4" x14ac:dyDescent="0.2">
      <c r="C34" s="191"/>
      <c r="D34" s="191"/>
    </row>
    <row r="35" spans="3:4" x14ac:dyDescent="0.2">
      <c r="C35" s="191"/>
      <c r="D35" s="191"/>
    </row>
    <row r="36" spans="3:4" x14ac:dyDescent="0.2">
      <c r="C36" s="191"/>
      <c r="D36" s="191"/>
    </row>
    <row r="37" spans="3:4" x14ac:dyDescent="0.2">
      <c r="C37" s="191"/>
      <c r="D37" s="191"/>
    </row>
    <row r="38" spans="3:4" x14ac:dyDescent="0.2">
      <c r="C38" s="191"/>
      <c r="D38" s="191"/>
    </row>
    <row r="39" spans="3:4" x14ac:dyDescent="0.2">
      <c r="C39" s="191"/>
      <c r="D39" s="191"/>
    </row>
    <row r="40" spans="3:4" x14ac:dyDescent="0.2">
      <c r="C40" s="191"/>
      <c r="D40" s="191"/>
    </row>
    <row r="41" spans="3:4" x14ac:dyDescent="0.2">
      <c r="C41" s="191"/>
      <c r="D41" s="191"/>
    </row>
    <row r="42" spans="3:4" x14ac:dyDescent="0.2">
      <c r="C42" s="191"/>
      <c r="D42" s="191"/>
    </row>
    <row r="43" spans="3:4" x14ac:dyDescent="0.2">
      <c r="C43" s="191"/>
      <c r="D43" s="191"/>
    </row>
  </sheetData>
  <mergeCells count="39">
    <mergeCell ref="C43:D43"/>
    <mergeCell ref="C35:D35"/>
    <mergeCell ref="C36:D36"/>
    <mergeCell ref="C37:D37"/>
    <mergeCell ref="C38:D38"/>
    <mergeCell ref="C39:D39"/>
    <mergeCell ref="C40:D40"/>
    <mergeCell ref="C41:D41"/>
    <mergeCell ref="C42:D42"/>
    <mergeCell ref="C20:D20"/>
    <mergeCell ref="C33:D33"/>
    <mergeCell ref="C34:D34"/>
    <mergeCell ref="C23:D23"/>
    <mergeCell ref="C24:D24"/>
    <mergeCell ref="C25:D25"/>
    <mergeCell ref="C29:D29"/>
    <mergeCell ref="C30:D30"/>
    <mergeCell ref="C31:D31"/>
    <mergeCell ref="C32:D32"/>
    <mergeCell ref="C27:D27"/>
    <mergeCell ref="C28:D28"/>
    <mergeCell ref="C21:D21"/>
    <mergeCell ref="C22:D22"/>
    <mergeCell ref="C5:D5"/>
    <mergeCell ref="C6:D6"/>
    <mergeCell ref="C7:D7"/>
    <mergeCell ref="C8:D8"/>
    <mergeCell ref="C26:D26"/>
    <mergeCell ref="C16:D16"/>
    <mergeCell ref="C17:D17"/>
    <mergeCell ref="C18:D18"/>
    <mergeCell ref="C9:D9"/>
    <mergeCell ref="C10:D10"/>
    <mergeCell ref="C11:D11"/>
    <mergeCell ref="C12:D12"/>
    <mergeCell ref="C13:D13"/>
    <mergeCell ref="C14:D14"/>
    <mergeCell ref="C15:D15"/>
    <mergeCell ref="C19:D19"/>
  </mergeCells>
  <phoneticPr fontId="1"/>
  <pageMargins left="0.75" right="0.75" top="1" bottom="1" header="0.51200000000000001" footer="0.5120000000000000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/>
  <dimension ref="A1:IV2"/>
  <sheetViews>
    <sheetView workbookViewId="0">
      <selection activeCell="A4" sqref="A4"/>
    </sheetView>
  </sheetViews>
  <sheetFormatPr defaultRowHeight="13" x14ac:dyDescent="0.2"/>
  <sheetData>
    <row r="1" spans="1:256" x14ac:dyDescent="0.2"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  <c r="CP1" s="104"/>
      <c r="CQ1" s="104"/>
      <c r="CR1" s="104"/>
      <c r="CS1" s="104"/>
      <c r="CT1" s="104"/>
      <c r="CU1" s="104"/>
      <c r="CV1" s="104"/>
      <c r="CW1" s="104"/>
      <c r="CX1" s="104"/>
      <c r="CY1" s="104"/>
      <c r="CZ1" s="104"/>
      <c r="DA1" s="104"/>
      <c r="DB1" s="104"/>
      <c r="DC1" s="104"/>
      <c r="DD1" s="104"/>
      <c r="DE1" s="104"/>
      <c r="DF1" s="104"/>
      <c r="DG1" s="104"/>
      <c r="DH1" s="104"/>
      <c r="DI1" s="104"/>
      <c r="DJ1" s="104"/>
      <c r="DK1" s="104"/>
      <c r="DL1" s="104"/>
      <c r="DM1" s="104"/>
      <c r="DN1" s="104"/>
      <c r="DO1" s="104"/>
      <c r="DP1" s="104"/>
      <c r="DQ1" s="104"/>
      <c r="DR1" s="104"/>
      <c r="DS1" s="104"/>
      <c r="DT1" s="104"/>
      <c r="DU1" s="104"/>
      <c r="DV1" s="104"/>
      <c r="DW1" s="104"/>
      <c r="DX1" s="104"/>
      <c r="DY1" s="104"/>
      <c r="DZ1" s="104"/>
      <c r="EA1" s="104"/>
      <c r="EB1" s="104"/>
      <c r="EC1" s="104"/>
      <c r="ED1" s="104"/>
      <c r="EE1" s="104"/>
      <c r="EF1" s="104"/>
      <c r="EG1" s="104"/>
      <c r="EH1" s="104"/>
      <c r="EI1" s="104"/>
      <c r="EJ1" s="104"/>
      <c r="EK1" s="104"/>
      <c r="EL1" s="104"/>
      <c r="EM1" s="104"/>
      <c r="EN1" s="104"/>
      <c r="EO1" s="104"/>
      <c r="EP1" s="104"/>
      <c r="EQ1" s="104"/>
      <c r="ER1" s="104"/>
      <c r="ES1" s="104"/>
      <c r="ET1" s="104"/>
      <c r="EU1" s="104"/>
      <c r="EV1" s="104"/>
      <c r="EW1" s="104"/>
      <c r="EX1" s="104"/>
      <c r="EY1" s="104"/>
      <c r="EZ1" s="104"/>
      <c r="FA1" s="104"/>
      <c r="FB1" s="104"/>
      <c r="FC1" s="104"/>
      <c r="FD1" s="104"/>
      <c r="FE1" s="104"/>
      <c r="FF1" s="104"/>
      <c r="FG1" s="104"/>
      <c r="FH1" s="104"/>
      <c r="FI1" s="104"/>
      <c r="FJ1" s="104"/>
      <c r="FK1" s="104"/>
      <c r="FL1" s="104"/>
      <c r="FM1" s="104"/>
      <c r="FN1" s="104"/>
      <c r="FO1" s="104"/>
      <c r="FP1" s="104"/>
      <c r="FQ1" s="104"/>
      <c r="FR1" s="104"/>
      <c r="FS1" s="104"/>
      <c r="FT1" s="104"/>
      <c r="FU1" s="104"/>
      <c r="FV1" s="104"/>
      <c r="FW1" s="104"/>
      <c r="FX1" s="104"/>
      <c r="FY1" s="104"/>
      <c r="FZ1" s="104"/>
      <c r="GA1" s="104"/>
      <c r="GB1" s="104"/>
      <c r="GC1" s="104"/>
      <c r="GD1" s="104"/>
      <c r="GE1" s="104"/>
      <c r="GF1" s="104"/>
      <c r="GG1" s="104"/>
      <c r="GH1" s="104"/>
      <c r="GI1" s="104"/>
      <c r="GJ1" s="104"/>
      <c r="GK1" s="104"/>
      <c r="GL1" s="104"/>
      <c r="GM1" s="104"/>
      <c r="GN1" s="104"/>
      <c r="GO1" s="104"/>
      <c r="GP1" s="104"/>
      <c r="GQ1" s="104"/>
      <c r="GR1" s="104"/>
      <c r="GS1" s="104"/>
      <c r="GT1" s="104"/>
      <c r="GU1" s="104"/>
      <c r="GV1" s="104"/>
      <c r="GW1" s="104"/>
      <c r="GX1" s="104"/>
      <c r="GY1" s="104"/>
      <c r="GZ1" s="104"/>
      <c r="HA1" s="104"/>
      <c r="HB1" s="104"/>
      <c r="HC1" s="104"/>
      <c r="HD1" s="104"/>
      <c r="HE1" s="104"/>
      <c r="HF1" s="104"/>
      <c r="HG1" s="104"/>
      <c r="HH1" s="104"/>
      <c r="HI1" s="104"/>
      <c r="HJ1" s="104"/>
      <c r="HK1" s="104"/>
      <c r="HL1" s="104"/>
      <c r="HM1" s="104"/>
      <c r="HN1" s="104"/>
      <c r="HO1" s="104"/>
      <c r="HP1" s="104"/>
      <c r="HQ1" s="104"/>
      <c r="HR1" s="104"/>
      <c r="HS1" s="104"/>
      <c r="HT1" s="104"/>
      <c r="HU1" s="104"/>
      <c r="HV1" s="104"/>
      <c r="HW1" s="104"/>
      <c r="HX1" s="104"/>
      <c r="HY1" s="104"/>
      <c r="HZ1" s="104"/>
      <c r="IA1" s="104"/>
      <c r="IB1" s="104"/>
      <c r="IC1" s="104"/>
      <c r="ID1" s="104"/>
      <c r="IE1" s="104"/>
      <c r="IF1" s="104"/>
      <c r="IG1" s="104"/>
      <c r="IH1" s="104"/>
      <c r="II1" s="104"/>
      <c r="IJ1" s="104"/>
      <c r="IK1" s="104"/>
      <c r="IL1" s="104"/>
      <c r="IM1" s="104"/>
      <c r="IN1" s="104"/>
      <c r="IO1" s="104"/>
      <c r="IP1" s="104"/>
      <c r="IQ1" s="104"/>
      <c r="IR1" s="104"/>
      <c r="IS1" s="104"/>
      <c r="IT1" s="104"/>
      <c r="IU1" s="104"/>
      <c r="IV1" s="104"/>
    </row>
    <row r="2" spans="1:256" x14ac:dyDescent="0.2">
      <c r="A2">
        <v>1</v>
      </c>
    </row>
  </sheetData>
  <phoneticPr fontId="2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6"/>
  <dimension ref="B1:BK57"/>
  <sheetViews>
    <sheetView zoomScaleNormal="100" zoomScaleSheetLayoutView="100" workbookViewId="0"/>
  </sheetViews>
  <sheetFormatPr defaultColWidth="9" defaultRowHeight="13.5" customHeight="1" x14ac:dyDescent="0.2"/>
  <cols>
    <col min="1" max="1" width="1.6328125" style="5" customWidth="1"/>
    <col min="2" max="30" width="1.6328125" style="4" customWidth="1"/>
    <col min="31" max="32" width="9" style="4"/>
    <col min="33" max="33" width="9" style="5"/>
    <col min="34" max="63" width="9" style="4"/>
    <col min="64" max="16384" width="9" style="5"/>
  </cols>
  <sheetData>
    <row r="1" spans="2:62" ht="11.25" customHeight="1" x14ac:dyDescent="0.2"/>
    <row r="2" spans="2:62" ht="13" x14ac:dyDescent="0.2"/>
    <row r="3" spans="2:62" ht="14.15" customHeight="1" x14ac:dyDescent="0.2"/>
    <row r="4" spans="2:62" ht="14.15" customHeight="1" x14ac:dyDescent="0.2"/>
    <row r="5" spans="2:62" s="6" customFormat="1" ht="18" customHeight="1" x14ac:dyDescent="0.2"/>
    <row r="6" spans="2:62" ht="13" x14ac:dyDescent="0.2"/>
    <row r="7" spans="2:62" ht="17.25" customHeight="1" x14ac:dyDescent="0.2">
      <c r="E7" s="5"/>
      <c r="V7" s="192"/>
      <c r="W7" s="192"/>
      <c r="X7" s="192"/>
      <c r="Y7" s="192"/>
      <c r="Z7" s="192"/>
      <c r="AA7" s="192"/>
      <c r="AB7" s="192"/>
      <c r="AC7" s="192"/>
      <c r="AD7" s="192"/>
      <c r="AK7" s="5"/>
      <c r="BB7" s="8"/>
      <c r="BC7" s="8"/>
      <c r="BD7" s="8"/>
      <c r="BE7" s="8"/>
      <c r="BF7" s="8"/>
      <c r="BG7" s="8"/>
      <c r="BH7" s="8"/>
      <c r="BI7" s="8"/>
      <c r="BJ7" s="8"/>
    </row>
    <row r="8" spans="2:62" ht="16.5" customHeight="1" x14ac:dyDescent="0.2"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</row>
    <row r="9" spans="2:62" ht="13.5" customHeight="1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</row>
    <row r="13" spans="2:62" s="6" customFormat="1" ht="13.5" customHeight="1" x14ac:dyDescent="0.2"/>
    <row r="15" spans="2:62" ht="13.5" customHeight="1" x14ac:dyDescent="0.2">
      <c r="V15" s="8"/>
      <c r="W15" s="8"/>
      <c r="X15" s="8"/>
      <c r="Y15" s="8"/>
      <c r="Z15" s="8"/>
      <c r="AA15" s="8"/>
      <c r="AB15" s="8"/>
      <c r="AC15" s="8"/>
      <c r="AD15" s="8"/>
      <c r="AK15" s="5"/>
      <c r="BB15" s="8"/>
      <c r="BC15" s="8"/>
      <c r="BD15" s="8"/>
      <c r="BE15" s="8"/>
      <c r="BF15" s="8"/>
      <c r="BG15" s="8"/>
      <c r="BH15" s="8"/>
      <c r="BI15" s="8"/>
      <c r="BJ15" s="8"/>
    </row>
    <row r="17" spans="2:62" ht="13.5" customHeight="1" x14ac:dyDescent="0.2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21" spans="2:62" s="6" customFormat="1" ht="13.5" customHeight="1" x14ac:dyDescent="0.2"/>
    <row r="23" spans="2:62" ht="13.5" customHeight="1" x14ac:dyDescent="0.2">
      <c r="V23" s="8"/>
      <c r="W23" s="8"/>
      <c r="X23" s="8"/>
      <c r="Y23" s="8"/>
      <c r="Z23" s="8"/>
      <c r="AA23" s="8"/>
      <c r="AB23" s="8"/>
      <c r="AC23" s="8"/>
      <c r="AD23" s="8"/>
      <c r="AK23" s="5"/>
      <c r="BB23" s="8"/>
      <c r="BC23" s="8"/>
      <c r="BD23" s="8"/>
      <c r="BE23" s="8"/>
      <c r="BF23" s="8"/>
      <c r="BG23" s="8"/>
      <c r="BH23" s="8"/>
      <c r="BI23" s="8"/>
      <c r="BJ23" s="8"/>
    </row>
    <row r="25" spans="2:62" ht="13.5" customHeight="1" x14ac:dyDescent="0.2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9" spans="2:62" s="6" customFormat="1" ht="13.5" customHeight="1" x14ac:dyDescent="0.2"/>
    <row r="31" spans="2:62" ht="13.5" customHeight="1" x14ac:dyDescent="0.2">
      <c r="V31" s="8"/>
      <c r="W31" s="8"/>
      <c r="X31" s="8"/>
      <c r="Y31" s="8"/>
      <c r="Z31" s="8"/>
      <c r="AA31" s="8"/>
      <c r="AB31" s="8"/>
      <c r="AC31" s="8"/>
      <c r="AD31" s="8"/>
      <c r="AK31" s="5"/>
      <c r="BB31" s="8"/>
      <c r="BC31" s="8"/>
      <c r="BD31" s="8"/>
      <c r="BE31" s="8"/>
      <c r="BF31" s="8"/>
      <c r="BG31" s="8"/>
      <c r="BH31" s="8"/>
      <c r="BI31" s="8"/>
      <c r="BJ31" s="8"/>
    </row>
    <row r="33" spans="2:62" ht="13.5" customHeight="1" x14ac:dyDescent="0.2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</row>
    <row r="37" spans="2:62" s="6" customFormat="1" ht="13.5" customHeight="1" x14ac:dyDescent="0.2"/>
    <row r="39" spans="2:62" ht="13.5" customHeight="1" x14ac:dyDescent="0.2">
      <c r="V39" s="8"/>
      <c r="W39" s="8"/>
      <c r="X39" s="8"/>
      <c r="Y39" s="8"/>
      <c r="Z39" s="8"/>
      <c r="AA39" s="8"/>
      <c r="AB39" s="8"/>
      <c r="AC39" s="8"/>
      <c r="AD39" s="8"/>
      <c r="AK39" s="5"/>
      <c r="BB39" s="8"/>
      <c r="BC39" s="8"/>
      <c r="BD39" s="8"/>
      <c r="BE39" s="8"/>
      <c r="BF39" s="8"/>
      <c r="BG39" s="8"/>
      <c r="BH39" s="8"/>
      <c r="BI39" s="8"/>
      <c r="BJ39" s="8"/>
    </row>
    <row r="41" spans="2:62" ht="13.5" customHeight="1" x14ac:dyDescent="0.2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5" spans="2:62" s="6" customFormat="1" ht="13.5" customHeight="1" x14ac:dyDescent="0.2"/>
    <row r="47" spans="2:62" ht="13.5" customHeight="1" x14ac:dyDescent="0.2">
      <c r="V47" s="8"/>
      <c r="W47" s="8"/>
      <c r="X47" s="8"/>
      <c r="Y47" s="8"/>
      <c r="Z47" s="8"/>
      <c r="AA47" s="8"/>
      <c r="AB47" s="8"/>
      <c r="AC47" s="8"/>
      <c r="AD47" s="8"/>
      <c r="AK47" s="5"/>
      <c r="BB47" s="8"/>
      <c r="BC47" s="8"/>
      <c r="BD47" s="8"/>
      <c r="BE47" s="8"/>
      <c r="BF47" s="8"/>
      <c r="BG47" s="8"/>
      <c r="BH47" s="8"/>
      <c r="BI47" s="8"/>
      <c r="BJ47" s="8"/>
    </row>
    <row r="49" spans="2:62" ht="13.5" customHeight="1" x14ac:dyDescent="0.2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</row>
    <row r="53" spans="2:62" s="6" customFormat="1" ht="13.5" customHeight="1" x14ac:dyDescent="0.2"/>
    <row r="55" spans="2:62" ht="13.5" customHeight="1" x14ac:dyDescent="0.2">
      <c r="V55" s="8"/>
      <c r="W55" s="8"/>
      <c r="X55" s="8"/>
      <c r="Y55" s="8"/>
      <c r="Z55" s="8"/>
      <c r="AA55" s="8"/>
      <c r="AB55" s="8"/>
      <c r="AC55" s="8"/>
      <c r="AD55" s="8"/>
      <c r="AK55" s="5"/>
      <c r="BB55" s="8"/>
      <c r="BC55" s="8"/>
      <c r="BD55" s="8"/>
      <c r="BE55" s="8"/>
      <c r="BF55" s="8"/>
      <c r="BG55" s="8"/>
      <c r="BH55" s="8"/>
      <c r="BI55" s="8"/>
      <c r="BJ55" s="8"/>
    </row>
    <row r="57" spans="2:62" ht="13.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</sheetData>
  <mergeCells count="2">
    <mergeCell ref="V7:AD7"/>
    <mergeCell ref="B8:AD8"/>
  </mergeCells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905</vt:i4>
      </vt:variant>
    </vt:vector>
  </HeadingPairs>
  <TitlesOfParts>
    <vt:vector size="912" baseType="lpstr">
      <vt:lpstr>健康診断個人結果票（封書）</vt:lpstr>
      <vt:lpstr>健康診断個人結果票</vt:lpstr>
      <vt:lpstr>条件</vt:lpstr>
      <vt:lpstr>健康診断個人結果票(VBReport)</vt:lpstr>
      <vt:lpstr>健康診断個人結果票（血液・形態）(VBReport)</vt:lpstr>
      <vt:lpstr>健康診断個人結果票（総括）(VBReport)</vt:lpstr>
      <vt:lpstr>健康診断個人結果票（血液・形態）_bak</vt:lpstr>
      <vt:lpstr>CD_020_0100200000_1</vt:lpstr>
      <vt:lpstr>CD_020_0100200000_2</vt:lpstr>
      <vt:lpstr>CD_020_0100200000_3</vt:lpstr>
      <vt:lpstr>CD_020_0100200000_4</vt:lpstr>
      <vt:lpstr>CD_020_0100200000_5</vt:lpstr>
      <vt:lpstr>CD_020_0100200000_S</vt:lpstr>
      <vt:lpstr>CD_020_0100300000_S</vt:lpstr>
      <vt:lpstr>CD_020_0100400000_S</vt:lpstr>
      <vt:lpstr>CD_020_0100500000_S</vt:lpstr>
      <vt:lpstr>CD_020_0100600000_S</vt:lpstr>
      <vt:lpstr>CD_020_IJO0100200000_1</vt:lpstr>
      <vt:lpstr>CD_020_IJO0100200000_2</vt:lpstr>
      <vt:lpstr>CD_020_IJO0100200000_3</vt:lpstr>
      <vt:lpstr>CD_020_IJO0100200000_4</vt:lpstr>
      <vt:lpstr>CD_020_IJO0100200000_5</vt:lpstr>
      <vt:lpstr>CD_020_IJO0100200000_S</vt:lpstr>
      <vt:lpstr>CD_020_IJO0100400000_S</vt:lpstr>
      <vt:lpstr>CD_070_0100300000_1</vt:lpstr>
      <vt:lpstr>CD_070_0100300000_2</vt:lpstr>
      <vt:lpstr>CD_070_0100300000_3</vt:lpstr>
      <vt:lpstr>CD_070_0100300000_4</vt:lpstr>
      <vt:lpstr>CD_070_0100300000_5</vt:lpstr>
      <vt:lpstr>CD_100_0100100000_1</vt:lpstr>
      <vt:lpstr>CD_100_0100100000_2</vt:lpstr>
      <vt:lpstr>CD_100_0100100000_3</vt:lpstr>
      <vt:lpstr>CD_100_0100100000_4</vt:lpstr>
      <vt:lpstr>CD_100_0100100000_5</vt:lpstr>
      <vt:lpstr>CD_100_0100200000_1</vt:lpstr>
      <vt:lpstr>CD_100_0100200000_2</vt:lpstr>
      <vt:lpstr>CD_100_0100200000_3</vt:lpstr>
      <vt:lpstr>CD_100_0100200000_4</vt:lpstr>
      <vt:lpstr>CD_100_0100200000_5</vt:lpstr>
      <vt:lpstr>CD_100_0100300000_1</vt:lpstr>
      <vt:lpstr>CD_100_0100300000_2</vt:lpstr>
      <vt:lpstr>CD_100_0100300000_3</vt:lpstr>
      <vt:lpstr>CD_100_0100300000_4</vt:lpstr>
      <vt:lpstr>CD_100_0100300000_5</vt:lpstr>
      <vt:lpstr>CD_1A01000000_1</vt:lpstr>
      <vt:lpstr>CD_1A01000000_2</vt:lpstr>
      <vt:lpstr>CD_1A01000000_3</vt:lpstr>
      <vt:lpstr>CD_1A01000000_4</vt:lpstr>
      <vt:lpstr>CD_1A01000000_5</vt:lpstr>
      <vt:lpstr>CD_1A02000000_1</vt:lpstr>
      <vt:lpstr>CD_1A02000000_2</vt:lpstr>
      <vt:lpstr>CD_1A02000000_3</vt:lpstr>
      <vt:lpstr>CD_1A02000000_4</vt:lpstr>
      <vt:lpstr>CD_1A02000000_5</vt:lpstr>
      <vt:lpstr>CD_1A10000000_1</vt:lpstr>
      <vt:lpstr>CD_1A10000000_2</vt:lpstr>
      <vt:lpstr>CD_1A10000000_3</vt:lpstr>
      <vt:lpstr>CD_1A10000000_4</vt:lpstr>
      <vt:lpstr>CD_1A10000000_5</vt:lpstr>
      <vt:lpstr>CD_2A01000000_1</vt:lpstr>
      <vt:lpstr>CD_2A01000000_2</vt:lpstr>
      <vt:lpstr>CD_2A01000000_3</vt:lpstr>
      <vt:lpstr>CD_2A01000000_4</vt:lpstr>
      <vt:lpstr>CD_2A01000000_5</vt:lpstr>
      <vt:lpstr>CD_2A02000000_1</vt:lpstr>
      <vt:lpstr>CD_2A02000000_2</vt:lpstr>
      <vt:lpstr>CD_2A02000000_3</vt:lpstr>
      <vt:lpstr>CD_2A02000000_4</vt:lpstr>
      <vt:lpstr>CD_2A02000000_5</vt:lpstr>
      <vt:lpstr>CD_2A03000000_1</vt:lpstr>
      <vt:lpstr>CD_2A03000000_2</vt:lpstr>
      <vt:lpstr>CD_2A03000000_3</vt:lpstr>
      <vt:lpstr>CD_2A03000000_4</vt:lpstr>
      <vt:lpstr>CD_2A03000000_5</vt:lpstr>
      <vt:lpstr>CD_2A04000000_1</vt:lpstr>
      <vt:lpstr>CD_2A04000000_2</vt:lpstr>
      <vt:lpstr>CD_2A04000000_3</vt:lpstr>
      <vt:lpstr>CD_2A04000000_4</vt:lpstr>
      <vt:lpstr>CD_2A04000000_5</vt:lpstr>
      <vt:lpstr>CD_2A05000000_1</vt:lpstr>
      <vt:lpstr>CD_2A05000000_2</vt:lpstr>
      <vt:lpstr>CD_2A05000000_3</vt:lpstr>
      <vt:lpstr>CD_2A05000000_4</vt:lpstr>
      <vt:lpstr>CD_2A05000000_5</vt:lpstr>
      <vt:lpstr>CD_3A01000000_1</vt:lpstr>
      <vt:lpstr>CD_3A01000000_2</vt:lpstr>
      <vt:lpstr>CD_3A01000000_3</vt:lpstr>
      <vt:lpstr>CD_3A01000000_4</vt:lpstr>
      <vt:lpstr>CD_3A01000000_5</vt:lpstr>
      <vt:lpstr>CD_3A01500000_1</vt:lpstr>
      <vt:lpstr>CD_3A01500000_2</vt:lpstr>
      <vt:lpstr>CD_3A01500000_3</vt:lpstr>
      <vt:lpstr>CD_3A01500000_4</vt:lpstr>
      <vt:lpstr>CD_3A01500000_5</vt:lpstr>
      <vt:lpstr>CD_3A01600000_1</vt:lpstr>
      <vt:lpstr>CD_3A01600000_2</vt:lpstr>
      <vt:lpstr>CD_3A01600000_3</vt:lpstr>
      <vt:lpstr>CD_3A01600000_4</vt:lpstr>
      <vt:lpstr>CD_3A01600000_5</vt:lpstr>
      <vt:lpstr>CD_3B03500000_1</vt:lpstr>
      <vt:lpstr>CD_3B03500000_2</vt:lpstr>
      <vt:lpstr>CD_3B03500000_3</vt:lpstr>
      <vt:lpstr>CD_3B03500000_4</vt:lpstr>
      <vt:lpstr>CD_3B03500000_5</vt:lpstr>
      <vt:lpstr>CD_3B04500000_1</vt:lpstr>
      <vt:lpstr>CD_3B04500000_2</vt:lpstr>
      <vt:lpstr>CD_3B04500000_3</vt:lpstr>
      <vt:lpstr>CD_3B04500000_4</vt:lpstr>
      <vt:lpstr>CD_3B04500000_5</vt:lpstr>
      <vt:lpstr>CD_3B07000000_1</vt:lpstr>
      <vt:lpstr>CD_3B07000000_2</vt:lpstr>
      <vt:lpstr>CD_3B07000000_3</vt:lpstr>
      <vt:lpstr>CD_3B07000000_4</vt:lpstr>
      <vt:lpstr>CD_3B07000000_5</vt:lpstr>
      <vt:lpstr>CD_3B09000000_1</vt:lpstr>
      <vt:lpstr>CD_3B09000000_2</vt:lpstr>
      <vt:lpstr>CD_3B09000000_3</vt:lpstr>
      <vt:lpstr>CD_3B09000000_4</vt:lpstr>
      <vt:lpstr>CD_3B09000000_5</vt:lpstr>
      <vt:lpstr>CD_3C01500000_1</vt:lpstr>
      <vt:lpstr>CD_3C01500000_2</vt:lpstr>
      <vt:lpstr>CD_3C01500000_3</vt:lpstr>
      <vt:lpstr>CD_3C01500000_4</vt:lpstr>
      <vt:lpstr>CD_3C01500000_5</vt:lpstr>
      <vt:lpstr>CD_3C02000000_1</vt:lpstr>
      <vt:lpstr>CD_3C02000000_2</vt:lpstr>
      <vt:lpstr>CD_3C02000000_3</vt:lpstr>
      <vt:lpstr>CD_3C02000000_4</vt:lpstr>
      <vt:lpstr>CD_3C02000000_5</vt:lpstr>
      <vt:lpstr>CD_3D01000000_1</vt:lpstr>
      <vt:lpstr>CD_3D01000000_2</vt:lpstr>
      <vt:lpstr>CD_3D01000000_3</vt:lpstr>
      <vt:lpstr>CD_3D01000000_4</vt:lpstr>
      <vt:lpstr>CD_3D01000000_5</vt:lpstr>
      <vt:lpstr>CD_3D04500000_1</vt:lpstr>
      <vt:lpstr>CD_3D04500000_2</vt:lpstr>
      <vt:lpstr>CD_3D04500000_3</vt:lpstr>
      <vt:lpstr>CD_3D04500000_4</vt:lpstr>
      <vt:lpstr>CD_3D04500000_5</vt:lpstr>
      <vt:lpstr>CD_3F01500000_1</vt:lpstr>
      <vt:lpstr>CD_3F01500000_2</vt:lpstr>
      <vt:lpstr>CD_3F01500000_3</vt:lpstr>
      <vt:lpstr>CD_3F01500000_4</vt:lpstr>
      <vt:lpstr>CD_3F01500000_5</vt:lpstr>
      <vt:lpstr>CD_3F05000000_1</vt:lpstr>
      <vt:lpstr>CD_3F05000000_2</vt:lpstr>
      <vt:lpstr>CD_3F05000000_3</vt:lpstr>
      <vt:lpstr>CD_3F05000000_4</vt:lpstr>
      <vt:lpstr>CD_3F05000000_5</vt:lpstr>
      <vt:lpstr>CD_3F07000000_1</vt:lpstr>
      <vt:lpstr>CD_3F07000000_2</vt:lpstr>
      <vt:lpstr>CD_3F07000000_3</vt:lpstr>
      <vt:lpstr>CD_3F07000000_4</vt:lpstr>
      <vt:lpstr>CD_3F07000000_5</vt:lpstr>
      <vt:lpstr>CD_3F07700000_1</vt:lpstr>
      <vt:lpstr>CD_3F07700000_2</vt:lpstr>
      <vt:lpstr>CD_3F07700000_3</vt:lpstr>
      <vt:lpstr>CD_3F07700000_4</vt:lpstr>
      <vt:lpstr>CD_3F07700000_5</vt:lpstr>
      <vt:lpstr>CD_3J01000000_1</vt:lpstr>
      <vt:lpstr>CD_3J01000000_2</vt:lpstr>
      <vt:lpstr>CD_3J01000000_3</vt:lpstr>
      <vt:lpstr>CD_3J01000000_4</vt:lpstr>
      <vt:lpstr>CD_3J01000000_5</vt:lpstr>
      <vt:lpstr>CD_8A06500000_1</vt:lpstr>
      <vt:lpstr>CD_8A06500000_2</vt:lpstr>
      <vt:lpstr>CD_8A06500000_3</vt:lpstr>
      <vt:lpstr>CD_8A06500000_4</vt:lpstr>
      <vt:lpstr>CD_8A06500000_5</vt:lpstr>
      <vt:lpstr>CD_9A75100000_1</vt:lpstr>
      <vt:lpstr>CD_9A75100000_2</vt:lpstr>
      <vt:lpstr>CD_9A75100000_3</vt:lpstr>
      <vt:lpstr>CD_9A75100000_4</vt:lpstr>
      <vt:lpstr>CD_9A75100000_5</vt:lpstr>
      <vt:lpstr>CD_9A76100000_1</vt:lpstr>
      <vt:lpstr>CD_9A76100000_2</vt:lpstr>
      <vt:lpstr>CD_9A76100000_3</vt:lpstr>
      <vt:lpstr>CD_9A76100000_4</vt:lpstr>
      <vt:lpstr>CD_9A76100000_5</vt:lpstr>
      <vt:lpstr>CD_9N00100000_1</vt:lpstr>
      <vt:lpstr>CD_9N00100000_2</vt:lpstr>
      <vt:lpstr>CD_9N00100000_3</vt:lpstr>
      <vt:lpstr>CD_9N00100000_4</vt:lpstr>
      <vt:lpstr>CD_9N00100000_5</vt:lpstr>
      <vt:lpstr>CD_9N00600000_1</vt:lpstr>
      <vt:lpstr>CD_9N00600000_2</vt:lpstr>
      <vt:lpstr>CD_9N00600000_3</vt:lpstr>
      <vt:lpstr>CD_9N00600000_4</vt:lpstr>
      <vt:lpstr>CD_9N00600000_5</vt:lpstr>
      <vt:lpstr>CD_9N01100000_1</vt:lpstr>
      <vt:lpstr>CD_9N01100000_2</vt:lpstr>
      <vt:lpstr>CD_9N01100000_3</vt:lpstr>
      <vt:lpstr>CD_9N01100000_4</vt:lpstr>
      <vt:lpstr>CD_9N01100000_5</vt:lpstr>
      <vt:lpstr>CD_9N01616010_1</vt:lpstr>
      <vt:lpstr>CD_9N01616010_2</vt:lpstr>
      <vt:lpstr>CD_9N01616010_3</vt:lpstr>
      <vt:lpstr>CD_9N01616010_4</vt:lpstr>
      <vt:lpstr>CD_9N01616010_5</vt:lpstr>
      <vt:lpstr>CD_9N02600000_1</vt:lpstr>
      <vt:lpstr>CD_9N02600000_2</vt:lpstr>
      <vt:lpstr>CD_9N02600000_3</vt:lpstr>
      <vt:lpstr>CD_9N02600000_4</vt:lpstr>
      <vt:lpstr>CD_9N02600000_5</vt:lpstr>
      <vt:lpstr>CD_IJO1A01000000_1</vt:lpstr>
      <vt:lpstr>CD_IJO1A01000000_2</vt:lpstr>
      <vt:lpstr>CD_IJO1A01000000_3</vt:lpstr>
      <vt:lpstr>CD_IJO1A01000000_4</vt:lpstr>
      <vt:lpstr>CD_IJO1A01000000_5</vt:lpstr>
      <vt:lpstr>CD_IJO1A02000000_1</vt:lpstr>
      <vt:lpstr>CD_IJO1A02000000_2</vt:lpstr>
      <vt:lpstr>CD_IJO1A02000000_3</vt:lpstr>
      <vt:lpstr>CD_IJO1A02000000_4</vt:lpstr>
      <vt:lpstr>CD_IJO1A02000000_5</vt:lpstr>
      <vt:lpstr>CD_IJO1A10000000_1</vt:lpstr>
      <vt:lpstr>CD_IJO1A10000000_2</vt:lpstr>
      <vt:lpstr>CD_IJO1A10000000_3</vt:lpstr>
      <vt:lpstr>CD_IJO1A10000000_4</vt:lpstr>
      <vt:lpstr>CD_IJO1A10000000_5</vt:lpstr>
      <vt:lpstr>CD_IJO2A01000000_1</vt:lpstr>
      <vt:lpstr>CD_IJO2A01000000_2</vt:lpstr>
      <vt:lpstr>CD_IJO2A01000000_3</vt:lpstr>
      <vt:lpstr>CD_IJO2A01000000_4</vt:lpstr>
      <vt:lpstr>CD_IJO2A01000000_5</vt:lpstr>
      <vt:lpstr>CD_IJO2A02000000_1</vt:lpstr>
      <vt:lpstr>CD_IJO2A02000000_2</vt:lpstr>
      <vt:lpstr>CD_IJO2A02000000_3</vt:lpstr>
      <vt:lpstr>CD_IJO2A02000000_4</vt:lpstr>
      <vt:lpstr>CD_IJO2A02000000_5</vt:lpstr>
      <vt:lpstr>CD_IJO2A03000000_1</vt:lpstr>
      <vt:lpstr>CD_IJO2A03000000_2</vt:lpstr>
      <vt:lpstr>CD_IJO2A03000000_3</vt:lpstr>
      <vt:lpstr>CD_IJO2A03000000_4</vt:lpstr>
      <vt:lpstr>CD_IJO2A03000000_5</vt:lpstr>
      <vt:lpstr>CD_IJO2A04000000_1</vt:lpstr>
      <vt:lpstr>CD_IJO2A04000000_2</vt:lpstr>
      <vt:lpstr>CD_IJO2A04000000_3</vt:lpstr>
      <vt:lpstr>CD_IJO2A04000000_4</vt:lpstr>
      <vt:lpstr>CD_IJO2A04000000_5</vt:lpstr>
      <vt:lpstr>CD_IJO2A05000000_1</vt:lpstr>
      <vt:lpstr>CD_IJO2A05000000_2</vt:lpstr>
      <vt:lpstr>CD_IJO2A05000000_3</vt:lpstr>
      <vt:lpstr>CD_IJO2A05000000_4</vt:lpstr>
      <vt:lpstr>CD_IJO2A05000000_5</vt:lpstr>
      <vt:lpstr>CD_IJO3A01000000_1</vt:lpstr>
      <vt:lpstr>CD_IJO3A01000000_2</vt:lpstr>
      <vt:lpstr>CD_IJO3A01000000_3</vt:lpstr>
      <vt:lpstr>CD_IJO3A01000000_4</vt:lpstr>
      <vt:lpstr>CD_IJO3A01000000_5</vt:lpstr>
      <vt:lpstr>CD_IJO3A01500000_1</vt:lpstr>
      <vt:lpstr>CD_IJO3A01500000_2</vt:lpstr>
      <vt:lpstr>CD_IJO3A01500000_3</vt:lpstr>
      <vt:lpstr>CD_IJO3A01500000_4</vt:lpstr>
      <vt:lpstr>CD_IJO3A01500000_5</vt:lpstr>
      <vt:lpstr>CD_IJO3A01600000_1</vt:lpstr>
      <vt:lpstr>CD_IJO3A01600000_2</vt:lpstr>
      <vt:lpstr>CD_IJO3A01600000_3</vt:lpstr>
      <vt:lpstr>CD_IJO3A01600000_4</vt:lpstr>
      <vt:lpstr>CD_IJO3A01600000_5</vt:lpstr>
      <vt:lpstr>CD_IJO3B03500000_1</vt:lpstr>
      <vt:lpstr>CD_IJO3B03500000_2</vt:lpstr>
      <vt:lpstr>CD_IJO3B03500000_3</vt:lpstr>
      <vt:lpstr>CD_IJO3B03500000_4</vt:lpstr>
      <vt:lpstr>CD_IJO3B03500000_5</vt:lpstr>
      <vt:lpstr>CD_IJO3B04500000_1</vt:lpstr>
      <vt:lpstr>CD_IJO3B04500000_2</vt:lpstr>
      <vt:lpstr>CD_IJO3B04500000_3</vt:lpstr>
      <vt:lpstr>CD_IJO3B04500000_4</vt:lpstr>
      <vt:lpstr>CD_IJO3B04500000_5</vt:lpstr>
      <vt:lpstr>CD_IJO3B07000000_1</vt:lpstr>
      <vt:lpstr>CD_IJO3B07000000_2</vt:lpstr>
      <vt:lpstr>CD_IJO3B07000000_3</vt:lpstr>
      <vt:lpstr>CD_IJO3B07000000_4</vt:lpstr>
      <vt:lpstr>CD_IJO3B07000000_5</vt:lpstr>
      <vt:lpstr>CD_IJO3B09000000_1</vt:lpstr>
      <vt:lpstr>CD_IJO3B09000000_2</vt:lpstr>
      <vt:lpstr>CD_IJO3B09000000_3</vt:lpstr>
      <vt:lpstr>CD_IJO3B09000000_4</vt:lpstr>
      <vt:lpstr>CD_IJO3B09000000_5</vt:lpstr>
      <vt:lpstr>CD_IJO3C01500000_1</vt:lpstr>
      <vt:lpstr>CD_IJO3C01500000_2</vt:lpstr>
      <vt:lpstr>CD_IJO3C01500000_3</vt:lpstr>
      <vt:lpstr>CD_IJO3C01500000_4</vt:lpstr>
      <vt:lpstr>CD_IJO3C01500000_5</vt:lpstr>
      <vt:lpstr>CD_IJO3C02000000_1</vt:lpstr>
      <vt:lpstr>CD_IJO3C02000000_2</vt:lpstr>
      <vt:lpstr>CD_IJO3C02000000_3</vt:lpstr>
      <vt:lpstr>CD_IJO3C02000000_4</vt:lpstr>
      <vt:lpstr>CD_IJO3C02000000_5</vt:lpstr>
      <vt:lpstr>CD_IJO3D01000000_1</vt:lpstr>
      <vt:lpstr>CD_IJO3D01000000_2</vt:lpstr>
      <vt:lpstr>CD_IJO3D01000000_3</vt:lpstr>
      <vt:lpstr>CD_IJO3D01000000_4</vt:lpstr>
      <vt:lpstr>CD_IJO3D01000000_5</vt:lpstr>
      <vt:lpstr>CD_IJO3D04500000_1</vt:lpstr>
      <vt:lpstr>CD_IJO3D04500000_2</vt:lpstr>
      <vt:lpstr>CD_IJO3D04500000_3</vt:lpstr>
      <vt:lpstr>CD_IJO3D04500000_4</vt:lpstr>
      <vt:lpstr>CD_IJO3D04500000_5</vt:lpstr>
      <vt:lpstr>CD_IJO3F01500000_1</vt:lpstr>
      <vt:lpstr>CD_IJO3F01500000_2</vt:lpstr>
      <vt:lpstr>CD_IJO3F01500000_3</vt:lpstr>
      <vt:lpstr>CD_IJO3F01500000_4</vt:lpstr>
      <vt:lpstr>CD_IJO3F01500000_5</vt:lpstr>
      <vt:lpstr>CD_IJO3F05000000_1</vt:lpstr>
      <vt:lpstr>CD_IJO3F05000000_2</vt:lpstr>
      <vt:lpstr>CD_IJO3F05000000_3</vt:lpstr>
      <vt:lpstr>CD_IJO3F05000000_4</vt:lpstr>
      <vt:lpstr>CD_IJO3F05000000_5</vt:lpstr>
      <vt:lpstr>CD_IJO3F07000000_1</vt:lpstr>
      <vt:lpstr>CD_IJO3F07000000_2</vt:lpstr>
      <vt:lpstr>CD_IJO3F07000000_3</vt:lpstr>
      <vt:lpstr>CD_IJO3F07000000_4</vt:lpstr>
      <vt:lpstr>CD_IJO3F07000000_5</vt:lpstr>
      <vt:lpstr>CD_IJO3F07700000_1</vt:lpstr>
      <vt:lpstr>CD_IJO3F07700000_2</vt:lpstr>
      <vt:lpstr>CD_IJO3F07700000_3</vt:lpstr>
      <vt:lpstr>CD_IJO3F07700000_4</vt:lpstr>
      <vt:lpstr>CD_IJO3F07700000_5</vt:lpstr>
      <vt:lpstr>CD_IJO3J01000000_1</vt:lpstr>
      <vt:lpstr>CD_IJO3J01000000_2</vt:lpstr>
      <vt:lpstr>CD_IJO3J01000000_3</vt:lpstr>
      <vt:lpstr>CD_IJO3J01000000_4</vt:lpstr>
      <vt:lpstr>CD_IJO3J01000000_5</vt:lpstr>
      <vt:lpstr>CD_IJO8A06500000_1</vt:lpstr>
      <vt:lpstr>CD_IJO8A06500000_2</vt:lpstr>
      <vt:lpstr>CD_IJO8A06500000_3</vt:lpstr>
      <vt:lpstr>CD_IJO8A06500000_4</vt:lpstr>
      <vt:lpstr>CD_IJO8A06500000_5</vt:lpstr>
      <vt:lpstr>CD_IJO9A75100000_1</vt:lpstr>
      <vt:lpstr>CD_IJO9A75100000_2</vt:lpstr>
      <vt:lpstr>CD_IJO9A75100000_3</vt:lpstr>
      <vt:lpstr>CD_IJO9A75100000_4</vt:lpstr>
      <vt:lpstr>CD_IJO9A75100000_5</vt:lpstr>
      <vt:lpstr>CD_IJO9A76100000_1</vt:lpstr>
      <vt:lpstr>CD_IJO9A76100000_2</vt:lpstr>
      <vt:lpstr>CD_IJO9A76100000_3</vt:lpstr>
      <vt:lpstr>CD_IJO9A76100000_4</vt:lpstr>
      <vt:lpstr>CD_IJO9A76100000_5</vt:lpstr>
      <vt:lpstr>CD_IJO9N00100000_1</vt:lpstr>
      <vt:lpstr>CD_IJO9N00100000_2</vt:lpstr>
      <vt:lpstr>CD_IJO9N00100000_3</vt:lpstr>
      <vt:lpstr>CD_IJO9N00100000_4</vt:lpstr>
      <vt:lpstr>CD_IJO9N00100000_5</vt:lpstr>
      <vt:lpstr>CD_IJO9N00600000_1</vt:lpstr>
      <vt:lpstr>CD_IJO9N00600000_2</vt:lpstr>
      <vt:lpstr>CD_IJO9N00600000_3</vt:lpstr>
      <vt:lpstr>CD_IJO9N00600000_4</vt:lpstr>
      <vt:lpstr>CD_IJO9N00600000_5</vt:lpstr>
      <vt:lpstr>CD_IJO9N01100000_1</vt:lpstr>
      <vt:lpstr>CD_IJO9N01100000_2</vt:lpstr>
      <vt:lpstr>CD_IJO9N01100000_3</vt:lpstr>
      <vt:lpstr>CD_IJO9N01100000_4</vt:lpstr>
      <vt:lpstr>CD_IJO9N01100000_5</vt:lpstr>
      <vt:lpstr>CD_IJO9N01616010_1</vt:lpstr>
      <vt:lpstr>CD_IJO9N01616010_2</vt:lpstr>
      <vt:lpstr>CD_IJO9N01616010_3</vt:lpstr>
      <vt:lpstr>CD_IJO9N01616010_4</vt:lpstr>
      <vt:lpstr>CD_IJO9N01616010_5</vt:lpstr>
      <vt:lpstr>CD_IJO9N02600000_1</vt:lpstr>
      <vt:lpstr>CD_IJO9N02600000_2</vt:lpstr>
      <vt:lpstr>CD_IJO9N02600000_3</vt:lpstr>
      <vt:lpstr>CD_IJO9N02600000_4</vt:lpstr>
      <vt:lpstr>CD_IJO9N02600000_5</vt:lpstr>
      <vt:lpstr>CD_IJOZ000200000_1</vt:lpstr>
      <vt:lpstr>CD_IJOZ000200000_2</vt:lpstr>
      <vt:lpstr>CD_IJOZ000200000_3</vt:lpstr>
      <vt:lpstr>CD_IJOZ000200000_4</vt:lpstr>
      <vt:lpstr>CD_IJOZ000200000_5</vt:lpstr>
      <vt:lpstr>CD_IJOZ000300000_1</vt:lpstr>
      <vt:lpstr>CD_IJOZ000300000_2</vt:lpstr>
      <vt:lpstr>CD_IJOZ000300000_3</vt:lpstr>
      <vt:lpstr>CD_IJOZ000300000_4</vt:lpstr>
      <vt:lpstr>CD_IJOZ000300000_5</vt:lpstr>
      <vt:lpstr>CD_IJOZ000400000_1</vt:lpstr>
      <vt:lpstr>CD_IJOZ000400000_2</vt:lpstr>
      <vt:lpstr>CD_IJOZ000400000_3</vt:lpstr>
      <vt:lpstr>CD_IJOZ000400000_4</vt:lpstr>
      <vt:lpstr>CD_IJOZ000400000_5</vt:lpstr>
      <vt:lpstr>CD_IJOZ000800000_1</vt:lpstr>
      <vt:lpstr>CD_IJOZ000800000_2</vt:lpstr>
      <vt:lpstr>CD_IJOZ000800000_3</vt:lpstr>
      <vt:lpstr>CD_IJOZ000800000_4</vt:lpstr>
      <vt:lpstr>CD_IJOZ000800000_5</vt:lpstr>
      <vt:lpstr>CD_IJOZ001000000_1</vt:lpstr>
      <vt:lpstr>CD_IJOZ001000000_2</vt:lpstr>
      <vt:lpstr>CD_IJOZ001000000_3</vt:lpstr>
      <vt:lpstr>CD_IJOZ001000000_4</vt:lpstr>
      <vt:lpstr>CD_IJOZ001000000_5</vt:lpstr>
      <vt:lpstr>CD_IJOZ001100000_1</vt:lpstr>
      <vt:lpstr>CD_IJOZ001100000_2</vt:lpstr>
      <vt:lpstr>CD_IJOZ001100000_3</vt:lpstr>
      <vt:lpstr>CD_IJOZ001100000_4</vt:lpstr>
      <vt:lpstr>CD_IJOZ001100000_5</vt:lpstr>
      <vt:lpstr>CD_IJOZ001200000_1</vt:lpstr>
      <vt:lpstr>CD_IJOZ001200000_2</vt:lpstr>
      <vt:lpstr>CD_IJOZ001200000_3</vt:lpstr>
      <vt:lpstr>CD_IJOZ001200000_4</vt:lpstr>
      <vt:lpstr>CD_IJOZ001200000_5</vt:lpstr>
      <vt:lpstr>CD_IJOZ001300000_1</vt:lpstr>
      <vt:lpstr>CD_IJOZ001300000_2</vt:lpstr>
      <vt:lpstr>CD_IJOZ001300000_3</vt:lpstr>
      <vt:lpstr>CD_IJOZ001300000_4</vt:lpstr>
      <vt:lpstr>CD_IJOZ001300000_5</vt:lpstr>
      <vt:lpstr>CD_IJOZ001400000_1</vt:lpstr>
      <vt:lpstr>CD_IJOZ001400000_2</vt:lpstr>
      <vt:lpstr>CD_IJOZ001400000_3</vt:lpstr>
      <vt:lpstr>CD_IJOZ001400000_4</vt:lpstr>
      <vt:lpstr>CD_IJOZ001400000_5</vt:lpstr>
      <vt:lpstr>CD_IJOZ001600000_1</vt:lpstr>
      <vt:lpstr>CD_IJOZ001600000_2</vt:lpstr>
      <vt:lpstr>CD_IJOZ001600000_3</vt:lpstr>
      <vt:lpstr>CD_IJOZ001600000_4</vt:lpstr>
      <vt:lpstr>CD_IJOZ001600000_5</vt:lpstr>
      <vt:lpstr>CD_IJOZ001800000_1</vt:lpstr>
      <vt:lpstr>CD_IJOZ001800000_2</vt:lpstr>
      <vt:lpstr>CD_IJOZ001800000_3</vt:lpstr>
      <vt:lpstr>CD_IJOZ001800000_4</vt:lpstr>
      <vt:lpstr>CD_IJOZ001800000_5</vt:lpstr>
      <vt:lpstr>CD_IJOZ001900000_1</vt:lpstr>
      <vt:lpstr>CD_IJOZ001900000_2</vt:lpstr>
      <vt:lpstr>CD_IJOZ001900000_3</vt:lpstr>
      <vt:lpstr>CD_IJOZ001900000_4</vt:lpstr>
      <vt:lpstr>CD_IJOZ001900000_5</vt:lpstr>
      <vt:lpstr>CD_IJOZ002000000_1</vt:lpstr>
      <vt:lpstr>CD_IJOZ002000000_2</vt:lpstr>
      <vt:lpstr>CD_IJOZ002000000_3</vt:lpstr>
      <vt:lpstr>CD_IJOZ002000000_4</vt:lpstr>
      <vt:lpstr>CD_IJOZ002000000_5</vt:lpstr>
      <vt:lpstr>CD_IJOZ002100000_1</vt:lpstr>
      <vt:lpstr>CD_IJOZ002100000_2</vt:lpstr>
      <vt:lpstr>CD_IJOZ002100000_3</vt:lpstr>
      <vt:lpstr>CD_IJOZ002100000_4</vt:lpstr>
      <vt:lpstr>CD_IJOZ002100000_5</vt:lpstr>
      <vt:lpstr>CD_IJOZ002300000_1</vt:lpstr>
      <vt:lpstr>CD_IJOZ002300000_2</vt:lpstr>
      <vt:lpstr>CD_IJOZ002300000_3</vt:lpstr>
      <vt:lpstr>CD_IJOZ002300000_4</vt:lpstr>
      <vt:lpstr>CD_IJOZ002300000_5</vt:lpstr>
      <vt:lpstr>CD_IJOZ002400000_1</vt:lpstr>
      <vt:lpstr>CD_IJOZ002400000_2</vt:lpstr>
      <vt:lpstr>CD_IJOZ002400000_3</vt:lpstr>
      <vt:lpstr>CD_IJOZ002400000_4</vt:lpstr>
      <vt:lpstr>CD_IJOZ002400000_5</vt:lpstr>
      <vt:lpstr>CD_IJOZ002500000_1</vt:lpstr>
      <vt:lpstr>CD_IJOZ002500000_2</vt:lpstr>
      <vt:lpstr>CD_IJOZ002500000_3</vt:lpstr>
      <vt:lpstr>CD_IJOZ002500000_4</vt:lpstr>
      <vt:lpstr>CD_IJOZ002500000_5</vt:lpstr>
      <vt:lpstr>CD_IJOZ002800000_1</vt:lpstr>
      <vt:lpstr>CD_IJOZ002800000_2</vt:lpstr>
      <vt:lpstr>CD_IJOZ002800000_3</vt:lpstr>
      <vt:lpstr>CD_IJOZ002800000_4</vt:lpstr>
      <vt:lpstr>CD_IJOZ002800000_5</vt:lpstr>
      <vt:lpstr>CD_IJOZ002900000_1</vt:lpstr>
      <vt:lpstr>CD_IJOZ002900000_2</vt:lpstr>
      <vt:lpstr>CD_IJOZ002900000_3</vt:lpstr>
      <vt:lpstr>CD_IJOZ002900000_4</vt:lpstr>
      <vt:lpstr>CD_IJOZ002900000_5</vt:lpstr>
      <vt:lpstr>CD_IJOZ003000000_1</vt:lpstr>
      <vt:lpstr>CD_IJOZ003000000_2</vt:lpstr>
      <vt:lpstr>CD_IJOZ003000000_3</vt:lpstr>
      <vt:lpstr>CD_IJOZ003000000_4</vt:lpstr>
      <vt:lpstr>CD_IJOZ003000000_5</vt:lpstr>
      <vt:lpstr>CD_IJOZ003300000_1</vt:lpstr>
      <vt:lpstr>CD_IJOZ003300000_2</vt:lpstr>
      <vt:lpstr>CD_IJOZ003300000_3</vt:lpstr>
      <vt:lpstr>CD_IJOZ003300000_4</vt:lpstr>
      <vt:lpstr>CD_IJOZ003300000_5</vt:lpstr>
      <vt:lpstr>CD_IJOZ003500000_1</vt:lpstr>
      <vt:lpstr>CD_IJOZ003500000_2</vt:lpstr>
      <vt:lpstr>CD_IJOZ003500000_3</vt:lpstr>
      <vt:lpstr>CD_IJOZ003500000_4</vt:lpstr>
      <vt:lpstr>CD_IJOZ003500000_5</vt:lpstr>
      <vt:lpstr>CD_IJOZ006800000_1</vt:lpstr>
      <vt:lpstr>CD_IJOZ006800000_2</vt:lpstr>
      <vt:lpstr>CD_IJOZ006800000_3</vt:lpstr>
      <vt:lpstr>CD_IJOZ006800000_4</vt:lpstr>
      <vt:lpstr>CD_IJOZ006800000_5</vt:lpstr>
      <vt:lpstr>CD_IJOZ006900000_1</vt:lpstr>
      <vt:lpstr>CD_IJOZ006900000_2</vt:lpstr>
      <vt:lpstr>CD_IJOZ006900000_3</vt:lpstr>
      <vt:lpstr>CD_IJOZ006900000_4</vt:lpstr>
      <vt:lpstr>CD_IJOZ006900000_5</vt:lpstr>
      <vt:lpstr>CD_IJOZ007000000_1</vt:lpstr>
      <vt:lpstr>CD_IJOZ007000000_2</vt:lpstr>
      <vt:lpstr>CD_IJOZ007000000_3</vt:lpstr>
      <vt:lpstr>CD_IJOZ007000000_4</vt:lpstr>
      <vt:lpstr>CD_IJOZ007000000_5</vt:lpstr>
      <vt:lpstr>CD_IJOZ029700000_1</vt:lpstr>
      <vt:lpstr>CD_IJOZ029700000_2</vt:lpstr>
      <vt:lpstr>CD_IJOZ029700000_3</vt:lpstr>
      <vt:lpstr>CD_IJOZ029700000_4</vt:lpstr>
      <vt:lpstr>CD_IJOZ029700000_5</vt:lpstr>
      <vt:lpstr>CD_Z000200000_1</vt:lpstr>
      <vt:lpstr>CD_Z000200000_2</vt:lpstr>
      <vt:lpstr>CD_Z000200000_3</vt:lpstr>
      <vt:lpstr>CD_Z000200000_4</vt:lpstr>
      <vt:lpstr>CD_Z000200000_5</vt:lpstr>
      <vt:lpstr>CD_Z000300000_1</vt:lpstr>
      <vt:lpstr>CD_Z000300000_2</vt:lpstr>
      <vt:lpstr>CD_Z000300000_3</vt:lpstr>
      <vt:lpstr>CD_Z000300000_4</vt:lpstr>
      <vt:lpstr>CD_Z000300000_5</vt:lpstr>
      <vt:lpstr>CD_Z000400000_1</vt:lpstr>
      <vt:lpstr>CD_Z000400000_2</vt:lpstr>
      <vt:lpstr>CD_Z000400000_3</vt:lpstr>
      <vt:lpstr>CD_Z000400000_4</vt:lpstr>
      <vt:lpstr>CD_Z000400000_5</vt:lpstr>
      <vt:lpstr>CD_Z000800000_1</vt:lpstr>
      <vt:lpstr>CD_Z000800000_2</vt:lpstr>
      <vt:lpstr>CD_Z000800000_3</vt:lpstr>
      <vt:lpstr>CD_Z000800000_4</vt:lpstr>
      <vt:lpstr>CD_Z000800000_5</vt:lpstr>
      <vt:lpstr>CD_Z001000000_1</vt:lpstr>
      <vt:lpstr>CD_Z001000000_2</vt:lpstr>
      <vt:lpstr>CD_Z001000000_3</vt:lpstr>
      <vt:lpstr>CD_Z001000000_4</vt:lpstr>
      <vt:lpstr>CD_Z001000000_5</vt:lpstr>
      <vt:lpstr>CD_Z001100000_1</vt:lpstr>
      <vt:lpstr>CD_Z001100000_2</vt:lpstr>
      <vt:lpstr>CD_Z001100000_3</vt:lpstr>
      <vt:lpstr>CD_Z001100000_4</vt:lpstr>
      <vt:lpstr>CD_Z001100000_5</vt:lpstr>
      <vt:lpstr>CD_Z001200000_1</vt:lpstr>
      <vt:lpstr>CD_Z001200000_2</vt:lpstr>
      <vt:lpstr>CD_Z001200000_3</vt:lpstr>
      <vt:lpstr>CD_Z001200000_4</vt:lpstr>
      <vt:lpstr>CD_Z001200000_5</vt:lpstr>
      <vt:lpstr>CD_Z001300000_1</vt:lpstr>
      <vt:lpstr>CD_Z001300000_2</vt:lpstr>
      <vt:lpstr>CD_Z001300000_3</vt:lpstr>
      <vt:lpstr>CD_Z001300000_4</vt:lpstr>
      <vt:lpstr>CD_Z001300000_5</vt:lpstr>
      <vt:lpstr>CD_Z001400000_1</vt:lpstr>
      <vt:lpstr>CD_Z001400000_2</vt:lpstr>
      <vt:lpstr>CD_Z001400000_3</vt:lpstr>
      <vt:lpstr>CD_Z001400000_4</vt:lpstr>
      <vt:lpstr>CD_Z001400000_5</vt:lpstr>
      <vt:lpstr>CD_Z001600000_1</vt:lpstr>
      <vt:lpstr>CD_Z001600000_2</vt:lpstr>
      <vt:lpstr>CD_Z001600000_3</vt:lpstr>
      <vt:lpstr>CD_Z001600000_4</vt:lpstr>
      <vt:lpstr>CD_Z001600000_5</vt:lpstr>
      <vt:lpstr>CD_Z001800000_1</vt:lpstr>
      <vt:lpstr>CD_Z001800000_2</vt:lpstr>
      <vt:lpstr>CD_Z001800000_3</vt:lpstr>
      <vt:lpstr>CD_Z001800000_4</vt:lpstr>
      <vt:lpstr>CD_Z001800000_5</vt:lpstr>
      <vt:lpstr>CD_Z001900000_1</vt:lpstr>
      <vt:lpstr>CD_Z001900000_2</vt:lpstr>
      <vt:lpstr>CD_Z001900000_3</vt:lpstr>
      <vt:lpstr>CD_Z001900000_4</vt:lpstr>
      <vt:lpstr>CD_Z001900000_5</vt:lpstr>
      <vt:lpstr>CD_Z002000000_1</vt:lpstr>
      <vt:lpstr>CD_Z002000000_2</vt:lpstr>
      <vt:lpstr>CD_Z002000000_3</vt:lpstr>
      <vt:lpstr>CD_Z002000000_4</vt:lpstr>
      <vt:lpstr>CD_Z002000000_5</vt:lpstr>
      <vt:lpstr>CD_Z002100000_1</vt:lpstr>
      <vt:lpstr>CD_Z002100000_2</vt:lpstr>
      <vt:lpstr>CD_Z002100000_3</vt:lpstr>
      <vt:lpstr>CD_Z002100000_4</vt:lpstr>
      <vt:lpstr>CD_Z002100000_5</vt:lpstr>
      <vt:lpstr>CD_Z002300000_1</vt:lpstr>
      <vt:lpstr>CD_Z002300000_2</vt:lpstr>
      <vt:lpstr>CD_Z002300000_3</vt:lpstr>
      <vt:lpstr>CD_Z002300000_4</vt:lpstr>
      <vt:lpstr>CD_Z002300000_5</vt:lpstr>
      <vt:lpstr>CD_Z002400000_1</vt:lpstr>
      <vt:lpstr>CD_Z002400000_2</vt:lpstr>
      <vt:lpstr>CD_Z002400000_3</vt:lpstr>
      <vt:lpstr>CD_Z002400000_4</vt:lpstr>
      <vt:lpstr>CD_Z002400000_5</vt:lpstr>
      <vt:lpstr>CD_Z002500000_1</vt:lpstr>
      <vt:lpstr>CD_Z002500000_2</vt:lpstr>
      <vt:lpstr>CD_Z002500000_3</vt:lpstr>
      <vt:lpstr>CD_Z002500000_4</vt:lpstr>
      <vt:lpstr>CD_Z002500000_5</vt:lpstr>
      <vt:lpstr>CD_Z002800000_1</vt:lpstr>
      <vt:lpstr>CD_Z002800000_2</vt:lpstr>
      <vt:lpstr>CD_Z002800000_3</vt:lpstr>
      <vt:lpstr>CD_Z002800000_4</vt:lpstr>
      <vt:lpstr>CD_Z002800000_5</vt:lpstr>
      <vt:lpstr>CD_Z002900000_1</vt:lpstr>
      <vt:lpstr>CD_Z002900000_2</vt:lpstr>
      <vt:lpstr>CD_Z002900000_3</vt:lpstr>
      <vt:lpstr>CD_Z002900000_4</vt:lpstr>
      <vt:lpstr>CD_Z002900000_5</vt:lpstr>
      <vt:lpstr>CD_Z003000000_1</vt:lpstr>
      <vt:lpstr>CD_Z003000000_2</vt:lpstr>
      <vt:lpstr>CD_Z003000000_3</vt:lpstr>
      <vt:lpstr>CD_Z003000000_4</vt:lpstr>
      <vt:lpstr>CD_Z003000000_5</vt:lpstr>
      <vt:lpstr>CD_Z003300000_1</vt:lpstr>
      <vt:lpstr>CD_Z003300000_2</vt:lpstr>
      <vt:lpstr>CD_Z003300000_3</vt:lpstr>
      <vt:lpstr>CD_Z003300000_4</vt:lpstr>
      <vt:lpstr>CD_Z003300000_5</vt:lpstr>
      <vt:lpstr>CD_Z003500000_1</vt:lpstr>
      <vt:lpstr>CD_Z003500000_2</vt:lpstr>
      <vt:lpstr>CD_Z003500000_3</vt:lpstr>
      <vt:lpstr>CD_Z003500000_4</vt:lpstr>
      <vt:lpstr>CD_Z003500000_5</vt:lpstr>
      <vt:lpstr>CD_Z006800000_1</vt:lpstr>
      <vt:lpstr>CD_Z006800000_2</vt:lpstr>
      <vt:lpstr>CD_Z006800000_3</vt:lpstr>
      <vt:lpstr>CD_Z006800000_4</vt:lpstr>
      <vt:lpstr>CD_Z006800000_5</vt:lpstr>
      <vt:lpstr>CD_Z006900000_1</vt:lpstr>
      <vt:lpstr>CD_Z006900000_2</vt:lpstr>
      <vt:lpstr>CD_Z006900000_3</vt:lpstr>
      <vt:lpstr>CD_Z006900000_4</vt:lpstr>
      <vt:lpstr>CD_Z006900000_5</vt:lpstr>
      <vt:lpstr>CD_Z007000000_1</vt:lpstr>
      <vt:lpstr>CD_Z007000000_2</vt:lpstr>
      <vt:lpstr>CD_Z007000000_3</vt:lpstr>
      <vt:lpstr>CD_Z007000000_4</vt:lpstr>
      <vt:lpstr>CD_Z007000000_5</vt:lpstr>
      <vt:lpstr>CD_Z029700000_1</vt:lpstr>
      <vt:lpstr>CD_Z029700000_2</vt:lpstr>
      <vt:lpstr>CD_Z029700000_3</vt:lpstr>
      <vt:lpstr>CD_Z029700000_4</vt:lpstr>
      <vt:lpstr>CD_Z029700000_5</vt:lpstr>
      <vt:lpstr>CD_肝炎結果B1</vt:lpstr>
      <vt:lpstr>CD_肝炎結果B2</vt:lpstr>
      <vt:lpstr>CD_肝炎結果B3</vt:lpstr>
      <vt:lpstr>CD_肝炎結果B4</vt:lpstr>
      <vt:lpstr>CD_肝炎結果B5</vt:lpstr>
      <vt:lpstr>健康診断個人結果票!Print_Area</vt:lpstr>
      <vt:lpstr>'健康診断個人結果票(VBReport)'!Print_Area</vt:lpstr>
      <vt:lpstr>'健康診断個人結果票（血液・形態）_bak'!Print_Area</vt:lpstr>
      <vt:lpstr>'健康診断個人結果票（封書）'!Print_Area</vt:lpstr>
      <vt:lpstr>その他症状</vt:lpstr>
      <vt:lpstr>タイトル</vt:lpstr>
      <vt:lpstr>タイトル1_健診閲覧コード</vt:lpstr>
      <vt:lpstr>タイトル2_健診閲覧コード</vt:lpstr>
      <vt:lpstr>メタボ判定</vt:lpstr>
      <vt:lpstr>メタボ判定2</vt:lpstr>
      <vt:lpstr>メタボ判定3</vt:lpstr>
      <vt:lpstr>メタボ判定4</vt:lpstr>
      <vt:lpstr>メタボ判定5</vt:lpstr>
      <vt:lpstr>胃機関</vt:lpstr>
      <vt:lpstr>胃結果1</vt:lpstr>
      <vt:lpstr>胃結果2</vt:lpstr>
      <vt:lpstr>胃結果3</vt:lpstr>
      <vt:lpstr>胃結果4</vt:lpstr>
      <vt:lpstr>胃結果5</vt:lpstr>
      <vt:lpstr>胃検査方法1</vt:lpstr>
      <vt:lpstr>胃検査方法2</vt:lpstr>
      <vt:lpstr>胃検査方法3</vt:lpstr>
      <vt:lpstr>胃検査方法4</vt:lpstr>
      <vt:lpstr>胃検査方法5</vt:lpstr>
      <vt:lpstr>胃受診日1</vt:lpstr>
      <vt:lpstr>胃受診日2</vt:lpstr>
      <vt:lpstr>胃受診日3</vt:lpstr>
      <vt:lpstr>胃受診日4</vt:lpstr>
      <vt:lpstr>胃受診日5</vt:lpstr>
      <vt:lpstr>胃番号1</vt:lpstr>
      <vt:lpstr>胃番号2</vt:lpstr>
      <vt:lpstr>胃番号3</vt:lpstr>
      <vt:lpstr>胃番号4</vt:lpstr>
      <vt:lpstr>胃番号5</vt:lpstr>
      <vt:lpstr>肝炎結果B</vt:lpstr>
      <vt:lpstr>肝炎結果C</vt:lpstr>
      <vt:lpstr>肝炎受診日</vt:lpstr>
      <vt:lpstr>結果1</vt:lpstr>
      <vt:lpstr>結果10</vt:lpstr>
      <vt:lpstr>結果11</vt:lpstr>
      <vt:lpstr>結果12</vt:lpstr>
      <vt:lpstr>結果13</vt:lpstr>
      <vt:lpstr>結果14</vt:lpstr>
      <vt:lpstr>結果2</vt:lpstr>
      <vt:lpstr>結果3</vt:lpstr>
      <vt:lpstr>結果4</vt:lpstr>
      <vt:lpstr>結果5</vt:lpstr>
      <vt:lpstr>結果6</vt:lpstr>
      <vt:lpstr>結果7</vt:lpstr>
      <vt:lpstr>結果8</vt:lpstr>
      <vt:lpstr>結果9</vt:lpstr>
      <vt:lpstr>健診閲覧コード_健診閲覧コード</vt:lpstr>
      <vt:lpstr>検診日</vt:lpstr>
      <vt:lpstr>行政区</vt:lpstr>
      <vt:lpstr>行政区_健診閲覧コード</vt:lpstr>
      <vt:lpstr>行政区CD</vt:lpstr>
      <vt:lpstr>行政区CD_健診閲覧コード</vt:lpstr>
      <vt:lpstr>項目1</vt:lpstr>
      <vt:lpstr>項目10</vt:lpstr>
      <vt:lpstr>項目11</vt:lpstr>
      <vt:lpstr>項目12</vt:lpstr>
      <vt:lpstr>項目13</vt:lpstr>
      <vt:lpstr>項目14</vt:lpstr>
      <vt:lpstr>項目15</vt:lpstr>
      <vt:lpstr>項目16</vt:lpstr>
      <vt:lpstr>項目17</vt:lpstr>
      <vt:lpstr>項目18</vt:lpstr>
      <vt:lpstr>項目19</vt:lpstr>
      <vt:lpstr>項目2</vt:lpstr>
      <vt:lpstr>項目20</vt:lpstr>
      <vt:lpstr>項目3</vt:lpstr>
      <vt:lpstr>項目4</vt:lpstr>
      <vt:lpstr>項目5</vt:lpstr>
      <vt:lpstr>項目6</vt:lpstr>
      <vt:lpstr>項目7</vt:lpstr>
      <vt:lpstr>項目8</vt:lpstr>
      <vt:lpstr>項目9</vt:lpstr>
      <vt:lpstr>子宮機関</vt:lpstr>
      <vt:lpstr>子宮結果1</vt:lpstr>
      <vt:lpstr>子宮結果2</vt:lpstr>
      <vt:lpstr>子宮結果3</vt:lpstr>
      <vt:lpstr>子宮結果4</vt:lpstr>
      <vt:lpstr>子宮結果5</vt:lpstr>
      <vt:lpstr>子宮受診日1</vt:lpstr>
      <vt:lpstr>子宮受診日2</vt:lpstr>
      <vt:lpstr>子宮受診日3</vt:lpstr>
      <vt:lpstr>子宮受診日4</vt:lpstr>
      <vt:lpstr>子宮受診日5</vt:lpstr>
      <vt:lpstr>指導及び意見1</vt:lpstr>
      <vt:lpstr>指導及び意見10</vt:lpstr>
      <vt:lpstr>指導及び意見11</vt:lpstr>
      <vt:lpstr>指導及び意見12</vt:lpstr>
      <vt:lpstr>指導及び意見13</vt:lpstr>
      <vt:lpstr>指導及び意見14</vt:lpstr>
      <vt:lpstr>指導及び意見15</vt:lpstr>
      <vt:lpstr>指導及び意見16</vt:lpstr>
      <vt:lpstr>指導及び意見17</vt:lpstr>
      <vt:lpstr>指導及び意見18</vt:lpstr>
      <vt:lpstr>指導及び意見19</vt:lpstr>
      <vt:lpstr>指導及び意見2</vt:lpstr>
      <vt:lpstr>指導及び意見20</vt:lpstr>
      <vt:lpstr>指導及び意見3</vt:lpstr>
      <vt:lpstr>指導及び意見4</vt:lpstr>
      <vt:lpstr>指導及び意見5</vt:lpstr>
      <vt:lpstr>指導及び意見6</vt:lpstr>
      <vt:lpstr>指導及び意見7</vt:lpstr>
      <vt:lpstr>指導及び意見8</vt:lpstr>
      <vt:lpstr>指導及び意見9</vt:lpstr>
      <vt:lpstr>氏名</vt:lpstr>
      <vt:lpstr>氏名_健診閲覧コード</vt:lpstr>
      <vt:lpstr>受診日1</vt:lpstr>
      <vt:lpstr>受診日2</vt:lpstr>
      <vt:lpstr>受診日3</vt:lpstr>
      <vt:lpstr>受診日4</vt:lpstr>
      <vt:lpstr>受診日5</vt:lpstr>
      <vt:lpstr>受診番号</vt:lpstr>
      <vt:lpstr>受診番号_健診閲覧コード</vt:lpstr>
      <vt:lpstr>住所</vt:lpstr>
      <vt:lpstr>住所_健診閲覧コード</vt:lpstr>
      <vt:lpstr>心電図所見1</vt:lpstr>
      <vt:lpstr>心電図所見2</vt:lpstr>
      <vt:lpstr>診断名1</vt:lpstr>
      <vt:lpstr>診断名10</vt:lpstr>
      <vt:lpstr>診断名11</vt:lpstr>
      <vt:lpstr>診断名12</vt:lpstr>
      <vt:lpstr>診断名13</vt:lpstr>
      <vt:lpstr>診断名14</vt:lpstr>
      <vt:lpstr>診断名2</vt:lpstr>
      <vt:lpstr>診断名3</vt:lpstr>
      <vt:lpstr>診断名4</vt:lpstr>
      <vt:lpstr>診断名5</vt:lpstr>
      <vt:lpstr>診断名6</vt:lpstr>
      <vt:lpstr>診断名7</vt:lpstr>
      <vt:lpstr>診断名8</vt:lpstr>
      <vt:lpstr>診断名9</vt:lpstr>
      <vt:lpstr>世帯主氏名</vt:lpstr>
      <vt:lpstr>世帯主氏名_健診閲覧コード</vt:lpstr>
      <vt:lpstr>性別</vt:lpstr>
      <vt:lpstr>性別_健診閲覧コード</vt:lpstr>
      <vt:lpstr>整理番号</vt:lpstr>
      <vt:lpstr>整理番号_健診閲覧コード</vt:lpstr>
      <vt:lpstr>生年月日</vt:lpstr>
      <vt:lpstr>生年月日_健診閲覧コード</vt:lpstr>
      <vt:lpstr>前立腺結果1</vt:lpstr>
      <vt:lpstr>前立腺結果2</vt:lpstr>
      <vt:lpstr>前立腺結果3</vt:lpstr>
      <vt:lpstr>前立腺結果4</vt:lpstr>
      <vt:lpstr>前立腺結果5</vt:lpstr>
      <vt:lpstr>前立腺受診日1</vt:lpstr>
      <vt:lpstr>前立腺受診日2</vt:lpstr>
      <vt:lpstr>前立腺受診日3</vt:lpstr>
      <vt:lpstr>前立腺受診日4</vt:lpstr>
      <vt:lpstr>前立腺受診日5</vt:lpstr>
      <vt:lpstr>組合名</vt:lpstr>
      <vt:lpstr>組合名_健診閲覧コード</vt:lpstr>
      <vt:lpstr>大腸機関</vt:lpstr>
      <vt:lpstr>大腸結果1</vt:lpstr>
      <vt:lpstr>大腸結果2</vt:lpstr>
      <vt:lpstr>大腸結果3</vt:lpstr>
      <vt:lpstr>大腸結果4</vt:lpstr>
      <vt:lpstr>大腸結果5</vt:lpstr>
      <vt:lpstr>大腸受診日1</vt:lpstr>
      <vt:lpstr>大腸受診日2</vt:lpstr>
      <vt:lpstr>大腸受診日3</vt:lpstr>
      <vt:lpstr>大腸受診日4</vt:lpstr>
      <vt:lpstr>大腸受診日5</vt:lpstr>
      <vt:lpstr>大腸所見11</vt:lpstr>
      <vt:lpstr>大腸所見12</vt:lpstr>
      <vt:lpstr>大腸所見13</vt:lpstr>
      <vt:lpstr>大腸所見14</vt:lpstr>
      <vt:lpstr>大腸所見15</vt:lpstr>
      <vt:lpstr>大腸所見21</vt:lpstr>
      <vt:lpstr>大腸所見22</vt:lpstr>
      <vt:lpstr>大腸所見23</vt:lpstr>
      <vt:lpstr>大腸所見24</vt:lpstr>
      <vt:lpstr>大腸所見25</vt:lpstr>
      <vt:lpstr>担当医師</vt:lpstr>
      <vt:lpstr>乳機関</vt:lpstr>
      <vt:lpstr>乳結果1</vt:lpstr>
      <vt:lpstr>乳結果2</vt:lpstr>
      <vt:lpstr>乳結果3</vt:lpstr>
      <vt:lpstr>乳結果4</vt:lpstr>
      <vt:lpstr>乳結果5</vt:lpstr>
      <vt:lpstr>乳受診日1</vt:lpstr>
      <vt:lpstr>乳受診日2</vt:lpstr>
      <vt:lpstr>乳受診日3</vt:lpstr>
      <vt:lpstr>乳受診日4</vt:lpstr>
      <vt:lpstr>乳受診日5</vt:lpstr>
      <vt:lpstr>年度</vt:lpstr>
      <vt:lpstr>年度1</vt:lpstr>
      <vt:lpstr>年度2</vt:lpstr>
      <vt:lpstr>年度3</vt:lpstr>
      <vt:lpstr>年度4</vt:lpstr>
      <vt:lpstr>年度5</vt:lpstr>
      <vt:lpstr>年齢</vt:lpstr>
      <vt:lpstr>年齢_健診閲覧コード</vt:lpstr>
      <vt:lpstr>肺機関</vt:lpstr>
      <vt:lpstr>肺結果1</vt:lpstr>
      <vt:lpstr>肺結果2</vt:lpstr>
      <vt:lpstr>肺結果3</vt:lpstr>
      <vt:lpstr>肺結果4</vt:lpstr>
      <vt:lpstr>肺結果5</vt:lpstr>
      <vt:lpstr>肺受診日1</vt:lpstr>
      <vt:lpstr>肺受診日2</vt:lpstr>
      <vt:lpstr>肺受診日3</vt:lpstr>
      <vt:lpstr>肺受診日4</vt:lpstr>
      <vt:lpstr>肺受診日5</vt:lpstr>
      <vt:lpstr>肺番号1</vt:lpstr>
      <vt:lpstr>肺番号2</vt:lpstr>
      <vt:lpstr>肺番号3</vt:lpstr>
      <vt:lpstr>肺番号4</vt:lpstr>
      <vt:lpstr>肺番号5</vt:lpstr>
      <vt:lpstr>発行年月日</vt:lpstr>
      <vt:lpstr>番号</vt:lpstr>
      <vt:lpstr>文章1</vt:lpstr>
      <vt:lpstr>文章1_健診閲覧コード</vt:lpstr>
      <vt:lpstr>文章10</vt:lpstr>
      <vt:lpstr>文章10_健診閲覧コード</vt:lpstr>
      <vt:lpstr>文章11</vt:lpstr>
      <vt:lpstr>文章11_健診閲覧コード</vt:lpstr>
      <vt:lpstr>文章12</vt:lpstr>
      <vt:lpstr>文章13</vt:lpstr>
      <vt:lpstr>文章14</vt:lpstr>
      <vt:lpstr>文章15</vt:lpstr>
      <vt:lpstr>文章16</vt:lpstr>
      <vt:lpstr>文章17</vt:lpstr>
      <vt:lpstr>文章18</vt:lpstr>
      <vt:lpstr>文章19</vt:lpstr>
      <vt:lpstr>文章2</vt:lpstr>
      <vt:lpstr>文章2_健診閲覧コード</vt:lpstr>
      <vt:lpstr>文章20</vt:lpstr>
      <vt:lpstr>文章21</vt:lpstr>
      <vt:lpstr>文章22</vt:lpstr>
      <vt:lpstr>文章23</vt:lpstr>
      <vt:lpstr>文章24</vt:lpstr>
      <vt:lpstr>文章25</vt:lpstr>
      <vt:lpstr>文章26</vt:lpstr>
      <vt:lpstr>文章27</vt:lpstr>
      <vt:lpstr>文章28</vt:lpstr>
      <vt:lpstr>文章29</vt:lpstr>
      <vt:lpstr>文章3</vt:lpstr>
      <vt:lpstr>文章3_健診閲覧コード</vt:lpstr>
      <vt:lpstr>文章30</vt:lpstr>
      <vt:lpstr>文章31</vt:lpstr>
      <vt:lpstr>文章32</vt:lpstr>
      <vt:lpstr>文章33</vt:lpstr>
      <vt:lpstr>文章34</vt:lpstr>
      <vt:lpstr>文章35</vt:lpstr>
      <vt:lpstr>文章36</vt:lpstr>
      <vt:lpstr>文章37</vt:lpstr>
      <vt:lpstr>文章38</vt:lpstr>
      <vt:lpstr>文章39</vt:lpstr>
      <vt:lpstr>文章4</vt:lpstr>
      <vt:lpstr>文章4_健診閲覧コード</vt:lpstr>
      <vt:lpstr>文章40</vt:lpstr>
      <vt:lpstr>文章41</vt:lpstr>
      <vt:lpstr>文章42</vt:lpstr>
      <vt:lpstr>文章43</vt:lpstr>
      <vt:lpstr>文章44</vt:lpstr>
      <vt:lpstr>文章5</vt:lpstr>
      <vt:lpstr>文章5_健診閲覧コード</vt:lpstr>
      <vt:lpstr>文章6</vt:lpstr>
      <vt:lpstr>文章6_健診閲覧コード</vt:lpstr>
      <vt:lpstr>文章7</vt:lpstr>
      <vt:lpstr>文章7_健診閲覧コード</vt:lpstr>
      <vt:lpstr>文章8</vt:lpstr>
      <vt:lpstr>文章8_健診閲覧コード</vt:lpstr>
      <vt:lpstr>文章9</vt:lpstr>
      <vt:lpstr>文章9_健診閲覧コード</vt:lpstr>
      <vt:lpstr>方書</vt:lpstr>
      <vt:lpstr>方書_健診閲覧コード</vt:lpstr>
      <vt:lpstr>郵便番号</vt:lpstr>
      <vt:lpstr>郵便番号_健診閲覧コード</vt:lpstr>
      <vt:lpstr>喀痰結果1</vt:lpstr>
      <vt:lpstr>喀痰結果2</vt:lpstr>
      <vt:lpstr>喀痰結果3</vt:lpstr>
      <vt:lpstr>喀痰結果4</vt:lpstr>
      <vt:lpstr>喀痰結果5</vt:lpstr>
      <vt:lpstr>喀痰受診日1</vt:lpstr>
      <vt:lpstr>喀痰受診日2</vt:lpstr>
      <vt:lpstr>喀痰受診日3</vt:lpstr>
      <vt:lpstr>喀痰受診日4</vt:lpstr>
      <vt:lpstr>喀痰受診日5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　美慧</dc:creator>
  <cp:lastModifiedBy>Jinrong Tu</cp:lastModifiedBy>
  <cp:lastPrinted>2018-06-27T00:17:21Z</cp:lastPrinted>
  <dcterms:created xsi:type="dcterms:W3CDTF">2010-06-01T06:27:47Z</dcterms:created>
  <dcterms:modified xsi:type="dcterms:W3CDTF">2023-08-07T09:42:16Z</dcterms:modified>
</cp:coreProperties>
</file>