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A59C2721-8F63-43D0-88CE-30ED7BEA4D71}" xr6:coauthVersionLast="47" xr6:coauthVersionMax="47" xr10:uidLastSave="{00000000-0000-0000-0000-000000000000}"/>
  <bookViews>
    <workbookView xWindow="-120" yWindow="-120" windowWidth="29040" windowHeight="17640" tabRatio="788" xr2:uid="{00000000-000D-0000-FFFF-FFFF00000000}"/>
  </bookViews>
  <sheets>
    <sheet name="Data" sheetId="1" r:id="rId1"/>
    <sheet name="Info" sheetId="2" r:id="rId2"/>
    <sheet name="benzene_orig" sheetId="3" r:id="rId3"/>
    <sheet name="benzene_as" sheetId="10" r:id="rId4"/>
    <sheet name="toluene_orig" sheetId="4" r:id="rId5"/>
    <sheet name="toluene_as" sheetId="11" r:id="rId6"/>
    <sheet name="o-xylene_orig" sheetId="5" r:id="rId7"/>
    <sheet name="o-xylene_as" sheetId="12" r:id="rId8"/>
    <sheet name="p-xylene_orig" sheetId="6" r:id="rId9"/>
    <sheet name="p-xylene_as" sheetId="13" r:id="rId10"/>
    <sheet name="m-xylene_orig" sheetId="7" r:id="rId11"/>
    <sheet name="m-xylene_as" sheetId="14" r:id="rId12"/>
    <sheet name="b,t,x_orig" sheetId="8" r:id="rId13"/>
    <sheet name="b,t,x_as" sheetId="15" r:id="rId14"/>
    <sheet name="BTX" sheetId="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6" i="9" l="1"/>
  <c r="U46" i="9"/>
  <c r="O46" i="9"/>
  <c r="AD33" i="9"/>
  <c r="U33" i="9"/>
  <c r="V32" i="15"/>
  <c r="W32" i="15"/>
  <c r="X32" i="15"/>
  <c r="Y32" i="15"/>
  <c r="Z32" i="15"/>
  <c r="AD31" i="9"/>
  <c r="AB31" i="9"/>
  <c r="AC31" i="9"/>
  <c r="W30" i="10"/>
  <c r="W30" i="9" s="1"/>
  <c r="Y30" i="9"/>
  <c r="V30" i="9"/>
  <c r="AB30" i="9"/>
  <c r="AA30" i="9"/>
  <c r="T30" i="9"/>
  <c r="U30" i="9"/>
  <c r="T30" i="13"/>
  <c r="S30" i="13" s="1"/>
  <c r="V30" i="13"/>
  <c r="U30" i="13" s="1"/>
  <c r="Y30" i="13"/>
  <c r="AA30" i="13"/>
  <c r="AB30" i="13"/>
  <c r="O30" i="12"/>
  <c r="AA30" i="10"/>
  <c r="V30" i="11"/>
  <c r="U30" i="11"/>
  <c r="T30" i="11"/>
  <c r="R30" i="11"/>
  <c r="O30" i="11"/>
  <c r="P18" i="13"/>
  <c r="P18" i="9" s="1"/>
  <c r="Q18" i="13"/>
  <c r="Q18" i="9" s="1"/>
  <c r="R18" i="13"/>
  <c r="S18" i="13"/>
  <c r="T18" i="13"/>
  <c r="U18" i="13"/>
  <c r="V18" i="13"/>
  <c r="W18" i="13"/>
  <c r="W18" i="9" s="1"/>
  <c r="X18" i="13"/>
  <c r="Y18" i="13"/>
  <c r="Z18" i="13"/>
  <c r="AA18" i="13"/>
  <c r="AB18" i="13"/>
  <c r="AC18" i="13"/>
  <c r="AC18" i="9" s="1"/>
  <c r="O18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O17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O9" i="13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O9" i="11"/>
  <c r="AB17" i="10"/>
  <c r="AB17" i="9" s="1"/>
  <c r="U17" i="10"/>
  <c r="V17" i="10"/>
  <c r="W17" i="10"/>
  <c r="T17" i="10"/>
  <c r="T17" i="9" s="1"/>
  <c r="B36" i="1"/>
  <c r="B18" i="1"/>
  <c r="B19" i="1"/>
  <c r="B20" i="1"/>
  <c r="B22" i="1"/>
  <c r="B23" i="1"/>
  <c r="B29" i="1"/>
  <c r="B30" i="1"/>
  <c r="B33" i="1"/>
  <c r="B34" i="1"/>
  <c r="B35" i="1"/>
  <c r="B7" i="1"/>
  <c r="B9" i="1"/>
  <c r="B13" i="1"/>
  <c r="B14" i="1"/>
  <c r="B15" i="1"/>
  <c r="P23" i="10"/>
  <c r="P23" i="9" s="1"/>
  <c r="Q23" i="10"/>
  <c r="Q23" i="9" s="1"/>
  <c r="R23" i="10"/>
  <c r="R23" i="9" s="1"/>
  <c r="S23" i="10"/>
  <c r="T23" i="10"/>
  <c r="U23" i="10"/>
  <c r="V23" i="10"/>
  <c r="W23" i="10"/>
  <c r="W23" i="9" s="1"/>
  <c r="X23" i="10"/>
  <c r="X23" i="9" s="1"/>
  <c r="Y23" i="10"/>
  <c r="Y23" i="9" s="1"/>
  <c r="Z23" i="10"/>
  <c r="Z23" i="9" s="1"/>
  <c r="AA23" i="10"/>
  <c r="AB23" i="10"/>
  <c r="AC23" i="10"/>
  <c r="O23" i="10"/>
  <c r="R12" i="10"/>
  <c r="W17" i="14"/>
  <c r="Q12" i="15"/>
  <c r="Q12" i="9" s="1"/>
  <c r="R12" i="9"/>
  <c r="AC9" i="15"/>
  <c r="AB10" i="13"/>
  <c r="AC10" i="13"/>
  <c r="AA10" i="13"/>
  <c r="Y10" i="13"/>
  <c r="U10" i="14"/>
  <c r="V10" i="14"/>
  <c r="X10" i="14" s="1"/>
  <c r="W10" i="14"/>
  <c r="Y10" i="14" s="1"/>
  <c r="T10" i="14"/>
  <c r="R10" i="14"/>
  <c r="R9" i="15"/>
  <c r="Q9" i="15" s="1"/>
  <c r="P9" i="15" s="1"/>
  <c r="O9" i="15" s="1"/>
  <c r="S9" i="15"/>
  <c r="T9" i="15"/>
  <c r="U9" i="15"/>
  <c r="X9" i="9"/>
  <c r="Y9" i="9"/>
  <c r="R18" i="9"/>
  <c r="U18" i="9"/>
  <c r="V8" i="12"/>
  <c r="W8" i="12"/>
  <c r="W8" i="9" s="1"/>
  <c r="X8" i="12"/>
  <c r="X8" i="9" s="1"/>
  <c r="Y8" i="12"/>
  <c r="Z8" i="12"/>
  <c r="AA8" i="12"/>
  <c r="AB8" i="12"/>
  <c r="AC8" i="12"/>
  <c r="U8" i="12"/>
  <c r="S8" i="12"/>
  <c r="S8" i="9" s="1"/>
  <c r="P8" i="12"/>
  <c r="Q8" i="12"/>
  <c r="O8" i="12"/>
  <c r="P9" i="12"/>
  <c r="Q9" i="12"/>
  <c r="R9" i="12"/>
  <c r="S9" i="12"/>
  <c r="T9" i="12"/>
  <c r="U9" i="12"/>
  <c r="V9" i="12"/>
  <c r="W9" i="12"/>
  <c r="X9" i="12"/>
  <c r="Y9" i="12"/>
  <c r="Z9" i="12"/>
  <c r="Z9" i="9" s="1"/>
  <c r="AA9" i="12"/>
  <c r="AB9" i="12"/>
  <c r="AC9" i="12"/>
  <c r="O9" i="12"/>
  <c r="V17" i="14"/>
  <c r="V17" i="9" s="1"/>
  <c r="U17" i="14"/>
  <c r="T17" i="14"/>
  <c r="AC12" i="14"/>
  <c r="AB12" i="14"/>
  <c r="AA12" i="14"/>
  <c r="G12" i="13"/>
  <c r="F12" i="13" s="1"/>
  <c r="C12" i="12"/>
  <c r="B12" i="11"/>
  <c r="C12" i="11"/>
  <c r="I12" i="11"/>
  <c r="F12" i="11"/>
  <c r="G12" i="11"/>
  <c r="E12" i="11"/>
  <c r="P12" i="11"/>
  <c r="Q11" i="11"/>
  <c r="Q11" i="9" s="1"/>
  <c r="AD11" i="9" s="1"/>
  <c r="B5" i="1" s="1"/>
  <c r="Q11" i="10"/>
  <c r="N46" i="9"/>
  <c r="N47" i="9"/>
  <c r="N48" i="9"/>
  <c r="N49" i="9"/>
  <c r="P46" i="9"/>
  <c r="Q46" i="9"/>
  <c r="R46" i="9"/>
  <c r="S46" i="9"/>
  <c r="T46" i="9"/>
  <c r="O47" i="9"/>
  <c r="P47" i="9"/>
  <c r="Q47" i="9"/>
  <c r="R47" i="9"/>
  <c r="S47" i="9"/>
  <c r="T47" i="9"/>
  <c r="U47" i="9"/>
  <c r="V47" i="9"/>
  <c r="O48" i="9"/>
  <c r="P48" i="9"/>
  <c r="Q48" i="9"/>
  <c r="R48" i="9"/>
  <c r="S48" i="9"/>
  <c r="T48" i="9"/>
  <c r="U48" i="9"/>
  <c r="V48" i="9"/>
  <c r="O49" i="9"/>
  <c r="P49" i="9"/>
  <c r="Q49" i="9"/>
  <c r="R49" i="9"/>
  <c r="S49" i="9"/>
  <c r="T49" i="9"/>
  <c r="U49" i="9"/>
  <c r="V49" i="9"/>
  <c r="T9" i="9"/>
  <c r="V9" i="9"/>
  <c r="AA9" i="9"/>
  <c r="AB9" i="9"/>
  <c r="O10" i="9"/>
  <c r="Q10" i="9"/>
  <c r="R10" i="9"/>
  <c r="S10" i="9"/>
  <c r="T10" i="9"/>
  <c r="U10" i="9"/>
  <c r="V10" i="9"/>
  <c r="W10" i="9"/>
  <c r="O11" i="9"/>
  <c r="V11" i="9"/>
  <c r="Y11" i="9"/>
  <c r="Z11" i="9"/>
  <c r="AA11" i="9"/>
  <c r="AB11" i="9"/>
  <c r="AC11" i="9"/>
  <c r="O12" i="9"/>
  <c r="P12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O14" i="9"/>
  <c r="P14" i="9"/>
  <c r="Q14" i="9"/>
  <c r="R14" i="9"/>
  <c r="S14" i="9"/>
  <c r="T14" i="9"/>
  <c r="U14" i="9"/>
  <c r="V14" i="9"/>
  <c r="X14" i="9"/>
  <c r="Y14" i="9"/>
  <c r="AD14" i="9" s="1"/>
  <c r="B8" i="1" s="1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O16" i="9"/>
  <c r="P16" i="9"/>
  <c r="Q16" i="9"/>
  <c r="R16" i="9"/>
  <c r="S16" i="9"/>
  <c r="T16" i="9"/>
  <c r="U16" i="9"/>
  <c r="V16" i="9"/>
  <c r="W16" i="9"/>
  <c r="AA16" i="9"/>
  <c r="S18" i="9"/>
  <c r="T18" i="9"/>
  <c r="V18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P22" i="9"/>
  <c r="AA22" i="9"/>
  <c r="AB22" i="9"/>
  <c r="O23" i="9"/>
  <c r="S23" i="9"/>
  <c r="T23" i="9"/>
  <c r="U23" i="9"/>
  <c r="V23" i="9"/>
  <c r="AA23" i="9"/>
  <c r="AB23" i="9"/>
  <c r="AC23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O30" i="9"/>
  <c r="P30" i="9"/>
  <c r="Q30" i="9"/>
  <c r="O31" i="9"/>
  <c r="P31" i="9"/>
  <c r="Q31" i="9"/>
  <c r="R31" i="9"/>
  <c r="S31" i="9"/>
  <c r="T31" i="9"/>
  <c r="U31" i="9"/>
  <c r="V31" i="9"/>
  <c r="W31" i="9"/>
  <c r="X31" i="9"/>
  <c r="Z31" i="9"/>
  <c r="AA31" i="9"/>
  <c r="V32" i="9"/>
  <c r="W32" i="9"/>
  <c r="X32" i="9"/>
  <c r="Y32" i="9"/>
  <c r="Z32" i="9"/>
  <c r="AA32" i="9"/>
  <c r="AB32" i="9"/>
  <c r="AC32" i="9"/>
  <c r="S33" i="9"/>
  <c r="T33" i="9"/>
  <c r="V33" i="9"/>
  <c r="W33" i="9"/>
  <c r="X33" i="9"/>
  <c r="Y33" i="9"/>
  <c r="Z33" i="9"/>
  <c r="AA33" i="9"/>
  <c r="AB33" i="9"/>
  <c r="AC33" i="9"/>
  <c r="O34" i="9"/>
  <c r="AB34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P8" i="9"/>
  <c r="Q8" i="9"/>
  <c r="R8" i="9"/>
  <c r="T8" i="9"/>
  <c r="U8" i="9"/>
  <c r="V8" i="9"/>
  <c r="Y8" i="9"/>
  <c r="Z8" i="9"/>
  <c r="AA8" i="9"/>
  <c r="AB8" i="9"/>
  <c r="AC8" i="9"/>
  <c r="O8" i="9"/>
  <c r="I44" i="9"/>
  <c r="H44" i="9"/>
  <c r="G44" i="9"/>
  <c r="F44" i="9"/>
  <c r="E44" i="9"/>
  <c r="D44" i="9"/>
  <c r="C44" i="9"/>
  <c r="B44" i="9"/>
  <c r="B40" i="9"/>
  <c r="C40" i="9"/>
  <c r="D40" i="9"/>
  <c r="E40" i="9"/>
  <c r="F40" i="9"/>
  <c r="G40" i="9"/>
  <c r="H40" i="9"/>
  <c r="I40" i="9"/>
  <c r="B41" i="9"/>
  <c r="C41" i="9"/>
  <c r="D41" i="9"/>
  <c r="E41" i="9"/>
  <c r="F41" i="9"/>
  <c r="G41" i="9"/>
  <c r="H41" i="9"/>
  <c r="I41" i="9"/>
  <c r="I39" i="9"/>
  <c r="H39" i="9"/>
  <c r="G39" i="9"/>
  <c r="F39" i="9"/>
  <c r="E39" i="9"/>
  <c r="D39" i="9"/>
  <c r="C39" i="9"/>
  <c r="B39" i="9"/>
  <c r="I38" i="9"/>
  <c r="H38" i="9"/>
  <c r="G38" i="9"/>
  <c r="F38" i="9"/>
  <c r="E38" i="9"/>
  <c r="D38" i="9"/>
  <c r="C38" i="9"/>
  <c r="B38" i="9"/>
  <c r="C35" i="9"/>
  <c r="D35" i="9"/>
  <c r="E35" i="9"/>
  <c r="F35" i="9"/>
  <c r="G35" i="9"/>
  <c r="H35" i="9"/>
  <c r="I35" i="9"/>
  <c r="C36" i="9"/>
  <c r="D36" i="9"/>
  <c r="E36" i="9"/>
  <c r="F36" i="9"/>
  <c r="G36" i="9"/>
  <c r="H36" i="9"/>
  <c r="I36" i="9"/>
  <c r="B36" i="9"/>
  <c r="B35" i="9"/>
  <c r="B32" i="9"/>
  <c r="C32" i="9"/>
  <c r="D32" i="9"/>
  <c r="E32" i="9"/>
  <c r="F32" i="9"/>
  <c r="G32" i="9"/>
  <c r="H32" i="9"/>
  <c r="I32" i="9"/>
  <c r="G34" i="9"/>
  <c r="H33" i="9"/>
  <c r="I33" i="9"/>
  <c r="I30" i="9"/>
  <c r="B19" i="9"/>
  <c r="C19" i="9"/>
  <c r="D19" i="9"/>
  <c r="E19" i="9"/>
  <c r="F19" i="9"/>
  <c r="G19" i="9"/>
  <c r="H19" i="9"/>
  <c r="B20" i="9"/>
  <c r="C20" i="9"/>
  <c r="D20" i="9"/>
  <c r="E20" i="9"/>
  <c r="F20" i="9"/>
  <c r="G20" i="9"/>
  <c r="H20" i="9"/>
  <c r="B21" i="9"/>
  <c r="C21" i="9"/>
  <c r="D21" i="9"/>
  <c r="E21" i="9"/>
  <c r="F21" i="9"/>
  <c r="G21" i="9"/>
  <c r="H21" i="9"/>
  <c r="B22" i="9"/>
  <c r="C22" i="9"/>
  <c r="D22" i="9"/>
  <c r="E22" i="9"/>
  <c r="F22" i="9"/>
  <c r="G22" i="9"/>
  <c r="H22" i="9"/>
  <c r="B23" i="9"/>
  <c r="C23" i="9"/>
  <c r="D23" i="9"/>
  <c r="E23" i="9"/>
  <c r="F23" i="9"/>
  <c r="G23" i="9"/>
  <c r="H23" i="9"/>
  <c r="B24" i="9"/>
  <c r="C24" i="9"/>
  <c r="D24" i="9"/>
  <c r="E24" i="9"/>
  <c r="F24" i="9"/>
  <c r="G24" i="9"/>
  <c r="H24" i="9"/>
  <c r="B25" i="9"/>
  <c r="C25" i="9"/>
  <c r="D25" i="9"/>
  <c r="E25" i="9"/>
  <c r="F25" i="9"/>
  <c r="G25" i="9"/>
  <c r="H25" i="9"/>
  <c r="B26" i="9"/>
  <c r="C26" i="9"/>
  <c r="D26" i="9"/>
  <c r="E26" i="9"/>
  <c r="F26" i="9"/>
  <c r="G26" i="9"/>
  <c r="H26" i="9"/>
  <c r="B27" i="9"/>
  <c r="C27" i="9"/>
  <c r="D27" i="9"/>
  <c r="E27" i="9"/>
  <c r="F27" i="9"/>
  <c r="G27" i="9"/>
  <c r="H27" i="9"/>
  <c r="B28" i="9"/>
  <c r="C28" i="9"/>
  <c r="D28" i="9"/>
  <c r="E28" i="9"/>
  <c r="F28" i="9"/>
  <c r="G28" i="9"/>
  <c r="H28" i="9"/>
  <c r="B29" i="9"/>
  <c r="C29" i="9"/>
  <c r="D29" i="9"/>
  <c r="E29" i="9"/>
  <c r="F29" i="9"/>
  <c r="G29" i="9"/>
  <c r="H29" i="9"/>
  <c r="I19" i="9"/>
  <c r="I20" i="9"/>
  <c r="I21" i="9"/>
  <c r="I22" i="9"/>
  <c r="I23" i="9"/>
  <c r="I24" i="9"/>
  <c r="I25" i="9"/>
  <c r="I26" i="9"/>
  <c r="I27" i="9"/>
  <c r="I28" i="9"/>
  <c r="I29" i="9"/>
  <c r="B13" i="9"/>
  <c r="C13" i="9"/>
  <c r="D13" i="9"/>
  <c r="E13" i="9"/>
  <c r="F13" i="9"/>
  <c r="G13" i="9"/>
  <c r="H13" i="9"/>
  <c r="I13" i="9"/>
  <c r="B14" i="9"/>
  <c r="C14" i="9"/>
  <c r="D14" i="9"/>
  <c r="E14" i="9"/>
  <c r="F14" i="9"/>
  <c r="G14" i="9"/>
  <c r="H14" i="9"/>
  <c r="I14" i="9"/>
  <c r="B15" i="9"/>
  <c r="C15" i="9"/>
  <c r="D15" i="9"/>
  <c r="E15" i="9"/>
  <c r="F15" i="9"/>
  <c r="G15" i="9"/>
  <c r="H15" i="9"/>
  <c r="I15" i="9"/>
  <c r="H18" i="9"/>
  <c r="I18" i="9"/>
  <c r="G18" i="9"/>
  <c r="D17" i="9"/>
  <c r="C17" i="9"/>
  <c r="G16" i="9"/>
  <c r="H16" i="9"/>
  <c r="I16" i="9"/>
  <c r="G11" i="9"/>
  <c r="H11" i="9"/>
  <c r="I11" i="9"/>
  <c r="C8" i="9"/>
  <c r="D8" i="9"/>
  <c r="E8" i="9"/>
  <c r="F8" i="9"/>
  <c r="G8" i="9"/>
  <c r="H8" i="9"/>
  <c r="I8" i="9"/>
  <c r="C9" i="9"/>
  <c r="D9" i="9"/>
  <c r="E9" i="9"/>
  <c r="F9" i="9"/>
  <c r="G9" i="9"/>
  <c r="H9" i="9"/>
  <c r="C10" i="9"/>
  <c r="D10" i="9"/>
  <c r="E10" i="9"/>
  <c r="F10" i="9"/>
  <c r="G10" i="9"/>
  <c r="H10" i="9"/>
  <c r="I10" i="9"/>
  <c r="B9" i="9"/>
  <c r="B10" i="9"/>
  <c r="B8" i="9"/>
  <c r="B8" i="10"/>
  <c r="V49" i="15"/>
  <c r="U49" i="15"/>
  <c r="T49" i="15"/>
  <c r="S49" i="15"/>
  <c r="R49" i="15"/>
  <c r="Q49" i="15"/>
  <c r="P49" i="15"/>
  <c r="O49" i="15"/>
  <c r="N49" i="15"/>
  <c r="V48" i="15"/>
  <c r="U48" i="15"/>
  <c r="T48" i="15"/>
  <c r="S48" i="15"/>
  <c r="R48" i="15"/>
  <c r="Q48" i="15"/>
  <c r="P48" i="15"/>
  <c r="O48" i="15"/>
  <c r="N48" i="15"/>
  <c r="V47" i="15"/>
  <c r="U47" i="15"/>
  <c r="T47" i="15"/>
  <c r="S47" i="15"/>
  <c r="R47" i="15"/>
  <c r="Q47" i="15"/>
  <c r="P47" i="15"/>
  <c r="O47" i="15"/>
  <c r="N47" i="15"/>
  <c r="V46" i="15"/>
  <c r="U46" i="15"/>
  <c r="T46" i="15"/>
  <c r="S46" i="15"/>
  <c r="R46" i="15"/>
  <c r="Q46" i="15"/>
  <c r="P46" i="15"/>
  <c r="O46" i="15"/>
  <c r="N46" i="15"/>
  <c r="S45" i="15"/>
  <c r="S45" i="9" s="1"/>
  <c r="R45" i="15"/>
  <c r="R45" i="9" s="1"/>
  <c r="Q45" i="15"/>
  <c r="Q45" i="9" s="1"/>
  <c r="P45" i="15"/>
  <c r="P45" i="9" s="1"/>
  <c r="V46" i="11"/>
  <c r="N46" i="11"/>
  <c r="R33" i="9" l="1"/>
  <c r="X30" i="10"/>
  <c r="X30" i="9" s="1"/>
  <c r="AD30" i="9" s="1"/>
  <c r="B24" i="1" s="1"/>
  <c r="S30" i="9"/>
  <c r="R30" i="13"/>
  <c r="R30" i="9" s="1"/>
  <c r="AD47" i="9"/>
  <c r="B39" i="1" s="1"/>
  <c r="AD45" i="9"/>
  <c r="B37" i="1" s="1"/>
  <c r="AD37" i="9"/>
  <c r="B31" i="1" s="1"/>
  <c r="AD27" i="9"/>
  <c r="B21" i="1" s="1"/>
  <c r="AD49" i="9"/>
  <c r="B41" i="1" s="1"/>
  <c r="B25" i="1"/>
  <c r="AD16" i="9"/>
  <c r="B10" i="1" s="1"/>
  <c r="AD48" i="9"/>
  <c r="B40" i="1" s="1"/>
  <c r="AD38" i="9"/>
  <c r="B32" i="1" s="1"/>
  <c r="AD32" i="9"/>
  <c r="B26" i="1" s="1"/>
  <c r="AD46" i="9"/>
  <c r="B38" i="1" s="1"/>
  <c r="AD34" i="9"/>
  <c r="B28" i="1" s="1"/>
  <c r="AD43" i="9"/>
  <c r="AD42" i="9"/>
  <c r="AD22" i="9"/>
  <c r="B16" i="1" s="1"/>
  <c r="AD12" i="9"/>
  <c r="B6" i="1" s="1"/>
  <c r="W17" i="9"/>
  <c r="AC9" i="9"/>
  <c r="U9" i="9"/>
  <c r="S9" i="9"/>
  <c r="Y10" i="9"/>
  <c r="AA10" i="14"/>
  <c r="X10" i="9"/>
  <c r="Z10" i="14"/>
  <c r="O9" i="9"/>
  <c r="P9" i="9"/>
  <c r="Q9" i="9"/>
  <c r="AD23" i="9"/>
  <c r="B17" i="1" s="1"/>
  <c r="AD18" i="9"/>
  <c r="B12" i="1" s="1"/>
  <c r="U17" i="9"/>
  <c r="AD17" i="9" s="1"/>
  <c r="B11" i="1" s="1"/>
  <c r="AD8" i="9"/>
  <c r="B2" i="1" s="1"/>
  <c r="W9" i="9"/>
  <c r="F12" i="9"/>
  <c r="E12" i="13"/>
  <c r="D12" i="13" s="1"/>
  <c r="G12" i="9"/>
  <c r="E12" i="9"/>
  <c r="I12" i="9"/>
  <c r="V49" i="8"/>
  <c r="U49" i="8"/>
  <c r="T49" i="8"/>
  <c r="S49" i="8"/>
  <c r="R49" i="8"/>
  <c r="Q49" i="8"/>
  <c r="P49" i="8"/>
  <c r="O49" i="8"/>
  <c r="N49" i="8"/>
  <c r="V48" i="8"/>
  <c r="U48" i="8"/>
  <c r="T48" i="8"/>
  <c r="S48" i="8"/>
  <c r="R48" i="8"/>
  <c r="Q48" i="8"/>
  <c r="P48" i="8"/>
  <c r="O48" i="8"/>
  <c r="N48" i="8"/>
  <c r="V47" i="8"/>
  <c r="U47" i="8"/>
  <c r="T47" i="8"/>
  <c r="S47" i="8"/>
  <c r="R47" i="8"/>
  <c r="Q47" i="8"/>
  <c r="P47" i="8"/>
  <c r="O47" i="8"/>
  <c r="N47" i="8"/>
  <c r="V46" i="8"/>
  <c r="U46" i="8"/>
  <c r="T46" i="8"/>
  <c r="S46" i="8"/>
  <c r="R46" i="8"/>
  <c r="Q46" i="8"/>
  <c r="P46" i="8"/>
  <c r="O46" i="8"/>
  <c r="N46" i="8"/>
  <c r="S45" i="8"/>
  <c r="R45" i="8"/>
  <c r="Q45" i="8"/>
  <c r="P45" i="8"/>
  <c r="V46" i="4"/>
  <c r="N46" i="4"/>
  <c r="Q33" i="9" l="1"/>
  <c r="AD9" i="9"/>
  <c r="B3" i="1" s="1"/>
  <c r="AC10" i="14"/>
  <c r="AC10" i="9" s="1"/>
  <c r="AA10" i="9"/>
  <c r="Z10" i="9"/>
  <c r="AB10" i="14"/>
  <c r="AB10" i="9" s="1"/>
  <c r="C12" i="13"/>
  <c r="D12" i="9"/>
  <c r="O33" i="9" l="1"/>
  <c r="B27" i="1" s="1"/>
  <c r="P33" i="9"/>
  <c r="AD10" i="9"/>
  <c r="B4" i="1" s="1"/>
  <c r="B12" i="13"/>
  <c r="B12" i="9" s="1"/>
  <c r="C1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tc={FDB4DEC5-3AE6-46C6-851C-1F826B33ADB4}</author>
    <author>tc={FDB0D1F0-A016-48B4-BF79-867D0C68B9D2}</author>
  </authors>
  <commentList>
    <comment ref="P45" authorId="0" shapeId="0" xr:uid="{FDB4DEC5-3AE6-46C6-851C-1F826B33ADB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Indexbox: =2400-134</t>
      </text>
    </comment>
    <comment ref="R45" authorId="1" shapeId="0" xr:uid="{FDB0D1F0-A016-48B4-BF79-867D0C68B9D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Indexbox: =1900-150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tc={CDB0E6AC-E793-42B7-BC65-ACCA09FEC54C}</author>
    <author>tc={FBFAA0E1-90A3-43CA-9776-567EC67129C8}</author>
  </authors>
  <commentList>
    <comment ref="P45" authorId="0" shapeId="0" xr:uid="{CDB0E6AC-E793-42B7-BC65-ACCA09FEC54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Indexbox: =2400-134</t>
      </text>
    </comment>
    <comment ref="R45" authorId="1" shapeId="0" xr:uid="{FBFAA0E1-90A3-43CA-9776-567EC67129C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Indexbox: =1900-150</t>
      </text>
    </comment>
  </commentList>
</comments>
</file>

<file path=xl/sharedStrings.xml><?xml version="1.0" encoding="utf-8"?>
<sst xmlns="http://schemas.openxmlformats.org/spreadsheetml/2006/main" count="731" uniqueCount="109">
  <si>
    <t>Country</t>
  </si>
  <si>
    <t>France</t>
  </si>
  <si>
    <t>Netherlands</t>
  </si>
  <si>
    <t>Germany</t>
  </si>
  <si>
    <t>Italy</t>
  </si>
  <si>
    <t>United Kingdom</t>
  </si>
  <si>
    <t>Ireland</t>
  </si>
  <si>
    <t>Denmark</t>
  </si>
  <si>
    <t>Greece</t>
  </si>
  <si>
    <t>Portugal</t>
  </si>
  <si>
    <t>Spain</t>
  </si>
  <si>
    <t>Belgium</t>
  </si>
  <si>
    <t>Luxemburg</t>
  </si>
  <si>
    <t>Iceland</t>
  </si>
  <si>
    <t>Norway</t>
  </si>
  <si>
    <t>Sweden</t>
  </si>
  <si>
    <t>Finland</t>
  </si>
  <si>
    <t>Austria</t>
  </si>
  <si>
    <t>Malta</t>
  </si>
  <si>
    <t>Turkey</t>
  </si>
  <si>
    <t>Estonia</t>
  </si>
  <si>
    <t>Latvia</t>
  </si>
  <si>
    <t>Lithuania</t>
  </si>
  <si>
    <t>Poland</t>
  </si>
  <si>
    <t>Czechia</t>
  </si>
  <si>
    <t>Slovakia</t>
  </si>
  <si>
    <t>Hungary</t>
  </si>
  <si>
    <t>Romania</t>
  </si>
  <si>
    <t>Bulgaria</t>
  </si>
  <si>
    <t>Slovenia</t>
  </si>
  <si>
    <t>Croatia</t>
  </si>
  <si>
    <t>Bosnia and Herzegovina</t>
  </si>
  <si>
    <t>North Macedonia</t>
  </si>
  <si>
    <t>Montenegro</t>
  </si>
  <si>
    <t>Serbia</t>
  </si>
  <si>
    <t>Cyprus</t>
  </si>
  <si>
    <t>EUROPEAN UNION (28)</t>
  </si>
  <si>
    <t>EU27TOTALS_2020</t>
  </si>
  <si>
    <t>DECL/PERIOD</t>
  </si>
  <si>
    <t>PRODQNT</t>
  </si>
  <si>
    <t>INDICATORS</t>
  </si>
  <si>
    <t>PRCCODE</t>
  </si>
  <si>
    <t>Eurostat</t>
  </si>
  <si>
    <t>Indonesia</t>
  </si>
  <si>
    <t>If only xylene in total known =&gt; written into o-xylene</t>
  </si>
  <si>
    <t>Malaysia</t>
  </si>
  <si>
    <t>…</t>
  </si>
  <si>
    <t>Philippines</t>
  </si>
  <si>
    <t>Thailand</t>
  </si>
  <si>
    <t>Vietnam</t>
  </si>
  <si>
    <t>Tausend tonnes</t>
  </si>
  <si>
    <t>[1]</t>
  </si>
  <si>
    <t>for European countries</t>
  </si>
  <si>
    <t>[2]</t>
  </si>
  <si>
    <t>[3]</t>
  </si>
  <si>
    <t>ASEAN</t>
  </si>
  <si>
    <t>A1</t>
  </si>
  <si>
    <t>last 3 years average</t>
  </si>
  <si>
    <t>A2</t>
  </si>
  <si>
    <t>Further info</t>
  </si>
  <si>
    <t>F1</t>
  </si>
  <si>
    <t>p. 33</t>
  </si>
  <si>
    <t>A3</t>
  </si>
  <si>
    <t>European countries</t>
  </si>
  <si>
    <t>average values based on 2008-2019 data, considering data availability in that period in all product subcategories</t>
  </si>
  <si>
    <t>[4]</t>
  </si>
  <si>
    <t>A4</t>
  </si>
  <si>
    <t>production = 50% of the installed capacity</t>
  </si>
  <si>
    <t>own assumption</t>
  </si>
  <si>
    <t>Sum of all data sheets</t>
  </si>
  <si>
    <t>Data const</t>
  </si>
  <si>
    <t>Data extracted on 03/08/2023 16:19:41 from [ESTAT]</t>
  </si>
  <si>
    <t>Total production [DS-056121__custom_7083149]</t>
  </si>
  <si>
    <t>Benzene</t>
  </si>
  <si>
    <t>Toluene</t>
  </si>
  <si>
    <t>o-Xylene</t>
  </si>
  <si>
    <t>p-Xylene</t>
  </si>
  <si>
    <t>Indonesia indexbox</t>
  </si>
  <si>
    <t>m-Xylene and mixed xylene isomers</t>
  </si>
  <si>
    <t>Benzol (benzene), toluol (toluene) and xylol (xylenes)</t>
  </si>
  <si>
    <t>Unit</t>
  </si>
  <si>
    <t>Source</t>
  </si>
  <si>
    <t>https//www.icis.com/explore/resources/news/2012/10/15/9603331/europe-chemical-profile-benzene/</t>
  </si>
  <si>
    <t>https//s3-us-west-2.amazonaws.com/okchem-o/image/201810/af95dc78-926f-43f5-a1ef-e5b3cb058c9b.pdf</t>
  </si>
  <si>
    <t>https//app.indexbox.io/analyze/270710h270720h270730/764/</t>
  </si>
  <si>
    <t>Assumption</t>
  </si>
  <si>
    <t xml:space="preserve"> benzene capacity under construction 1989 120 tausend tonnes</t>
  </si>
  <si>
    <t>https//documents1.worldbank.org/curated/en/218651468749800678/pdf/multi-page.pdf</t>
  </si>
  <si>
    <t xml:space="preserve">Dataset </t>
  </si>
  <si>
    <t xml:space="preserve">Last updated </t>
  </si>
  <si>
    <t>24/07/2023 1100</t>
  </si>
  <si>
    <t>[5]</t>
  </si>
  <si>
    <t>Europe, installed capacities</t>
  </si>
  <si>
    <t>JRC: Best Available Techniques (BAT) Reference Document for the Production of Large Volume Organic Chemicals (JRC109279_LVOC_Bref.pdf)</t>
  </si>
  <si>
    <t>[3], A2</t>
  </si>
  <si>
    <t>[2,3], A2</t>
  </si>
  <si>
    <t>https://www.icis.com/explore/resources/news/2012/05/07/9556557/europe-chemical-profile-orthoxylene/</t>
  </si>
  <si>
    <t>[6]</t>
  </si>
  <si>
    <t>[7]</t>
  </si>
  <si>
    <t>o-xylene</t>
  </si>
  <si>
    <t>p-xylene</t>
  </si>
  <si>
    <t>[4], A2</t>
  </si>
  <si>
    <t>https://www.icis.com/explore/resources/news/2011/07/04/9474487/european-chemical-profile-paraxylene/</t>
  </si>
  <si>
    <t>A5</t>
  </si>
  <si>
    <t>production stayed same since the capacity is known</t>
  </si>
  <si>
    <t>+[4], A3</t>
  </si>
  <si>
    <t>PRODCOM List Total production [DS-056121]</t>
  </si>
  <si>
    <t>see Sheets "_orig"</t>
  </si>
  <si>
    <t>see Sheets "_as"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</si>
</sst>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0" borderId="0" xfId="1"/>
    <xf numFmtId="0" fontId="3" fillId="0" borderId="0" xfId="1" applyFont="1"/>
    <xf numFmtId="3" fontId="3" fillId="0" borderId="1" xfId="1" applyNumberFormat="1" applyFont="1" applyBorder="1"/>
    <xf numFmtId="0" fontId="3" fillId="0" borderId="1" xfId="1" applyFont="1" applyBorder="1"/>
    <xf numFmtId="0" fontId="3" fillId="2" borderId="1" xfId="1" applyFont="1" applyFill="1" applyBorder="1"/>
    <xf numFmtId="3" fontId="2" fillId="0" borderId="0" xfId="1" applyNumberFormat="1"/>
    <xf numFmtId="0" fontId="1" fillId="2" borderId="1" xfId="1" applyFont="1" applyFill="1" applyBorder="1"/>
    <xf numFmtId="0" fontId="4" fillId="0" borderId="0" xfId="0" applyFont="1"/>
    <xf numFmtId="0" fontId="1" fillId="0" borderId="0" xfId="1" applyFont="1"/>
    <xf numFmtId="0" fontId="1" fillId="0" borderId="1" xfId="0" applyFont="1" applyBorder="1"/>
    <xf numFmtId="0" fontId="5" fillId="0" borderId="0" xfId="2"/>
    <xf numFmtId="0" fontId="0" fillId="0" borderId="0" xfId="0" applyAlignment="1">
      <alignment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3" fontId="0" fillId="0" borderId="0" xfId="0" applyNumberFormat="1"/>
    <xf numFmtId="3" fontId="6" fillId="0" borderId="0" xfId="0" applyNumberFormat="1" applyFont="1"/>
    <xf numFmtId="3" fontId="3" fillId="3" borderId="1" xfId="1" applyNumberFormat="1" applyFont="1" applyFill="1" applyBorder="1"/>
    <xf numFmtId="2" fontId="0" fillId="0" borderId="0" xfId="0" applyNumberFormat="1"/>
    <xf numFmtId="0" fontId="3" fillId="3" borderId="1" xfId="1" applyFont="1" applyFill="1" applyBorder="1"/>
    <xf numFmtId="3" fontId="3" fillId="4" borderId="1" xfId="1" applyNumberFormat="1" applyFont="1" applyFill="1" applyBorder="1"/>
    <xf numFmtId="0" fontId="3" fillId="4" borderId="1" xfId="1" applyFont="1" applyFill="1" applyBorder="1"/>
    <xf numFmtId="3" fontId="3" fillId="0" borderId="1" xfId="1" applyNumberFormat="1" applyFont="1" applyFill="1" applyBorder="1"/>
    <xf numFmtId="0" fontId="9" fillId="0" borderId="0" xfId="0" applyFont="1"/>
    <xf numFmtId="0" fontId="2" fillId="0" borderId="0" xfId="1" quotePrefix="1"/>
    <xf numFmtId="3" fontId="0" fillId="5" borderId="0" xfId="0" applyNumberFormat="1" applyFill="1"/>
  </cellXfs>
  <cellStyles count="3">
    <cellStyle name="Link" xfId="2" builtinId="8"/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Aromatics* </a:t>
            </a:r>
            <a:r>
              <a:rPr lang="de-DE" sz="900"/>
              <a:t>own estimations based on literature approx. 2009-12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Data!$A$37:$A$41</c:f>
              <c:strCache>
                <c:ptCount val="5"/>
                <c:pt idx="0">
                  <c:v>Indonesia</c:v>
                </c:pt>
                <c:pt idx="1">
                  <c:v>Malaysia</c:v>
                </c:pt>
                <c:pt idx="2">
                  <c:v>Thailand</c:v>
                </c:pt>
                <c:pt idx="3">
                  <c:v>Philippines</c:v>
                </c:pt>
                <c:pt idx="4">
                  <c:v>Vietnam</c:v>
                </c:pt>
              </c:strCache>
            </c:strRef>
          </c:cat>
          <c:val>
            <c:numRef>
              <c:f>Data!$B$37:$B$41</c:f>
              <c:numCache>
                <c:formatCode>#,##0</c:formatCode>
                <c:ptCount val="5"/>
                <c:pt idx="0">
                  <c:v>1095.2329999999999</c:v>
                </c:pt>
                <c:pt idx="1">
                  <c:v>177.14999999999998</c:v>
                </c:pt>
                <c:pt idx="2">
                  <c:v>133.26666666666668</c:v>
                </c:pt>
                <c:pt idx="3">
                  <c:v>97.213333333333324</c:v>
                </c:pt>
                <c:pt idx="4">
                  <c:v>162.26666666666665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6-4D01-B9CD-3322C4A4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176880"/>
        <c:axId val="1456175632"/>
      </c:barChart>
      <c:catAx>
        <c:axId val="14561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75632"/>
        <c:crosses val="autoZero"/>
        <c:auto val="1"/>
        <c:lblAlgn val="ctr"/>
        <c:lblOffset val="100"/>
        <c:noMultiLvlLbl val="0"/>
      </c:catAx>
      <c:valAx>
        <c:axId val="14561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7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27</xdr:row>
      <xdr:rowOff>142875</xdr:rowOff>
    </xdr:from>
    <xdr:to>
      <xdr:col>11</xdr:col>
      <xdr:colOff>390525</xdr:colOff>
      <xdr:row>38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D74F23F-20CB-F9D9-4501-3B2CB3A78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5" dT="2023-08-03T14:38:40.92" personId="{00000000-0000-0000-0000-000000000000}" id="{FDB4DEC5-3AE6-46C6-851C-1F826B33ADB4}">
    <text>Indexbox: =2400-134</text>
  </threadedComment>
  <threadedComment ref="R45" dT="2023-08-03T14:39:06.61" personId="{00000000-0000-0000-0000-000000000000}" id="{FDB0D1F0-A016-48B4-BF79-867D0C68B9D2}">
    <text>Indexbox: =1900-150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45" dT="2023-08-03T14:38:40.92" personId="{00000000-0000-0000-0000-000000000000}" id="{CDB0E6AC-E793-42B7-BC65-ACCA09FEC54C}">
    <text>Indexbox: =2400-134</text>
  </threadedComment>
  <threadedComment ref="R45" dT="2023-08-03T14:39:06.61" personId="{00000000-0000-0000-0000-000000000000}" id="{FBFAA0E1-90A3-43CA-9776-567EC67129C8}">
    <text>Indexbox: =1900-150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indexbox.io/analyze/270710h270720h270730/764/" TargetMode="External"/><Relationship Id="rId2" Type="http://schemas.openxmlformats.org/officeDocument/2006/relationships/hyperlink" Target="https://documents1.worldbank.org/curated/en/218651468749800678/pdf/multi-page.pdf" TargetMode="External"/><Relationship Id="rId1" Type="http://schemas.openxmlformats.org/officeDocument/2006/relationships/hyperlink" Target="https://s3-us-west-2.amazonaws.com/okchem-o/image/201810/af95dc78-926f-43f5-a1ef-e5b3cb058c9b.pdf" TargetMode="External"/><Relationship Id="rId5" Type="http://schemas.openxmlformats.org/officeDocument/2006/relationships/hyperlink" Target="https://www.icis.com/explore/resources/news/2011/07/04/9474487/european-chemical-profile-paraxylene/" TargetMode="External"/><Relationship Id="rId4" Type="http://schemas.openxmlformats.org/officeDocument/2006/relationships/hyperlink" Target="https://www.icis.com/explore/resources/news/2012/05/07/9556557/europe-chemical-profile-orthoxylen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abSelected="1" workbookViewId="0">
      <selection activeCell="E42" sqref="E42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s="1">
        <v>2018</v>
      </c>
    </row>
    <row r="2" spans="1:2" x14ac:dyDescent="0.25">
      <c r="A2" s="1" t="s">
        <v>1</v>
      </c>
      <c r="B2">
        <f>BTX!AD8/1000000</f>
        <v>1084.6926908666665</v>
      </c>
    </row>
    <row r="3" spans="1:2" x14ac:dyDescent="0.25">
      <c r="A3" s="1" t="s">
        <v>2</v>
      </c>
      <c r="B3">
        <f>BTX!AD9/1000000</f>
        <v>2339.4831785714287</v>
      </c>
    </row>
    <row r="4" spans="1:2" x14ac:dyDescent="0.25">
      <c r="A4" s="1" t="s">
        <v>3</v>
      </c>
      <c r="B4">
        <f>BTX!AD10/1000000</f>
        <v>3224.9537142857143</v>
      </c>
    </row>
    <row r="5" spans="1:2" x14ac:dyDescent="0.25">
      <c r="A5" s="1" t="s">
        <v>4</v>
      </c>
      <c r="B5">
        <f>BTX!AD11/1000000</f>
        <v>932.09799999999996</v>
      </c>
    </row>
    <row r="6" spans="1:2" x14ac:dyDescent="0.25">
      <c r="A6" s="1" t="s">
        <v>5</v>
      </c>
      <c r="B6">
        <f>BTX!AD12/1000000</f>
        <v>101.902885625</v>
      </c>
    </row>
    <row r="7" spans="1:2" x14ac:dyDescent="0.25">
      <c r="A7" s="1" t="s">
        <v>6</v>
      </c>
      <c r="B7">
        <f>BTX!AD13/1000000</f>
        <v>0</v>
      </c>
    </row>
    <row r="8" spans="1:2" x14ac:dyDescent="0.25">
      <c r="A8" s="1" t="s">
        <v>7</v>
      </c>
      <c r="B8">
        <f>BTX!AD14/1000000</f>
        <v>2.4875000000000001E-2</v>
      </c>
    </row>
    <row r="9" spans="1:2" x14ac:dyDescent="0.25">
      <c r="A9" s="1" t="s">
        <v>8</v>
      </c>
      <c r="B9">
        <f>BTX!AD15/1000000</f>
        <v>0</v>
      </c>
    </row>
    <row r="10" spans="1:2" x14ac:dyDescent="0.25">
      <c r="A10" s="1" t="s">
        <v>9</v>
      </c>
      <c r="B10">
        <f>BTX!AD16/1000000</f>
        <v>297.05865919999997</v>
      </c>
    </row>
    <row r="11" spans="1:2" x14ac:dyDescent="0.25">
      <c r="A11" s="1" t="s">
        <v>10</v>
      </c>
      <c r="B11">
        <f>BTX!AD17/1000000</f>
        <v>717.79</v>
      </c>
    </row>
    <row r="12" spans="1:2" x14ac:dyDescent="0.25">
      <c r="A12" s="1" t="s">
        <v>11</v>
      </c>
      <c r="B12">
        <f>BTX!AD18/1000000</f>
        <v>874.38460722222226</v>
      </c>
    </row>
    <row r="13" spans="1:2" x14ac:dyDescent="0.25">
      <c r="A13" s="1" t="s">
        <v>12</v>
      </c>
      <c r="B13">
        <f>BTX!AD19/1000000</f>
        <v>0</v>
      </c>
    </row>
    <row r="14" spans="1:2" x14ac:dyDescent="0.25">
      <c r="A14" s="1" t="s">
        <v>13</v>
      </c>
      <c r="B14">
        <f>BTX!AD20/1000000</f>
        <v>0</v>
      </c>
    </row>
    <row r="15" spans="1:2" x14ac:dyDescent="0.25">
      <c r="A15" s="1" t="s">
        <v>14</v>
      </c>
      <c r="B15">
        <f>BTX!AD21/1000000</f>
        <v>0</v>
      </c>
    </row>
    <row r="16" spans="1:2" x14ac:dyDescent="0.25">
      <c r="A16" s="1" t="s">
        <v>15</v>
      </c>
      <c r="B16">
        <f>BTX!AD22/1000000</f>
        <v>8.8219999999999992</v>
      </c>
    </row>
    <row r="17" spans="1:2" x14ac:dyDescent="0.25">
      <c r="A17" s="1" t="s">
        <v>16</v>
      </c>
      <c r="B17">
        <f>BTX!AD23/1000000</f>
        <v>121.7311376</v>
      </c>
    </row>
    <row r="18" spans="1:2" x14ac:dyDescent="0.25">
      <c r="A18" s="1" t="s">
        <v>17</v>
      </c>
      <c r="B18">
        <f>BTX!AD24/1000000</f>
        <v>0</v>
      </c>
    </row>
    <row r="19" spans="1:2" x14ac:dyDescent="0.25">
      <c r="A19" s="1" t="s">
        <v>18</v>
      </c>
      <c r="B19">
        <f>BTX!AD25/1000000</f>
        <v>0</v>
      </c>
    </row>
    <row r="20" spans="1:2" x14ac:dyDescent="0.25">
      <c r="A20" s="1" t="s">
        <v>19</v>
      </c>
      <c r="B20">
        <f>BTX!AD26/1000000</f>
        <v>0</v>
      </c>
    </row>
    <row r="21" spans="1:2" x14ac:dyDescent="0.25">
      <c r="A21" s="1" t="s">
        <v>20</v>
      </c>
      <c r="B21">
        <f>BTX!AD27/1000000</f>
        <v>3.046153846153846E-3</v>
      </c>
    </row>
    <row r="22" spans="1:2" x14ac:dyDescent="0.25">
      <c r="A22" s="1" t="s">
        <v>21</v>
      </c>
      <c r="B22">
        <f>BTX!AD28/1000000</f>
        <v>0</v>
      </c>
    </row>
    <row r="23" spans="1:2" x14ac:dyDescent="0.25">
      <c r="A23" s="1" t="s">
        <v>22</v>
      </c>
      <c r="B23">
        <f>BTX!AD29/1000000</f>
        <v>0</v>
      </c>
    </row>
    <row r="24" spans="1:2" x14ac:dyDescent="0.25">
      <c r="A24" s="1" t="s">
        <v>23</v>
      </c>
      <c r="B24">
        <f>BTX!AD30/1000000</f>
        <v>668.97769230769234</v>
      </c>
    </row>
    <row r="25" spans="1:2" x14ac:dyDescent="0.25">
      <c r="A25" s="1" t="s">
        <v>24</v>
      </c>
      <c r="B25">
        <f>BTX!AD31/1000000</f>
        <v>448.20319999999998</v>
      </c>
    </row>
    <row r="26" spans="1:2" x14ac:dyDescent="0.25">
      <c r="A26" s="1" t="s">
        <v>25</v>
      </c>
      <c r="B26">
        <f>BTX!AD32/1000000</f>
        <v>143.21245099999999</v>
      </c>
    </row>
    <row r="27" spans="1:2" x14ac:dyDescent="0.25">
      <c r="A27" s="1" t="s">
        <v>26</v>
      </c>
      <c r="B27">
        <f>BTX!AD33/1000000</f>
        <v>492.18299999999999</v>
      </c>
    </row>
    <row r="28" spans="1:2" x14ac:dyDescent="0.25">
      <c r="A28" s="1" t="s">
        <v>27</v>
      </c>
      <c r="B28">
        <f>BTX!AD34/1000000</f>
        <v>43.346012500000001</v>
      </c>
    </row>
    <row r="29" spans="1:2" x14ac:dyDescent="0.25">
      <c r="A29" s="1" t="s">
        <v>28</v>
      </c>
      <c r="B29">
        <f>BTX!AD35/1000000</f>
        <v>0</v>
      </c>
    </row>
    <row r="30" spans="1:2" x14ac:dyDescent="0.25">
      <c r="A30" s="1" t="s">
        <v>29</v>
      </c>
      <c r="B30">
        <f>BTX!AD36/1000000</f>
        <v>0</v>
      </c>
    </row>
    <row r="31" spans="1:2" x14ac:dyDescent="0.25">
      <c r="A31" s="1" t="s">
        <v>30</v>
      </c>
      <c r="B31">
        <f>BTX!AD37/1000000</f>
        <v>14.698109000000001</v>
      </c>
    </row>
    <row r="32" spans="1:2" x14ac:dyDescent="0.25">
      <c r="A32" s="1" t="s">
        <v>31</v>
      </c>
      <c r="B32">
        <f>BTX!AD38/1000000</f>
        <v>0.64319999999999999</v>
      </c>
    </row>
    <row r="33" spans="1:2" x14ac:dyDescent="0.25">
      <c r="A33" s="1" t="s">
        <v>32</v>
      </c>
      <c r="B33">
        <f>BTX!AD39/1000000</f>
        <v>0</v>
      </c>
    </row>
    <row r="34" spans="1:2" x14ac:dyDescent="0.25">
      <c r="A34" s="1" t="s">
        <v>33</v>
      </c>
      <c r="B34">
        <f>BTX!AD40/1000000</f>
        <v>0</v>
      </c>
    </row>
    <row r="35" spans="1:2" x14ac:dyDescent="0.25">
      <c r="A35" s="1" t="s">
        <v>34</v>
      </c>
      <c r="B35">
        <f>BTX!AD41/1000000</f>
        <v>0</v>
      </c>
    </row>
    <row r="36" spans="1:2" x14ac:dyDescent="0.25">
      <c r="A36" s="1" t="s">
        <v>35</v>
      </c>
      <c r="B36">
        <f>BTX!AD44/1000000</f>
        <v>0</v>
      </c>
    </row>
    <row r="37" spans="1:2" x14ac:dyDescent="0.25">
      <c r="A37" s="12" t="s">
        <v>43</v>
      </c>
      <c r="B37" s="17">
        <f>BTX!AD45</f>
        <v>1095.2329999999999</v>
      </c>
    </row>
    <row r="38" spans="1:2" x14ac:dyDescent="0.25">
      <c r="A38" s="2" t="s">
        <v>45</v>
      </c>
      <c r="B38" s="17">
        <f>BTX!AD46</f>
        <v>177.14999999999998</v>
      </c>
    </row>
    <row r="39" spans="1:2" x14ac:dyDescent="0.25">
      <c r="A39" t="s">
        <v>48</v>
      </c>
      <c r="B39" s="17">
        <f>BTX!AD47</f>
        <v>133.26666666666668</v>
      </c>
    </row>
    <row r="40" spans="1:2" x14ac:dyDescent="0.25">
      <c r="A40" t="s">
        <v>47</v>
      </c>
      <c r="B40" s="17">
        <f>BTX!AD48</f>
        <v>97.213333333333324</v>
      </c>
    </row>
    <row r="41" spans="1:2" x14ac:dyDescent="0.25">
      <c r="A41" t="s">
        <v>49</v>
      </c>
      <c r="B41" s="17">
        <f>BTX!AD49</f>
        <v>162.26666666666665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5F3B-833D-4C74-A06D-4B7712BABEA2}">
  <dimension ref="A1:AD47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11" sqref="A11"/>
      <selection pane="bottomRight" activeCell="A31" sqref="A31:XFD31"/>
    </sheetView>
  </sheetViews>
  <sheetFormatPr baseColWidth="10" defaultColWidth="10.28515625" defaultRowHeight="14.25" x14ac:dyDescent="0.2"/>
  <cols>
    <col min="1" max="6" width="10.28515625" style="3"/>
    <col min="7" max="8" width="11.28515625" style="3" bestFit="1" customWidth="1"/>
    <col min="9" max="14" width="10.28515625" style="3"/>
    <col min="15" max="15" width="11.28515625" style="3" bestFit="1" customWidth="1"/>
    <col min="16" max="24" width="10.28515625" style="3"/>
    <col min="25" max="25" width="11.28515625" style="3" bestFit="1" customWidth="1"/>
    <col min="26" max="26" width="10.28515625" style="3"/>
    <col min="27" max="27" width="11.28515625" style="3" bestFit="1" customWidth="1"/>
    <col min="28" max="16384" width="10.28515625" style="3"/>
  </cols>
  <sheetData>
    <row r="1" spans="1:30" ht="15" x14ac:dyDescent="0.25">
      <c r="A1" s="15" t="s">
        <v>71</v>
      </c>
      <c r="B1"/>
      <c r="C1"/>
    </row>
    <row r="2" spans="1:30" ht="15" x14ac:dyDescent="0.25">
      <c r="A2" s="15" t="s">
        <v>88</v>
      </c>
      <c r="B2" s="16" t="s">
        <v>72</v>
      </c>
      <c r="C2"/>
    </row>
    <row r="3" spans="1:30" ht="15" x14ac:dyDescent="0.25">
      <c r="A3" s="15" t="s">
        <v>89</v>
      </c>
      <c r="B3" s="15" t="s">
        <v>90</v>
      </c>
      <c r="C3"/>
    </row>
    <row r="4" spans="1:30" ht="15" x14ac:dyDescent="0.25">
      <c r="A4"/>
      <c r="B4"/>
      <c r="C4"/>
    </row>
    <row r="5" spans="1:30" ht="15" x14ac:dyDescent="0.25">
      <c r="A5" s="16" t="s">
        <v>41</v>
      </c>
      <c r="B5"/>
      <c r="C5" s="15" t="s">
        <v>76</v>
      </c>
    </row>
    <row r="6" spans="1:30" ht="15" x14ac:dyDescent="0.25">
      <c r="A6" s="16" t="s">
        <v>40</v>
      </c>
      <c r="B6"/>
      <c r="C6" s="15" t="s">
        <v>39</v>
      </c>
    </row>
    <row r="7" spans="1:30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</row>
    <row r="8" spans="1:30" x14ac:dyDescent="0.2">
      <c r="A8" s="7" t="s">
        <v>1</v>
      </c>
      <c r="B8" s="5">
        <v>109801000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6"/>
      <c r="V8" s="6"/>
      <c r="W8" s="6"/>
      <c r="X8" s="6"/>
      <c r="Y8" s="5">
        <v>0</v>
      </c>
      <c r="Z8" s="5">
        <v>0</v>
      </c>
      <c r="AA8" s="5">
        <v>0</v>
      </c>
      <c r="AB8" s="5">
        <v>0</v>
      </c>
      <c r="AC8" s="5">
        <v>0</v>
      </c>
    </row>
    <row r="9" spans="1:30" x14ac:dyDescent="0.2">
      <c r="A9" s="7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23">
        <f>0.5*700000000</f>
        <v>350000000</v>
      </c>
      <c r="P9" s="23">
        <f t="shared" ref="P9:AC9" si="0">0.5*700000000</f>
        <v>350000000</v>
      </c>
      <c r="Q9" s="23">
        <f t="shared" si="0"/>
        <v>350000000</v>
      </c>
      <c r="R9" s="23">
        <f t="shared" si="0"/>
        <v>350000000</v>
      </c>
      <c r="S9" s="23">
        <f t="shared" si="0"/>
        <v>350000000</v>
      </c>
      <c r="T9" s="23">
        <f t="shared" si="0"/>
        <v>350000000</v>
      </c>
      <c r="U9" s="23">
        <f t="shared" si="0"/>
        <v>350000000</v>
      </c>
      <c r="V9" s="23">
        <f t="shared" si="0"/>
        <v>350000000</v>
      </c>
      <c r="W9" s="23">
        <f t="shared" si="0"/>
        <v>350000000</v>
      </c>
      <c r="X9" s="23">
        <f t="shared" si="0"/>
        <v>350000000</v>
      </c>
      <c r="Y9" s="23">
        <f t="shared" si="0"/>
        <v>350000000</v>
      </c>
      <c r="Z9" s="23">
        <f t="shared" si="0"/>
        <v>350000000</v>
      </c>
      <c r="AA9" s="23">
        <f t="shared" si="0"/>
        <v>350000000</v>
      </c>
      <c r="AB9" s="23">
        <f t="shared" si="0"/>
        <v>350000000</v>
      </c>
      <c r="AC9" s="23">
        <f t="shared" si="0"/>
        <v>350000000</v>
      </c>
      <c r="AD9" s="3" t="s">
        <v>101</v>
      </c>
    </row>
    <row r="10" spans="1:30" x14ac:dyDescent="0.2">
      <c r="A10" s="7" t="s">
        <v>3</v>
      </c>
      <c r="B10" s="5">
        <v>389798000</v>
      </c>
      <c r="C10" s="5">
        <v>386355000</v>
      </c>
      <c r="D10" s="5">
        <v>430866000</v>
      </c>
      <c r="E10" s="5">
        <v>411791000</v>
      </c>
      <c r="F10" s="5">
        <v>334119000</v>
      </c>
      <c r="G10" s="5">
        <v>313683000</v>
      </c>
      <c r="H10" s="5">
        <v>300941000</v>
      </c>
      <c r="I10" s="5">
        <v>284014000</v>
      </c>
      <c r="J10" s="6"/>
      <c r="K10" s="6"/>
      <c r="L10" s="6"/>
      <c r="M10" s="6"/>
      <c r="N10" s="6"/>
      <c r="O10" s="5">
        <v>392016000</v>
      </c>
      <c r="P10" s="5">
        <v>367405000</v>
      </c>
      <c r="Q10" s="5">
        <v>361939000</v>
      </c>
      <c r="R10" s="5">
        <v>370015000</v>
      </c>
      <c r="S10" s="5">
        <v>348157000</v>
      </c>
      <c r="T10" s="5">
        <v>341289000</v>
      </c>
      <c r="U10" s="5">
        <v>348624000</v>
      </c>
      <c r="V10" s="5">
        <v>328964000</v>
      </c>
      <c r="W10" s="5">
        <v>313559000</v>
      </c>
      <c r="X10" s="5">
        <v>304266000</v>
      </c>
      <c r="Y10" s="19">
        <f>AVERAGE(X10, Z10)</f>
        <v>279994000</v>
      </c>
      <c r="Z10" s="5">
        <v>255722000</v>
      </c>
      <c r="AA10" s="19">
        <f>Y10</f>
        <v>279994000</v>
      </c>
      <c r="AB10" s="19">
        <f t="shared" ref="AB10:AC10" si="1">Z10</f>
        <v>255722000</v>
      </c>
      <c r="AC10" s="19">
        <f t="shared" si="1"/>
        <v>279994000</v>
      </c>
    </row>
    <row r="11" spans="1:30" x14ac:dyDescent="0.2">
      <c r="A11" s="7" t="s">
        <v>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</row>
    <row r="12" spans="1:30" x14ac:dyDescent="0.2">
      <c r="A12" s="7" t="s">
        <v>5</v>
      </c>
      <c r="B12" s="19">
        <f t="shared" ref="B12:F12" si="2">C12</f>
        <v>612240630</v>
      </c>
      <c r="C12" s="19">
        <f t="shared" si="2"/>
        <v>612240630</v>
      </c>
      <c r="D12" s="19">
        <f t="shared" si="2"/>
        <v>612240630</v>
      </c>
      <c r="E12" s="19">
        <f t="shared" si="2"/>
        <v>612240630</v>
      </c>
      <c r="F12" s="19">
        <f t="shared" si="2"/>
        <v>612240630</v>
      </c>
      <c r="G12" s="19">
        <f>I12</f>
        <v>612240630</v>
      </c>
      <c r="H12" s="5"/>
      <c r="I12" s="5">
        <v>612240630</v>
      </c>
      <c r="J12" s="6"/>
      <c r="K12" s="6"/>
      <c r="L12" s="6"/>
      <c r="M12" s="6"/>
      <c r="N12" s="6"/>
      <c r="O12" s="6"/>
      <c r="P12" s="6"/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/>
      <c r="AB12" s="5"/>
      <c r="AC12" s="5"/>
    </row>
    <row r="13" spans="1:30" x14ac:dyDescent="0.2">
      <c r="A13" s="7" t="s">
        <v>6</v>
      </c>
      <c r="B13" s="5">
        <v>0</v>
      </c>
      <c r="C13" s="5">
        <v>0</v>
      </c>
      <c r="D13" s="6"/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/>
      <c r="AC13" s="5"/>
    </row>
    <row r="14" spans="1:30" x14ac:dyDescent="0.2">
      <c r="A14" s="7" t="s">
        <v>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6"/>
      <c r="K14" s="6"/>
      <c r="L14" s="6"/>
      <c r="M14" s="6"/>
      <c r="N14" s="6"/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/>
      <c r="AC14" s="5"/>
    </row>
    <row r="15" spans="1:30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</row>
    <row r="16" spans="1:30" x14ac:dyDescent="0.2">
      <c r="A16" s="7" t="s">
        <v>9</v>
      </c>
      <c r="B16" s="6"/>
      <c r="C16" s="6"/>
      <c r="D16" s="6"/>
      <c r="E16" s="6"/>
      <c r="F16" s="6"/>
      <c r="G16" s="5">
        <v>69321547</v>
      </c>
      <c r="H16" s="5">
        <v>56357613</v>
      </c>
      <c r="I16" s="5">
        <v>96803271</v>
      </c>
      <c r="J16" s="6"/>
      <c r="K16" s="6"/>
      <c r="L16" s="6"/>
      <c r="M16" s="6"/>
      <c r="N16" s="6"/>
      <c r="O16" s="5">
        <v>101483187</v>
      </c>
      <c r="P16" s="5">
        <v>73259485</v>
      </c>
      <c r="Q16" s="5">
        <v>52891353</v>
      </c>
      <c r="R16" s="5">
        <v>89792850</v>
      </c>
      <c r="S16" s="5">
        <v>82537613</v>
      </c>
      <c r="T16" s="5">
        <v>93865239</v>
      </c>
      <c r="U16" s="5">
        <v>23823206</v>
      </c>
      <c r="V16" s="5">
        <v>11000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/>
      <c r="AC16" s="5"/>
    </row>
    <row r="17" spans="1:30" x14ac:dyDescent="0.2">
      <c r="A17" s="7" t="s">
        <v>10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23">
        <f>0.5*100000000</f>
        <v>50000000</v>
      </c>
      <c r="P17" s="23">
        <f t="shared" ref="P17:AC17" si="3">0.5*100000000</f>
        <v>50000000</v>
      </c>
      <c r="Q17" s="23">
        <f t="shared" si="3"/>
        <v>50000000</v>
      </c>
      <c r="R17" s="23">
        <f t="shared" si="3"/>
        <v>50000000</v>
      </c>
      <c r="S17" s="23">
        <f t="shared" si="3"/>
        <v>50000000</v>
      </c>
      <c r="T17" s="23">
        <f t="shared" si="3"/>
        <v>50000000</v>
      </c>
      <c r="U17" s="23">
        <f t="shared" si="3"/>
        <v>50000000</v>
      </c>
      <c r="V17" s="23">
        <f t="shared" si="3"/>
        <v>50000000</v>
      </c>
      <c r="W17" s="23">
        <f t="shared" si="3"/>
        <v>50000000</v>
      </c>
      <c r="X17" s="23">
        <f t="shared" si="3"/>
        <v>50000000</v>
      </c>
      <c r="Y17" s="23">
        <f t="shared" si="3"/>
        <v>50000000</v>
      </c>
      <c r="Z17" s="23">
        <f t="shared" si="3"/>
        <v>50000000</v>
      </c>
      <c r="AA17" s="23">
        <f t="shared" si="3"/>
        <v>50000000</v>
      </c>
      <c r="AB17" s="23">
        <f t="shared" si="3"/>
        <v>50000000</v>
      </c>
      <c r="AC17" s="23">
        <f t="shared" si="3"/>
        <v>50000000</v>
      </c>
      <c r="AD17" s="3" t="s">
        <v>101</v>
      </c>
    </row>
    <row r="18" spans="1:30" x14ac:dyDescent="0.2">
      <c r="A18" s="7" t="s">
        <v>11</v>
      </c>
      <c r="B18" s="5">
        <v>0</v>
      </c>
      <c r="C18" s="5">
        <v>0</v>
      </c>
      <c r="D18" s="5">
        <v>0</v>
      </c>
      <c r="E18" s="5">
        <v>0</v>
      </c>
      <c r="F18" s="6"/>
      <c r="G18" s="5">
        <v>0</v>
      </c>
      <c r="H18" s="6"/>
      <c r="I18" s="6"/>
      <c r="J18" s="6"/>
      <c r="K18" s="6"/>
      <c r="L18" s="6"/>
      <c r="M18" s="6"/>
      <c r="N18" s="6"/>
      <c r="O18" s="22">
        <f>0.5*600000000</f>
        <v>300000000</v>
      </c>
      <c r="P18" s="22">
        <f t="shared" ref="P18:AC18" si="4">0.5*600000000</f>
        <v>300000000</v>
      </c>
      <c r="Q18" s="22">
        <f t="shared" si="4"/>
        <v>300000000</v>
      </c>
      <c r="R18" s="22">
        <f t="shared" si="4"/>
        <v>300000000</v>
      </c>
      <c r="S18" s="22">
        <f t="shared" si="4"/>
        <v>300000000</v>
      </c>
      <c r="T18" s="22">
        <f t="shared" si="4"/>
        <v>300000000</v>
      </c>
      <c r="U18" s="22">
        <f t="shared" si="4"/>
        <v>300000000</v>
      </c>
      <c r="V18" s="22">
        <f t="shared" si="4"/>
        <v>300000000</v>
      </c>
      <c r="W18" s="22">
        <f t="shared" si="4"/>
        <v>300000000</v>
      </c>
      <c r="X18" s="22">
        <f t="shared" si="4"/>
        <v>300000000</v>
      </c>
      <c r="Y18" s="22">
        <f t="shared" si="4"/>
        <v>300000000</v>
      </c>
      <c r="Z18" s="22">
        <f t="shared" si="4"/>
        <v>300000000</v>
      </c>
      <c r="AA18" s="22">
        <f t="shared" si="4"/>
        <v>300000000</v>
      </c>
      <c r="AB18" s="22">
        <f t="shared" si="4"/>
        <v>300000000</v>
      </c>
      <c r="AC18" s="22">
        <f t="shared" si="4"/>
        <v>300000000</v>
      </c>
      <c r="AD18" s="3" t="s">
        <v>101</v>
      </c>
    </row>
    <row r="19" spans="1:30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</row>
    <row r="20" spans="1:30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</row>
    <row r="21" spans="1:30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/>
      <c r="AC21" s="5"/>
    </row>
    <row r="22" spans="1:30" x14ac:dyDescent="0.2">
      <c r="A22" s="7" t="s">
        <v>15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/>
      <c r="K22" s="6"/>
      <c r="L22" s="6"/>
      <c r="M22" s="6"/>
      <c r="N22" s="6"/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</row>
    <row r="23" spans="1:30" x14ac:dyDescent="0.2">
      <c r="A23" s="7" t="s">
        <v>16</v>
      </c>
      <c r="B23" s="6"/>
      <c r="C23" s="6"/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/>
      <c r="K23" s="6"/>
      <c r="L23" s="6"/>
      <c r="M23" s="6"/>
      <c r="N23" s="6"/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</row>
    <row r="24" spans="1:30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/>
      <c r="AC24" s="5"/>
    </row>
    <row r="25" spans="1:30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</row>
    <row r="26" spans="1:30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">
        <v>0</v>
      </c>
      <c r="S26" s="6"/>
      <c r="T26" s="6"/>
      <c r="U26" s="6"/>
      <c r="V26" s="6"/>
      <c r="W26" s="6"/>
      <c r="X26" s="6"/>
      <c r="Y26" s="6"/>
      <c r="Z26" s="5"/>
      <c r="AA26" s="5"/>
      <c r="AB26" s="5"/>
      <c r="AC26" s="5"/>
    </row>
    <row r="27" spans="1:30" x14ac:dyDescent="0.2">
      <c r="A27" s="7" t="s">
        <v>20</v>
      </c>
      <c r="B27" s="6"/>
      <c r="C27" s="6"/>
      <c r="D27" s="6"/>
      <c r="E27" s="6"/>
      <c r="F27" s="6"/>
      <c r="G27" s="5">
        <v>0</v>
      </c>
      <c r="H27" s="5">
        <v>0</v>
      </c>
      <c r="I27" s="5">
        <v>0</v>
      </c>
      <c r="J27" s="6"/>
      <c r="K27" s="6"/>
      <c r="L27" s="6"/>
      <c r="M27" s="6"/>
      <c r="N27" s="6"/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/>
      <c r="AB27" s="5"/>
      <c r="AC27" s="5"/>
    </row>
    <row r="28" spans="1:30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/>
      <c r="AC28" s="5"/>
    </row>
    <row r="29" spans="1:30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/>
      <c r="AC29" s="5">
        <v>0</v>
      </c>
    </row>
    <row r="30" spans="1:30" x14ac:dyDescent="0.2">
      <c r="A30" s="7" t="s">
        <v>23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5">
        <v>100000</v>
      </c>
      <c r="Q30" s="5">
        <v>0</v>
      </c>
      <c r="R30" s="19">
        <f t="shared" ref="R30:T30" si="5">S30</f>
        <v>398835000</v>
      </c>
      <c r="S30" s="19">
        <f t="shared" si="5"/>
        <v>398835000</v>
      </c>
      <c r="T30" s="19">
        <f t="shared" si="5"/>
        <v>398835000</v>
      </c>
      <c r="U30" s="19">
        <f>V30</f>
        <v>398835000</v>
      </c>
      <c r="V30" s="19">
        <f>W30</f>
        <v>398835000</v>
      </c>
      <c r="W30" s="5">
        <v>398835000</v>
      </c>
      <c r="X30" s="5">
        <v>320436000</v>
      </c>
      <c r="Y30" s="19">
        <f>AVERAGE(X30,Z30)</f>
        <v>369669000</v>
      </c>
      <c r="Z30" s="5">
        <v>418902000</v>
      </c>
      <c r="AA30" s="19">
        <f>Z30</f>
        <v>418902000</v>
      </c>
      <c r="AB30" s="19">
        <f>AA30</f>
        <v>418902000</v>
      </c>
      <c r="AC30" s="5"/>
      <c r="AD30" s="26" t="s">
        <v>105</v>
      </c>
    </row>
    <row r="31" spans="1:30" x14ac:dyDescent="0.2">
      <c r="A31" s="7" t="s">
        <v>24</v>
      </c>
      <c r="B31" s="6"/>
      <c r="C31" s="6"/>
      <c r="D31" s="6"/>
      <c r="E31" s="6"/>
      <c r="F31" s="6"/>
      <c r="G31" s="6"/>
      <c r="H31" s="5">
        <v>0</v>
      </c>
      <c r="I31" s="5">
        <v>0</v>
      </c>
      <c r="J31" s="6"/>
      <c r="K31" s="6"/>
      <c r="L31" s="6"/>
      <c r="M31" s="6"/>
      <c r="N31" s="6"/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/>
      <c r="AC31" s="5"/>
    </row>
    <row r="32" spans="1:30" x14ac:dyDescent="0.2">
      <c r="A32" s="7" t="s">
        <v>25</v>
      </c>
      <c r="B32" s="6"/>
      <c r="C32" s="6"/>
      <c r="D32" s="6"/>
      <c r="E32" s="6"/>
      <c r="F32" s="6"/>
      <c r="G32" s="6"/>
      <c r="H32" s="6"/>
      <c r="I32" s="5">
        <v>0</v>
      </c>
      <c r="J32" s="6"/>
      <c r="K32" s="6"/>
      <c r="L32" s="6"/>
      <c r="M32" s="6"/>
      <c r="N32" s="6"/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6"/>
      <c r="I33" s="5">
        <v>0</v>
      </c>
      <c r="J33" s="6"/>
      <c r="K33" s="6"/>
      <c r="L33" s="6"/>
      <c r="M33" s="6"/>
      <c r="N33" s="6"/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/>
      <c r="AC33" s="5"/>
    </row>
    <row r="34" spans="1:29" x14ac:dyDescent="0.2">
      <c r="A34" s="7" t="s">
        <v>27</v>
      </c>
      <c r="B34" s="6"/>
      <c r="C34" s="6"/>
      <c r="D34" s="6"/>
      <c r="E34" s="6"/>
      <c r="F34" s="6"/>
      <c r="G34" s="5">
        <v>0</v>
      </c>
      <c r="H34" s="5">
        <v>0</v>
      </c>
      <c r="I34" s="6"/>
      <c r="J34" s="6"/>
      <c r="K34" s="6"/>
      <c r="L34" s="6"/>
      <c r="M34" s="6"/>
      <c r="N34" s="6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5">
        <v>0</v>
      </c>
      <c r="I35" s="5">
        <v>0</v>
      </c>
      <c r="J35" s="6"/>
      <c r="K35" s="6"/>
      <c r="L35" s="6"/>
      <c r="M35" s="6"/>
      <c r="N35" s="6"/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/>
      <c r="AC35" s="5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/>
      <c r="AC37" s="5"/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5">
        <v>0</v>
      </c>
      <c r="AA38" s="5">
        <v>0</v>
      </c>
      <c r="AB38" s="5"/>
      <c r="AC38" s="5"/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/>
      <c r="AC41" s="5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936277187</v>
      </c>
      <c r="P42" s="5">
        <v>1156350289</v>
      </c>
      <c r="Q42" s="5">
        <v>1273015325</v>
      </c>
      <c r="R42" s="5">
        <v>1644489977</v>
      </c>
      <c r="S42" s="5">
        <v>1773042094</v>
      </c>
      <c r="T42" s="5">
        <v>1743543538</v>
      </c>
      <c r="U42" s="5">
        <v>1458117230</v>
      </c>
      <c r="V42" s="5">
        <v>1568627387</v>
      </c>
      <c r="W42" s="5">
        <v>1376622017</v>
      </c>
      <c r="X42" s="5">
        <v>1366061517</v>
      </c>
      <c r="Y42" s="5">
        <v>1136124445</v>
      </c>
      <c r="Z42" s="5">
        <v>1310810408</v>
      </c>
      <c r="AA42" s="5">
        <v>1200831408</v>
      </c>
      <c r="AB42" s="5">
        <v>933759084</v>
      </c>
      <c r="AC42" s="5">
        <v>889009993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1016277187</v>
      </c>
      <c r="P43" s="5">
        <v>1196350289</v>
      </c>
      <c r="Q43" s="5">
        <v>1273015325</v>
      </c>
      <c r="R43" s="5">
        <v>1644489977</v>
      </c>
      <c r="S43" s="5">
        <v>1773042094</v>
      </c>
      <c r="T43" s="5">
        <v>1743543538</v>
      </c>
      <c r="U43" s="5">
        <v>1458117230</v>
      </c>
      <c r="V43" s="5">
        <v>1568627387</v>
      </c>
      <c r="W43" s="5">
        <v>1376622017</v>
      </c>
      <c r="X43" s="5">
        <v>1366061517</v>
      </c>
      <c r="Y43" s="5">
        <v>1136124445</v>
      </c>
      <c r="Z43" s="5">
        <v>1310810408</v>
      </c>
      <c r="AA43" s="5"/>
      <c r="AB43" s="5"/>
      <c r="AC43" s="5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</row>
    <row r="45" spans="1:29" x14ac:dyDescent="0.2">
      <c r="A45" s="3" t="s">
        <v>77</v>
      </c>
      <c r="P45" s="3">
        <v>0</v>
      </c>
      <c r="Q45" s="3">
        <v>0</v>
      </c>
      <c r="R45" s="3">
        <v>0</v>
      </c>
      <c r="S45" s="3">
        <v>0</v>
      </c>
    </row>
    <row r="46" spans="1:29" x14ac:dyDescent="0.2">
      <c r="A46" s="4"/>
    </row>
    <row r="47" spans="1:29" x14ac:dyDescent="0.2">
      <c r="A47" s="4"/>
      <c r="B47" s="4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47"/>
  <sheetViews>
    <sheetView zoomScale="85" zoomScaleNormal="85" workbookViewId="0">
      <selection activeCell="A14" sqref="A14:XFD14"/>
    </sheetView>
  </sheetViews>
  <sheetFormatPr baseColWidth="10" defaultColWidth="10.28515625" defaultRowHeight="14.25" x14ac:dyDescent="0.2"/>
  <cols>
    <col min="1" max="16384" width="10.28515625" style="3"/>
  </cols>
  <sheetData>
    <row r="1" spans="1:29" ht="15" x14ac:dyDescent="0.25">
      <c r="A1" s="15" t="s">
        <v>71</v>
      </c>
      <c r="B1"/>
      <c r="C1"/>
      <c r="D1"/>
    </row>
    <row r="2" spans="1:29" ht="15" x14ac:dyDescent="0.25">
      <c r="A2" s="15" t="s">
        <v>88</v>
      </c>
      <c r="B2" s="16" t="s">
        <v>72</v>
      </c>
      <c r="C2"/>
      <c r="D2"/>
    </row>
    <row r="3" spans="1:29" ht="15" x14ac:dyDescent="0.25">
      <c r="A3" s="15" t="s">
        <v>89</v>
      </c>
      <c r="B3" s="15" t="s">
        <v>90</v>
      </c>
      <c r="C3"/>
      <c r="D3"/>
    </row>
    <row r="4" spans="1:29" ht="15" x14ac:dyDescent="0.25">
      <c r="A4"/>
      <c r="B4"/>
      <c r="C4"/>
      <c r="D4"/>
    </row>
    <row r="5" spans="1:29" ht="15" x14ac:dyDescent="0.25">
      <c r="A5" s="16" t="s">
        <v>41</v>
      </c>
      <c r="B5"/>
      <c r="C5" s="15" t="s">
        <v>78</v>
      </c>
      <c r="D5"/>
    </row>
    <row r="6" spans="1:29" ht="15" x14ac:dyDescent="0.25">
      <c r="A6" s="16" t="s">
        <v>40</v>
      </c>
      <c r="B6"/>
      <c r="C6" s="15" t="s">
        <v>39</v>
      </c>
      <c r="D6"/>
    </row>
    <row r="7" spans="1:29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</row>
    <row r="8" spans="1:29" x14ac:dyDescent="0.2">
      <c r="A8" s="7" t="s">
        <v>1</v>
      </c>
      <c r="B8" s="5">
        <v>16962000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"/>
      <c r="X8" s="6"/>
      <c r="Y8" s="6"/>
      <c r="Z8" s="6"/>
      <c r="AA8" s="6"/>
      <c r="AB8" s="6"/>
      <c r="AC8" s="6"/>
    </row>
    <row r="9" spans="1:29" x14ac:dyDescent="0.2">
      <c r="A9" s="7" t="s">
        <v>2</v>
      </c>
      <c r="B9" s="6"/>
      <c r="C9" s="6"/>
      <c r="D9" s="6"/>
      <c r="E9" s="6"/>
      <c r="F9" s="5">
        <v>0</v>
      </c>
      <c r="G9" s="5">
        <v>0</v>
      </c>
      <c r="H9" s="5">
        <v>0</v>
      </c>
      <c r="I9" s="5">
        <v>0</v>
      </c>
      <c r="J9" s="6"/>
      <c r="K9" s="6"/>
      <c r="L9" s="6"/>
      <c r="M9" s="6"/>
      <c r="N9" s="6"/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6"/>
      <c r="X9" s="6"/>
      <c r="Y9" s="6"/>
      <c r="Z9" s="6">
        <v>0</v>
      </c>
      <c r="AA9" s="6"/>
      <c r="AB9" s="6"/>
      <c r="AC9" s="6">
        <v>0</v>
      </c>
    </row>
    <row r="10" spans="1:29" x14ac:dyDescent="0.2">
      <c r="A10" s="7" t="s">
        <v>3</v>
      </c>
      <c r="B10" s="5">
        <v>102302000</v>
      </c>
      <c r="C10" s="5">
        <v>141356000</v>
      </c>
      <c r="D10" s="5">
        <v>62885000</v>
      </c>
      <c r="E10" s="5">
        <v>55396000</v>
      </c>
      <c r="F10" s="5">
        <v>74473000</v>
      </c>
      <c r="G10" s="5">
        <v>73133000</v>
      </c>
      <c r="H10" s="5">
        <v>66927000</v>
      </c>
      <c r="I10" s="5">
        <v>57937000</v>
      </c>
      <c r="J10" s="6"/>
      <c r="K10" s="6"/>
      <c r="L10" s="6"/>
      <c r="M10" s="6"/>
      <c r="N10" s="6"/>
      <c r="O10" s="5">
        <v>54724000</v>
      </c>
      <c r="P10" s="6"/>
      <c r="Q10" s="5">
        <v>84897000</v>
      </c>
      <c r="R10" s="6"/>
      <c r="S10" s="5">
        <v>121005000</v>
      </c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">
      <c r="A11" s="7" t="s">
        <v>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5">
        <v>22821000</v>
      </c>
      <c r="W11" s="6"/>
      <c r="X11" s="6"/>
      <c r="Y11" s="5">
        <v>31960000</v>
      </c>
      <c r="Z11" s="6">
        <v>0</v>
      </c>
      <c r="AA11" s="6">
        <v>0</v>
      </c>
      <c r="AB11" s="6">
        <v>0</v>
      </c>
      <c r="AC11" s="6">
        <v>0</v>
      </c>
    </row>
    <row r="12" spans="1:29" x14ac:dyDescent="0.2">
      <c r="A12" s="7" t="s">
        <v>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5">
        <v>0</v>
      </c>
      <c r="P12" s="6"/>
      <c r="Q12" s="6"/>
      <c r="R12" s="6"/>
      <c r="S12" s="6"/>
      <c r="T12" s="6"/>
      <c r="U12" s="5">
        <v>122414</v>
      </c>
      <c r="V12" s="5">
        <v>168220</v>
      </c>
      <c r="W12" s="5">
        <v>150859</v>
      </c>
      <c r="X12" s="6"/>
      <c r="Y12" s="5">
        <v>360077</v>
      </c>
      <c r="Z12" s="6">
        <v>700367</v>
      </c>
      <c r="AA12" s="6"/>
      <c r="AB12" s="6"/>
      <c r="AC12" s="6"/>
    </row>
    <row r="13" spans="1:29" x14ac:dyDescent="0.2">
      <c r="A13" s="7" t="s">
        <v>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6">
        <v>0</v>
      </c>
      <c r="AA13" s="6">
        <v>0</v>
      </c>
      <c r="AB13" s="6"/>
      <c r="AC13" s="6"/>
    </row>
    <row r="14" spans="1:29" x14ac:dyDescent="0.2">
      <c r="A14" s="7" t="s">
        <v>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5">
        <v>0</v>
      </c>
      <c r="T14" s="5">
        <v>0</v>
      </c>
      <c r="U14" s="5">
        <v>1657</v>
      </c>
      <c r="V14" s="5">
        <v>454</v>
      </c>
      <c r="W14" s="6"/>
      <c r="X14" s="5">
        <v>453</v>
      </c>
      <c r="Y14" s="5">
        <v>2435</v>
      </c>
      <c r="Z14" s="6"/>
      <c r="AA14" s="6"/>
      <c r="AB14" s="6"/>
      <c r="AC14" s="6"/>
    </row>
    <row r="15" spans="1:29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6"/>
      <c r="T15" s="6"/>
      <c r="U15" s="6"/>
      <c r="V15" s="6"/>
      <c r="W15" s="6"/>
      <c r="X15" s="6"/>
      <c r="Y15" s="6"/>
      <c r="Z15" s="6">
        <v>0</v>
      </c>
      <c r="AA15" s="6">
        <v>0</v>
      </c>
      <c r="AB15" s="6">
        <v>0</v>
      </c>
      <c r="AC15" s="6">
        <v>0</v>
      </c>
    </row>
    <row r="16" spans="1:29" x14ac:dyDescent="0.2">
      <c r="A16" s="7" t="s">
        <v>9</v>
      </c>
      <c r="B16" s="6"/>
      <c r="C16" s="6"/>
      <c r="D16" s="6"/>
      <c r="E16" s="6"/>
      <c r="F16" s="6"/>
      <c r="G16" s="5">
        <v>23662000</v>
      </c>
      <c r="H16" s="5">
        <v>17929967</v>
      </c>
      <c r="I16" s="5">
        <v>20445891</v>
      </c>
      <c r="J16" s="6"/>
      <c r="K16" s="6"/>
      <c r="L16" s="6"/>
      <c r="M16" s="6"/>
      <c r="N16" s="6"/>
      <c r="O16" s="5">
        <v>26778666</v>
      </c>
      <c r="P16" s="5">
        <v>22999798</v>
      </c>
      <c r="Q16" s="5">
        <v>32299663</v>
      </c>
      <c r="R16" s="5">
        <v>15913880</v>
      </c>
      <c r="S16" s="5">
        <v>11244918</v>
      </c>
      <c r="T16" s="5">
        <v>27453476</v>
      </c>
      <c r="U16" s="5">
        <v>105034221</v>
      </c>
      <c r="V16" s="5">
        <v>139159000</v>
      </c>
      <c r="W16" s="5">
        <v>112978073</v>
      </c>
      <c r="X16" s="6"/>
      <c r="Y16" s="6"/>
      <c r="Z16" s="6"/>
      <c r="AA16" s="6">
        <v>136786317</v>
      </c>
      <c r="AB16" s="6"/>
      <c r="AC16" s="6"/>
    </row>
    <row r="17" spans="1:29" x14ac:dyDescent="0.2">
      <c r="A17" s="7" t="s">
        <v>10</v>
      </c>
      <c r="B17" s="5">
        <v>0</v>
      </c>
      <c r="C17" s="5">
        <v>114844000</v>
      </c>
      <c r="D17" s="5">
        <v>112273000</v>
      </c>
      <c r="E17" s="5">
        <v>106503000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>
        <v>116328000</v>
      </c>
      <c r="AC17" s="6">
        <v>99818000</v>
      </c>
    </row>
    <row r="18" spans="1:29" x14ac:dyDescent="0.2">
      <c r="A18" s="7" t="s">
        <v>11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6">
        <v>0</v>
      </c>
      <c r="AA19" s="6">
        <v>0</v>
      </c>
      <c r="AB19" s="6">
        <v>0</v>
      </c>
      <c r="AC19" s="6">
        <v>0</v>
      </c>
    </row>
    <row r="20" spans="1:29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6">
        <v>0</v>
      </c>
      <c r="AA20" s="6">
        <v>0</v>
      </c>
      <c r="AB20" s="6">
        <v>0</v>
      </c>
      <c r="AC20" s="6">
        <v>0</v>
      </c>
    </row>
    <row r="21" spans="1:29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6">
        <v>0</v>
      </c>
      <c r="AA21" s="6">
        <v>0</v>
      </c>
      <c r="AB21" s="6"/>
      <c r="AC21" s="6"/>
    </row>
    <row r="22" spans="1:29" x14ac:dyDescent="0.2">
      <c r="A22" s="7" t="s">
        <v>15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/>
      <c r="K22" s="6"/>
      <c r="L22" s="6"/>
      <c r="M22" s="6"/>
      <c r="N22" s="6"/>
      <c r="O22" s="6"/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6"/>
      <c r="V22" s="6"/>
      <c r="W22" s="5">
        <v>0</v>
      </c>
      <c r="X22" s="5">
        <v>0</v>
      </c>
      <c r="Y22" s="5">
        <v>0</v>
      </c>
      <c r="Z22" s="6">
        <v>0</v>
      </c>
      <c r="AA22" s="6">
        <v>0</v>
      </c>
      <c r="AB22" s="6">
        <v>0</v>
      </c>
      <c r="AC22" s="6"/>
    </row>
    <row r="23" spans="1:29" x14ac:dyDescent="0.2">
      <c r="A23" s="7" t="s">
        <v>16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6">
        <v>0</v>
      </c>
      <c r="AA23" s="6">
        <v>0</v>
      </c>
      <c r="AB23" s="6"/>
      <c r="AC23" s="6"/>
    </row>
    <row r="24" spans="1:29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6">
        <v>0</v>
      </c>
      <c r="AA24" s="6">
        <v>0</v>
      </c>
      <c r="AB24" s="6"/>
      <c r="AC24" s="6"/>
    </row>
    <row r="25" spans="1:29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6">
        <v>0</v>
      </c>
      <c r="AA25" s="6">
        <v>0</v>
      </c>
      <c r="AB25" s="6">
        <v>0</v>
      </c>
      <c r="AC25" s="6">
        <v>0</v>
      </c>
    </row>
    <row r="26" spans="1:29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5">
        <v>0</v>
      </c>
      <c r="P26" s="5">
        <v>0</v>
      </c>
      <c r="Q26" s="5">
        <v>0</v>
      </c>
      <c r="R26" s="5">
        <v>0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2">
      <c r="A27" s="7" t="s">
        <v>20</v>
      </c>
      <c r="B27" s="6"/>
      <c r="C27" s="6"/>
      <c r="D27" s="6"/>
      <c r="E27" s="6"/>
      <c r="F27" s="6"/>
      <c r="G27" s="5">
        <v>0</v>
      </c>
      <c r="H27" s="5">
        <v>0</v>
      </c>
      <c r="I27" s="5">
        <v>0</v>
      </c>
      <c r="J27" s="6"/>
      <c r="K27" s="6"/>
      <c r="L27" s="6"/>
      <c r="M27" s="6"/>
      <c r="N27" s="6"/>
      <c r="O27" s="6"/>
      <c r="P27" s="6"/>
      <c r="Q27" s="5">
        <v>2000</v>
      </c>
      <c r="R27" s="5">
        <v>3000</v>
      </c>
      <c r="S27" s="5">
        <v>3000</v>
      </c>
      <c r="T27" s="5">
        <v>3000</v>
      </c>
      <c r="U27" s="5">
        <v>3000</v>
      </c>
      <c r="V27" s="5">
        <v>3900</v>
      </c>
      <c r="W27" s="5">
        <v>2000</v>
      </c>
      <c r="X27" s="5">
        <v>2600</v>
      </c>
      <c r="Y27" s="5">
        <v>2300</v>
      </c>
      <c r="Z27" s="6">
        <v>6000</v>
      </c>
      <c r="AA27" s="6">
        <v>4000</v>
      </c>
      <c r="AB27" s="6">
        <v>2000</v>
      </c>
      <c r="AC27" s="6">
        <v>2800</v>
      </c>
    </row>
    <row r="28" spans="1:29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6">
        <v>0</v>
      </c>
      <c r="AA28" s="6">
        <v>0</v>
      </c>
      <c r="AB28" s="6"/>
      <c r="AC28" s="6"/>
    </row>
    <row r="29" spans="1:29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6">
        <v>0</v>
      </c>
      <c r="AA29" s="6">
        <v>0</v>
      </c>
      <c r="AB29" s="6"/>
      <c r="AC29" s="6">
        <v>0</v>
      </c>
    </row>
    <row r="30" spans="1:29" x14ac:dyDescent="0.2">
      <c r="A30" s="7" t="s">
        <v>23</v>
      </c>
      <c r="B30" s="6"/>
      <c r="C30" s="6"/>
      <c r="D30" s="6"/>
      <c r="E30" s="6"/>
      <c r="F30" s="6"/>
      <c r="G30" s="6"/>
      <c r="H30" s="6"/>
      <c r="I30" s="5">
        <v>41572000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6">
        <v>0</v>
      </c>
      <c r="AA30" s="6"/>
      <c r="AB30" s="6"/>
      <c r="AC30" s="6"/>
    </row>
    <row r="31" spans="1:29" x14ac:dyDescent="0.2">
      <c r="A31" s="7" t="s">
        <v>24</v>
      </c>
      <c r="B31" s="6"/>
      <c r="C31" s="6"/>
      <c r="D31" s="6"/>
      <c r="E31" s="6"/>
      <c r="F31" s="6"/>
      <c r="G31" s="6"/>
      <c r="H31" s="5">
        <v>0</v>
      </c>
      <c r="I31" s="5">
        <v>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2">
      <c r="A32" s="7" t="s">
        <v>25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5">
        <v>46993560</v>
      </c>
      <c r="W32" s="5">
        <v>37314700</v>
      </c>
      <c r="X32" s="5">
        <v>30964121</v>
      </c>
      <c r="Y32" s="5">
        <v>38129400</v>
      </c>
      <c r="Z32" s="6">
        <v>39546431</v>
      </c>
      <c r="AA32" s="6">
        <v>41533452</v>
      </c>
      <c r="AB32" s="6">
        <v>44995544</v>
      </c>
      <c r="AC32" s="6">
        <v>38760744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5">
        <v>4434000</v>
      </c>
      <c r="W33" s="5">
        <v>3117000</v>
      </c>
      <c r="X33" s="5">
        <v>3043000</v>
      </c>
      <c r="Y33" s="5">
        <v>2997000</v>
      </c>
      <c r="Z33" s="6">
        <v>3012000</v>
      </c>
      <c r="AA33" s="6">
        <v>2287000</v>
      </c>
      <c r="AB33" s="6">
        <v>2109000</v>
      </c>
      <c r="AC33" s="6"/>
    </row>
    <row r="34" spans="1:29" x14ac:dyDescent="0.2">
      <c r="A34" s="7" t="s">
        <v>27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6">
        <v>0</v>
      </c>
      <c r="AA34" s="6">
        <v>0</v>
      </c>
      <c r="AB34" s="6">
        <v>0</v>
      </c>
      <c r="AC34" s="6">
        <v>0</v>
      </c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6"/>
      <c r="I35" s="5">
        <v>0</v>
      </c>
      <c r="J35" s="6"/>
      <c r="K35" s="6"/>
      <c r="L35" s="6"/>
      <c r="M35" s="6"/>
      <c r="N35" s="6"/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6">
        <v>0</v>
      </c>
      <c r="AA35" s="6">
        <v>0</v>
      </c>
      <c r="AB35" s="6"/>
      <c r="AC35" s="6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6">
        <v>0</v>
      </c>
      <c r="AA36" s="6">
        <v>0</v>
      </c>
      <c r="AB36" s="6">
        <v>0</v>
      </c>
      <c r="AC36" s="6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5">
        <v>2000</v>
      </c>
      <c r="P37" s="5">
        <v>2000</v>
      </c>
      <c r="Q37" s="5">
        <v>2000</v>
      </c>
      <c r="R37" s="5">
        <v>2000</v>
      </c>
      <c r="S37" s="5">
        <v>2000</v>
      </c>
      <c r="T37" s="5">
        <v>1000</v>
      </c>
      <c r="U37" s="5">
        <v>2000</v>
      </c>
      <c r="V37" s="5">
        <v>1000</v>
      </c>
      <c r="W37" s="5">
        <v>0</v>
      </c>
      <c r="X37" s="5">
        <v>0</v>
      </c>
      <c r="Y37" s="5">
        <v>0</v>
      </c>
      <c r="Z37" s="6">
        <v>0</v>
      </c>
      <c r="AA37" s="6">
        <v>0</v>
      </c>
      <c r="AB37" s="6"/>
      <c r="AC37" s="6"/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6">
        <v>0</v>
      </c>
      <c r="AA38" s="6">
        <v>0</v>
      </c>
      <c r="AB38" s="6"/>
      <c r="AC38" s="6"/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6">
        <v>0</v>
      </c>
      <c r="AA39" s="6">
        <v>0</v>
      </c>
      <c r="AB39" s="6">
        <v>0</v>
      </c>
      <c r="AC39" s="6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6">
        <v>0</v>
      </c>
      <c r="AA40" s="6">
        <v>0</v>
      </c>
      <c r="AB40" s="6">
        <v>0</v>
      </c>
      <c r="AC40" s="6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6"/>
      <c r="AA41" s="6"/>
      <c r="AB41" s="6"/>
      <c r="AC41" s="6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453098767</v>
      </c>
      <c r="P42" s="5">
        <v>419740816</v>
      </c>
      <c r="Q42" s="5">
        <v>457792295</v>
      </c>
      <c r="R42" s="5">
        <v>400275043</v>
      </c>
      <c r="S42" s="5">
        <v>414840866</v>
      </c>
      <c r="T42" s="5">
        <v>370294463</v>
      </c>
      <c r="U42" s="5">
        <v>452515580</v>
      </c>
      <c r="V42" s="5">
        <v>434127426</v>
      </c>
      <c r="W42" s="5">
        <v>362724516</v>
      </c>
      <c r="X42" s="5">
        <v>360000000</v>
      </c>
      <c r="Y42" s="5">
        <v>379244809</v>
      </c>
      <c r="Z42" s="6">
        <v>376149187</v>
      </c>
      <c r="AA42" s="6">
        <v>376564460</v>
      </c>
      <c r="AB42" s="6">
        <v>253349329</v>
      </c>
      <c r="AC42" s="6">
        <v>197727248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453098767</v>
      </c>
      <c r="P43" s="5">
        <v>419820816</v>
      </c>
      <c r="Q43" s="5">
        <v>457832295</v>
      </c>
      <c r="R43" s="5">
        <v>400356043</v>
      </c>
      <c r="S43" s="5">
        <v>414960866</v>
      </c>
      <c r="T43" s="5">
        <v>370414463</v>
      </c>
      <c r="U43" s="5">
        <v>452637994</v>
      </c>
      <c r="V43" s="5">
        <v>434295646</v>
      </c>
      <c r="W43" s="5">
        <v>362875375</v>
      </c>
      <c r="X43" s="5">
        <v>385400077</v>
      </c>
      <c r="Y43" s="5">
        <v>379604886</v>
      </c>
      <c r="Z43" s="6">
        <v>376849554</v>
      </c>
      <c r="AA43" s="6"/>
      <c r="AB43" s="6"/>
      <c r="AC43" s="6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6">
        <v>0</v>
      </c>
      <c r="AA44" s="6">
        <v>0</v>
      </c>
      <c r="AB44" s="6">
        <v>0</v>
      </c>
      <c r="AC44" s="6">
        <v>0</v>
      </c>
    </row>
    <row r="45" spans="1:29" x14ac:dyDescent="0.2">
      <c r="A45" s="3" t="s">
        <v>77</v>
      </c>
      <c r="P45" s="10">
        <v>299.14699999999999</v>
      </c>
      <c r="Q45" s="3">
        <v>381.32100000000003</v>
      </c>
      <c r="R45" s="3">
        <v>484.19299999999998</v>
      </c>
      <c r="S45" s="3">
        <v>124.79</v>
      </c>
    </row>
    <row r="46" spans="1:29" x14ac:dyDescent="0.2">
      <c r="A46" s="4"/>
    </row>
    <row r="47" spans="1:29" x14ac:dyDescent="0.2">
      <c r="A47" s="4"/>
      <c r="B47" s="4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133B-0255-4FDA-A679-EE56309DFE8D}">
  <dimension ref="A1:AC47"/>
  <sheetViews>
    <sheetView zoomScale="85" zoomScaleNormal="85" workbookViewId="0">
      <selection activeCell="A37" sqref="A37:XFD37"/>
    </sheetView>
  </sheetViews>
  <sheetFormatPr baseColWidth="10" defaultColWidth="10.28515625" defaultRowHeight="14.25" x14ac:dyDescent="0.2"/>
  <cols>
    <col min="1" max="17" width="10.28515625" style="3"/>
    <col min="18" max="20" width="11.28515625" style="3" bestFit="1" customWidth="1"/>
    <col min="21" max="16384" width="10.28515625" style="3"/>
  </cols>
  <sheetData>
    <row r="1" spans="1:29" ht="15" x14ac:dyDescent="0.25">
      <c r="A1" s="15" t="s">
        <v>71</v>
      </c>
      <c r="B1"/>
      <c r="C1"/>
      <c r="D1"/>
    </row>
    <row r="2" spans="1:29" ht="15" x14ac:dyDescent="0.25">
      <c r="A2" s="15" t="s">
        <v>88</v>
      </c>
      <c r="B2" s="16" t="s">
        <v>72</v>
      </c>
      <c r="C2"/>
      <c r="D2"/>
    </row>
    <row r="3" spans="1:29" ht="15" x14ac:dyDescent="0.25">
      <c r="A3" s="15" t="s">
        <v>89</v>
      </c>
      <c r="B3" s="15" t="s">
        <v>90</v>
      </c>
      <c r="C3"/>
      <c r="D3"/>
    </row>
    <row r="4" spans="1:29" ht="15" x14ac:dyDescent="0.25">
      <c r="A4"/>
      <c r="B4"/>
      <c r="C4"/>
      <c r="D4"/>
    </row>
    <row r="5" spans="1:29" ht="15" x14ac:dyDescent="0.25">
      <c r="A5" s="16" t="s">
        <v>41</v>
      </c>
      <c r="B5"/>
      <c r="C5" s="15" t="s">
        <v>78</v>
      </c>
      <c r="D5"/>
    </row>
    <row r="6" spans="1:29" ht="15" x14ac:dyDescent="0.25">
      <c r="A6" s="16" t="s">
        <v>40</v>
      </c>
      <c r="B6"/>
      <c r="C6" s="15" t="s">
        <v>39</v>
      </c>
      <c r="D6"/>
    </row>
    <row r="7" spans="1:29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</row>
    <row r="8" spans="1:29" x14ac:dyDescent="0.2">
      <c r="A8" s="7" t="s">
        <v>1</v>
      </c>
      <c r="B8" s="5">
        <v>16962000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"/>
      <c r="X8" s="6"/>
      <c r="Y8" s="6"/>
      <c r="Z8" s="6"/>
      <c r="AA8" s="6"/>
      <c r="AB8" s="6"/>
      <c r="AC8" s="6"/>
    </row>
    <row r="9" spans="1:29" x14ac:dyDescent="0.2">
      <c r="A9" s="7" t="s">
        <v>2</v>
      </c>
      <c r="B9" s="6"/>
      <c r="C9" s="6"/>
      <c r="D9" s="6"/>
      <c r="E9" s="6"/>
      <c r="F9" s="5">
        <v>0</v>
      </c>
      <c r="G9" s="5">
        <v>0</v>
      </c>
      <c r="H9" s="5">
        <v>0</v>
      </c>
      <c r="I9" s="5">
        <v>0</v>
      </c>
      <c r="J9" s="6"/>
      <c r="K9" s="6"/>
      <c r="L9" s="6"/>
      <c r="M9" s="6"/>
      <c r="N9" s="6"/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6"/>
      <c r="X9" s="6"/>
      <c r="Y9" s="6"/>
      <c r="Z9" s="6">
        <v>0</v>
      </c>
      <c r="AA9" s="6"/>
      <c r="AB9" s="6"/>
      <c r="AC9" s="6">
        <v>0</v>
      </c>
    </row>
    <row r="10" spans="1:29" x14ac:dyDescent="0.2">
      <c r="A10" s="7" t="s">
        <v>3</v>
      </c>
      <c r="B10" s="5">
        <v>102302000</v>
      </c>
      <c r="C10" s="5">
        <v>141356000</v>
      </c>
      <c r="D10" s="5">
        <v>62885000</v>
      </c>
      <c r="E10" s="5">
        <v>55396000</v>
      </c>
      <c r="F10" s="5">
        <v>74473000</v>
      </c>
      <c r="G10" s="5">
        <v>73133000</v>
      </c>
      <c r="H10" s="5">
        <v>66927000</v>
      </c>
      <c r="I10" s="5">
        <v>57937000</v>
      </c>
      <c r="J10" s="6"/>
      <c r="K10" s="6"/>
      <c r="L10" s="6"/>
      <c r="M10" s="6"/>
      <c r="N10" s="6"/>
      <c r="O10" s="5">
        <v>54724000</v>
      </c>
      <c r="P10" s="6"/>
      <c r="Q10" s="5">
        <v>84897000</v>
      </c>
      <c r="R10" s="19">
        <f>AVERAGE(Q10, S10)</f>
        <v>102951000</v>
      </c>
      <c r="S10" s="5">
        <v>121005000</v>
      </c>
      <c r="T10" s="19">
        <f>R10</f>
        <v>102951000</v>
      </c>
      <c r="U10" s="19">
        <f t="shared" ref="U10:AC10" si="0">S10</f>
        <v>121005000</v>
      </c>
      <c r="V10" s="19">
        <f t="shared" si="0"/>
        <v>102951000</v>
      </c>
      <c r="W10" s="19">
        <f t="shared" si="0"/>
        <v>121005000</v>
      </c>
      <c r="X10" s="19">
        <f t="shared" si="0"/>
        <v>102951000</v>
      </c>
      <c r="Y10" s="19">
        <f t="shared" si="0"/>
        <v>121005000</v>
      </c>
      <c r="Z10" s="19">
        <f t="shared" si="0"/>
        <v>102951000</v>
      </c>
      <c r="AA10" s="19">
        <f t="shared" si="0"/>
        <v>121005000</v>
      </c>
      <c r="AB10" s="19">
        <f t="shared" si="0"/>
        <v>102951000</v>
      </c>
      <c r="AC10" s="19">
        <f t="shared" si="0"/>
        <v>121005000</v>
      </c>
    </row>
    <row r="11" spans="1:29" x14ac:dyDescent="0.2">
      <c r="A11" s="7" t="s">
        <v>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5">
        <v>22821000</v>
      </c>
      <c r="W11" s="6"/>
      <c r="X11" s="6"/>
      <c r="Y11" s="5">
        <v>31960000</v>
      </c>
      <c r="Z11" s="6">
        <v>0</v>
      </c>
      <c r="AA11" s="6">
        <v>0</v>
      </c>
      <c r="AB11" s="6">
        <v>0</v>
      </c>
      <c r="AC11" s="6">
        <v>0</v>
      </c>
    </row>
    <row r="12" spans="1:29" x14ac:dyDescent="0.2">
      <c r="A12" s="7" t="s">
        <v>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5">
        <v>0</v>
      </c>
      <c r="P12" s="6"/>
      <c r="Q12" s="6"/>
      <c r="R12" s="6"/>
      <c r="S12" s="6"/>
      <c r="T12" s="6"/>
      <c r="U12" s="5">
        <v>122414</v>
      </c>
      <c r="V12" s="5">
        <v>168220</v>
      </c>
      <c r="W12" s="5">
        <v>150859</v>
      </c>
      <c r="X12" s="6"/>
      <c r="Y12" s="5">
        <v>360077</v>
      </c>
      <c r="Z12" s="6">
        <v>700367</v>
      </c>
      <c r="AA12" s="19">
        <f>AVERAGE(Y12:Z12)</f>
        <v>530222</v>
      </c>
      <c r="AB12" s="19">
        <f>AA12</f>
        <v>530222</v>
      </c>
      <c r="AC12" s="19">
        <f>AB12</f>
        <v>530222</v>
      </c>
    </row>
    <row r="13" spans="1:29" x14ac:dyDescent="0.2">
      <c r="A13" s="7" t="s">
        <v>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6">
        <v>0</v>
      </c>
      <c r="AA13" s="6">
        <v>0</v>
      </c>
      <c r="AB13" s="6"/>
      <c r="AC13" s="6"/>
    </row>
    <row r="14" spans="1:29" x14ac:dyDescent="0.2">
      <c r="A14" s="7" t="s">
        <v>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5">
        <v>0</v>
      </c>
      <c r="T14" s="5">
        <v>0</v>
      </c>
      <c r="U14" s="5">
        <v>1657</v>
      </c>
      <c r="V14" s="5">
        <v>454</v>
      </c>
      <c r="W14" s="6"/>
      <c r="X14" s="5">
        <v>453</v>
      </c>
      <c r="Y14" s="5">
        <v>2435</v>
      </c>
      <c r="Z14" s="6"/>
      <c r="AA14" s="6"/>
      <c r="AB14" s="6"/>
      <c r="AC14" s="6"/>
    </row>
    <row r="15" spans="1:29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6"/>
      <c r="T15" s="6"/>
      <c r="U15" s="6"/>
      <c r="V15" s="6"/>
      <c r="W15" s="6"/>
      <c r="X15" s="6"/>
      <c r="Y15" s="6"/>
      <c r="Z15" s="6">
        <v>0</v>
      </c>
      <c r="AA15" s="6">
        <v>0</v>
      </c>
      <c r="AB15" s="6">
        <v>0</v>
      </c>
      <c r="AC15" s="6">
        <v>0</v>
      </c>
    </row>
    <row r="16" spans="1:29" x14ac:dyDescent="0.2">
      <c r="A16" s="7" t="s">
        <v>9</v>
      </c>
      <c r="B16" s="6"/>
      <c r="C16" s="6"/>
      <c r="D16" s="6"/>
      <c r="E16" s="6"/>
      <c r="F16" s="6"/>
      <c r="G16" s="5">
        <v>23662000</v>
      </c>
      <c r="H16" s="5">
        <v>17929967</v>
      </c>
      <c r="I16" s="5">
        <v>20445891</v>
      </c>
      <c r="J16" s="6"/>
      <c r="K16" s="6"/>
      <c r="L16" s="6"/>
      <c r="M16" s="6"/>
      <c r="N16" s="6"/>
      <c r="O16" s="5">
        <v>26778666</v>
      </c>
      <c r="P16" s="5">
        <v>22999798</v>
      </c>
      <c r="Q16" s="5">
        <v>32299663</v>
      </c>
      <c r="R16" s="5">
        <v>15913880</v>
      </c>
      <c r="S16" s="5">
        <v>11244918</v>
      </c>
      <c r="T16" s="5">
        <v>27453476</v>
      </c>
      <c r="U16" s="5">
        <v>105034221</v>
      </c>
      <c r="V16" s="5">
        <v>139159000</v>
      </c>
      <c r="W16" s="5">
        <v>112978073</v>
      </c>
      <c r="X16" s="6"/>
      <c r="Y16" s="6"/>
      <c r="Z16" s="6"/>
      <c r="AA16" s="6">
        <v>136786317</v>
      </c>
      <c r="AB16" s="6"/>
      <c r="AC16" s="6"/>
    </row>
    <row r="17" spans="1:29" x14ac:dyDescent="0.2">
      <c r="A17" s="7" t="s">
        <v>10</v>
      </c>
      <c r="B17" s="5">
        <v>0</v>
      </c>
      <c r="C17" s="5">
        <v>114844000</v>
      </c>
      <c r="D17" s="5">
        <v>112273000</v>
      </c>
      <c r="E17" s="5">
        <v>106503000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21">
        <f>AVERAGE(AB17:AC17)</f>
        <v>108073000</v>
      </c>
      <c r="U17" s="21">
        <f>T17</f>
        <v>108073000</v>
      </c>
      <c r="V17" s="21">
        <f t="shared" ref="V17" si="1">U17</f>
        <v>108073000</v>
      </c>
      <c r="W17" s="21">
        <f>V17</f>
        <v>108073000</v>
      </c>
      <c r="X17" s="6"/>
      <c r="Y17" s="6"/>
      <c r="Z17" s="6"/>
      <c r="AA17" s="6"/>
      <c r="AB17" s="6">
        <v>116328000</v>
      </c>
      <c r="AC17" s="6">
        <v>99818000</v>
      </c>
    </row>
    <row r="18" spans="1:29" x14ac:dyDescent="0.2">
      <c r="A18" s="7" t="s">
        <v>11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6">
        <v>0</v>
      </c>
      <c r="AA19" s="6">
        <v>0</v>
      </c>
      <c r="AB19" s="6">
        <v>0</v>
      </c>
      <c r="AC19" s="6">
        <v>0</v>
      </c>
    </row>
    <row r="20" spans="1:29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6">
        <v>0</v>
      </c>
      <c r="AA20" s="6">
        <v>0</v>
      </c>
      <c r="AB20" s="6">
        <v>0</v>
      </c>
      <c r="AC20" s="6">
        <v>0</v>
      </c>
    </row>
    <row r="21" spans="1:29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6">
        <v>0</v>
      </c>
      <c r="AA21" s="6">
        <v>0</v>
      </c>
      <c r="AB21" s="6"/>
      <c r="AC21" s="6"/>
    </row>
    <row r="22" spans="1:29" x14ac:dyDescent="0.2">
      <c r="A22" s="7" t="s">
        <v>15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/>
      <c r="K22" s="6"/>
      <c r="L22" s="6"/>
      <c r="M22" s="6"/>
      <c r="N22" s="6"/>
      <c r="O22" s="6"/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6"/>
      <c r="V22" s="6"/>
      <c r="W22" s="5">
        <v>0</v>
      </c>
      <c r="X22" s="5">
        <v>0</v>
      </c>
      <c r="Y22" s="5">
        <v>0</v>
      </c>
      <c r="Z22" s="6">
        <v>0</v>
      </c>
      <c r="AA22" s="6">
        <v>0</v>
      </c>
      <c r="AB22" s="6">
        <v>0</v>
      </c>
      <c r="AC22" s="6"/>
    </row>
    <row r="23" spans="1:29" x14ac:dyDescent="0.2">
      <c r="A23" s="7" t="s">
        <v>16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6">
        <v>0</v>
      </c>
      <c r="AA23" s="6">
        <v>0</v>
      </c>
      <c r="AB23" s="6"/>
      <c r="AC23" s="6"/>
    </row>
    <row r="24" spans="1:29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6">
        <v>0</v>
      </c>
      <c r="AA24" s="6">
        <v>0</v>
      </c>
      <c r="AB24" s="6"/>
      <c r="AC24" s="6"/>
    </row>
    <row r="25" spans="1:29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6">
        <v>0</v>
      </c>
      <c r="AA25" s="6">
        <v>0</v>
      </c>
      <c r="AB25" s="6">
        <v>0</v>
      </c>
      <c r="AC25" s="6">
        <v>0</v>
      </c>
    </row>
    <row r="26" spans="1:29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5">
        <v>0</v>
      </c>
      <c r="P26" s="5">
        <v>0</v>
      </c>
      <c r="Q26" s="5">
        <v>0</v>
      </c>
      <c r="R26" s="5">
        <v>0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2">
      <c r="A27" s="7" t="s">
        <v>20</v>
      </c>
      <c r="B27" s="6"/>
      <c r="C27" s="6"/>
      <c r="D27" s="6"/>
      <c r="E27" s="6"/>
      <c r="F27" s="6"/>
      <c r="G27" s="5">
        <v>0</v>
      </c>
      <c r="H27" s="5">
        <v>0</v>
      </c>
      <c r="I27" s="5">
        <v>0</v>
      </c>
      <c r="J27" s="6"/>
      <c r="K27" s="6"/>
      <c r="L27" s="6"/>
      <c r="M27" s="6"/>
      <c r="N27" s="6"/>
      <c r="O27" s="6"/>
      <c r="P27" s="6"/>
      <c r="Q27" s="5">
        <v>2000</v>
      </c>
      <c r="R27" s="5">
        <v>3000</v>
      </c>
      <c r="S27" s="5">
        <v>3000</v>
      </c>
      <c r="T27" s="5">
        <v>3000</v>
      </c>
      <c r="U27" s="5">
        <v>3000</v>
      </c>
      <c r="V27" s="5">
        <v>3900</v>
      </c>
      <c r="W27" s="5">
        <v>2000</v>
      </c>
      <c r="X27" s="5">
        <v>2600</v>
      </c>
      <c r="Y27" s="5">
        <v>2300</v>
      </c>
      <c r="Z27" s="6">
        <v>6000</v>
      </c>
      <c r="AA27" s="6">
        <v>4000</v>
      </c>
      <c r="AB27" s="6">
        <v>2000</v>
      </c>
      <c r="AC27" s="6">
        <v>2800</v>
      </c>
    </row>
    <row r="28" spans="1:29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6">
        <v>0</v>
      </c>
      <c r="AA28" s="6">
        <v>0</v>
      </c>
      <c r="AB28" s="6"/>
      <c r="AC28" s="6"/>
    </row>
    <row r="29" spans="1:29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6">
        <v>0</v>
      </c>
      <c r="AA29" s="6">
        <v>0</v>
      </c>
      <c r="AB29" s="6"/>
      <c r="AC29" s="6">
        <v>0</v>
      </c>
    </row>
    <row r="30" spans="1:29" x14ac:dyDescent="0.2">
      <c r="A30" s="7" t="s">
        <v>23</v>
      </c>
      <c r="B30" s="6"/>
      <c r="C30" s="6"/>
      <c r="D30" s="6"/>
      <c r="E30" s="6"/>
      <c r="F30" s="6"/>
      <c r="G30" s="6"/>
      <c r="H30" s="6"/>
      <c r="I30" s="5">
        <v>41572000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6">
        <v>0</v>
      </c>
      <c r="AA30" s="6"/>
      <c r="AB30" s="6"/>
      <c r="AC30" s="6"/>
    </row>
    <row r="31" spans="1:29" x14ac:dyDescent="0.2">
      <c r="A31" s="7" t="s">
        <v>24</v>
      </c>
      <c r="B31" s="6"/>
      <c r="C31" s="6"/>
      <c r="D31" s="6"/>
      <c r="E31" s="6"/>
      <c r="F31" s="6"/>
      <c r="G31" s="6"/>
      <c r="H31" s="5">
        <v>0</v>
      </c>
      <c r="I31" s="5">
        <v>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2">
      <c r="A32" s="7" t="s">
        <v>25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5">
        <v>46993560</v>
      </c>
      <c r="W32" s="5">
        <v>37314700</v>
      </c>
      <c r="X32" s="5">
        <v>30964121</v>
      </c>
      <c r="Y32" s="5">
        <v>38129400</v>
      </c>
      <c r="Z32" s="6">
        <v>39546431</v>
      </c>
      <c r="AA32" s="6">
        <v>41533452</v>
      </c>
      <c r="AB32" s="6">
        <v>44995544</v>
      </c>
      <c r="AC32" s="6">
        <v>38760744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5">
        <v>4434000</v>
      </c>
      <c r="W33" s="5">
        <v>3117000</v>
      </c>
      <c r="X33" s="5">
        <v>3043000</v>
      </c>
      <c r="Y33" s="5">
        <v>2997000</v>
      </c>
      <c r="Z33" s="6">
        <v>3012000</v>
      </c>
      <c r="AA33" s="6">
        <v>2287000</v>
      </c>
      <c r="AB33" s="6">
        <v>2109000</v>
      </c>
      <c r="AC33" s="6"/>
    </row>
    <row r="34" spans="1:29" x14ac:dyDescent="0.2">
      <c r="A34" s="7" t="s">
        <v>27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6">
        <v>0</v>
      </c>
      <c r="AA34" s="6">
        <v>0</v>
      </c>
      <c r="AB34" s="6">
        <v>0</v>
      </c>
      <c r="AC34" s="6">
        <v>0</v>
      </c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6"/>
      <c r="I35" s="5">
        <v>0</v>
      </c>
      <c r="J35" s="6"/>
      <c r="K35" s="6"/>
      <c r="L35" s="6"/>
      <c r="M35" s="6"/>
      <c r="N35" s="6"/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6">
        <v>0</v>
      </c>
      <c r="AA35" s="6">
        <v>0</v>
      </c>
      <c r="AB35" s="6"/>
      <c r="AC35" s="6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6">
        <v>0</v>
      </c>
      <c r="AA36" s="6">
        <v>0</v>
      </c>
      <c r="AB36" s="6">
        <v>0</v>
      </c>
      <c r="AC36" s="6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5">
        <v>2000</v>
      </c>
      <c r="P37" s="5">
        <v>2000</v>
      </c>
      <c r="Q37" s="5">
        <v>2000</v>
      </c>
      <c r="R37" s="5">
        <v>2000</v>
      </c>
      <c r="S37" s="5">
        <v>2000</v>
      </c>
      <c r="T37" s="5">
        <v>1000</v>
      </c>
      <c r="U37" s="5">
        <v>2000</v>
      </c>
      <c r="V37" s="5">
        <v>1000</v>
      </c>
      <c r="W37" s="5">
        <v>0</v>
      </c>
      <c r="X37" s="5">
        <v>0</v>
      </c>
      <c r="Y37" s="5">
        <v>0</v>
      </c>
      <c r="Z37" s="6">
        <v>0</v>
      </c>
      <c r="AA37" s="6">
        <v>0</v>
      </c>
      <c r="AB37" s="6"/>
      <c r="AC37" s="6"/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6">
        <v>0</v>
      </c>
      <c r="AA38" s="6">
        <v>0</v>
      </c>
      <c r="AB38" s="6"/>
      <c r="AC38" s="6"/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6">
        <v>0</v>
      </c>
      <c r="AA39" s="6">
        <v>0</v>
      </c>
      <c r="AB39" s="6">
        <v>0</v>
      </c>
      <c r="AC39" s="6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6">
        <v>0</v>
      </c>
      <c r="AA40" s="6">
        <v>0</v>
      </c>
      <c r="AB40" s="6">
        <v>0</v>
      </c>
      <c r="AC40" s="6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6"/>
      <c r="AA41" s="6"/>
      <c r="AB41" s="6"/>
      <c r="AC41" s="6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453098767</v>
      </c>
      <c r="P42" s="5">
        <v>419740816</v>
      </c>
      <c r="Q42" s="5">
        <v>457792295</v>
      </c>
      <c r="R42" s="5">
        <v>400275043</v>
      </c>
      <c r="S42" s="5">
        <v>414840866</v>
      </c>
      <c r="T42" s="5">
        <v>370294463</v>
      </c>
      <c r="U42" s="5">
        <v>452515580</v>
      </c>
      <c r="V42" s="5">
        <v>434127426</v>
      </c>
      <c r="W42" s="5">
        <v>362724516</v>
      </c>
      <c r="X42" s="5">
        <v>360000000</v>
      </c>
      <c r="Y42" s="5">
        <v>379244809</v>
      </c>
      <c r="Z42" s="6">
        <v>376149187</v>
      </c>
      <c r="AA42" s="6">
        <v>376564460</v>
      </c>
      <c r="AB42" s="6">
        <v>253349329</v>
      </c>
      <c r="AC42" s="6">
        <v>197727248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453098767</v>
      </c>
      <c r="P43" s="5">
        <v>419820816</v>
      </c>
      <c r="Q43" s="5">
        <v>457832295</v>
      </c>
      <c r="R43" s="5">
        <v>400356043</v>
      </c>
      <c r="S43" s="5">
        <v>414960866</v>
      </c>
      <c r="T43" s="5">
        <v>370414463</v>
      </c>
      <c r="U43" s="5">
        <v>452637994</v>
      </c>
      <c r="V43" s="5">
        <v>434295646</v>
      </c>
      <c r="W43" s="5">
        <v>362875375</v>
      </c>
      <c r="X43" s="5">
        <v>385400077</v>
      </c>
      <c r="Y43" s="5">
        <v>379604886</v>
      </c>
      <c r="Z43" s="6">
        <v>376849554</v>
      </c>
      <c r="AA43" s="6"/>
      <c r="AB43" s="6"/>
      <c r="AC43" s="6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6">
        <v>0</v>
      </c>
      <c r="AA44" s="6">
        <v>0</v>
      </c>
      <c r="AB44" s="6">
        <v>0</v>
      </c>
      <c r="AC44" s="6">
        <v>0</v>
      </c>
    </row>
    <row r="45" spans="1:29" x14ac:dyDescent="0.2">
      <c r="A45" s="3" t="s">
        <v>77</v>
      </c>
      <c r="P45" s="10">
        <v>299.14699999999999</v>
      </c>
      <c r="Q45" s="3">
        <v>381.32100000000003</v>
      </c>
      <c r="R45" s="3">
        <v>484.19299999999998</v>
      </c>
      <c r="S45" s="3">
        <v>124.79</v>
      </c>
    </row>
    <row r="46" spans="1:29" x14ac:dyDescent="0.2">
      <c r="A46" s="4"/>
    </row>
    <row r="47" spans="1:29" x14ac:dyDescent="0.2">
      <c r="A47" s="4"/>
      <c r="B47" s="4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49"/>
  <sheetViews>
    <sheetView zoomScale="85" zoomScaleNormal="85" workbookViewId="0">
      <selection activeCell="N53" sqref="N53"/>
    </sheetView>
  </sheetViews>
  <sheetFormatPr baseColWidth="10" defaultColWidth="10.28515625" defaultRowHeight="14.25" x14ac:dyDescent="0.2"/>
  <cols>
    <col min="1" max="6" width="10.28515625" style="3"/>
    <col min="7" max="7" width="11.140625" style="3" bestFit="1" customWidth="1"/>
    <col min="8" max="16384" width="10.28515625" style="3"/>
  </cols>
  <sheetData>
    <row r="1" spans="1:29" ht="15" x14ac:dyDescent="0.25">
      <c r="A1" s="15" t="s">
        <v>71</v>
      </c>
      <c r="B1"/>
      <c r="C1"/>
    </row>
    <row r="2" spans="1:29" ht="15" x14ac:dyDescent="0.25">
      <c r="A2" s="15" t="s">
        <v>88</v>
      </c>
      <c r="B2" s="16" t="s">
        <v>72</v>
      </c>
      <c r="C2"/>
    </row>
    <row r="3" spans="1:29" ht="15" x14ac:dyDescent="0.25">
      <c r="A3" s="15" t="s">
        <v>89</v>
      </c>
      <c r="B3" s="15" t="s">
        <v>90</v>
      </c>
      <c r="C3"/>
    </row>
    <row r="4" spans="1:29" ht="15" x14ac:dyDescent="0.25">
      <c r="A4"/>
      <c r="B4"/>
      <c r="C4"/>
    </row>
    <row r="5" spans="1:29" ht="15" x14ac:dyDescent="0.25">
      <c r="A5" s="16" t="s">
        <v>41</v>
      </c>
      <c r="B5"/>
      <c r="C5" s="15" t="s">
        <v>79</v>
      </c>
    </row>
    <row r="6" spans="1:29" ht="15" x14ac:dyDescent="0.25">
      <c r="A6" s="16" t="s">
        <v>40</v>
      </c>
      <c r="B6"/>
      <c r="C6" s="15" t="s">
        <v>39</v>
      </c>
    </row>
    <row r="7" spans="1:29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</row>
    <row r="8" spans="1:29" x14ac:dyDescent="0.2">
      <c r="A8" s="7" t="s">
        <v>1</v>
      </c>
      <c r="B8" s="5">
        <v>22612000</v>
      </c>
      <c r="C8" s="5">
        <v>20480000</v>
      </c>
      <c r="D8" s="5">
        <v>19042000</v>
      </c>
      <c r="E8" s="5">
        <v>21654000</v>
      </c>
      <c r="F8" s="5">
        <v>21234000</v>
      </c>
      <c r="G8" s="5">
        <v>22908000</v>
      </c>
      <c r="H8" s="5">
        <v>19468000</v>
      </c>
      <c r="I8" s="5">
        <v>0</v>
      </c>
      <c r="J8" s="6"/>
      <c r="K8" s="6"/>
      <c r="L8" s="6"/>
      <c r="M8" s="6"/>
      <c r="N8" s="6"/>
      <c r="O8" s="6"/>
      <c r="P8" s="6"/>
      <c r="Q8" s="5">
        <v>0</v>
      </c>
      <c r="R8" s="5">
        <v>0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">
      <c r="A9" s="7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5">
        <v>800940000</v>
      </c>
      <c r="W9" s="5">
        <v>712197000</v>
      </c>
      <c r="X9" s="5">
        <v>963857000</v>
      </c>
      <c r="Y9" s="5">
        <v>718367000</v>
      </c>
      <c r="Z9" s="6">
        <v>632591000</v>
      </c>
      <c r="AA9" s="6">
        <v>577970000</v>
      </c>
      <c r="AB9" s="6">
        <v>723623000</v>
      </c>
      <c r="AC9" s="6"/>
    </row>
    <row r="10" spans="1:29" x14ac:dyDescent="0.2">
      <c r="A10" s="7" t="s">
        <v>3</v>
      </c>
      <c r="B10" s="6"/>
      <c r="C10" s="5">
        <v>109141000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5">
        <v>223773000</v>
      </c>
      <c r="P10" s="5">
        <v>173258000</v>
      </c>
      <c r="Q10" s="5">
        <v>317894000</v>
      </c>
      <c r="R10" s="5">
        <v>333578000</v>
      </c>
      <c r="S10" s="5">
        <v>287396000</v>
      </c>
      <c r="T10" s="5">
        <v>257284000</v>
      </c>
      <c r="U10" s="5">
        <v>254032000</v>
      </c>
      <c r="V10" s="5">
        <v>252556000</v>
      </c>
      <c r="W10" s="5">
        <v>292350000</v>
      </c>
      <c r="X10" s="5">
        <v>262568000</v>
      </c>
      <c r="Y10" s="5">
        <v>274965000</v>
      </c>
      <c r="Z10" s="6">
        <v>288876000</v>
      </c>
      <c r="AA10" s="6">
        <v>273780000</v>
      </c>
      <c r="AB10" s="6">
        <v>332009000</v>
      </c>
      <c r="AC10" s="6">
        <v>234963000</v>
      </c>
    </row>
    <row r="11" spans="1:29" x14ac:dyDescent="0.2">
      <c r="A11" s="7" t="s">
        <v>4</v>
      </c>
      <c r="B11" s="6"/>
      <c r="C11" s="6"/>
      <c r="D11" s="6"/>
      <c r="E11" s="6"/>
      <c r="F11" s="6"/>
      <c r="G11" s="5">
        <v>435717000</v>
      </c>
      <c r="H11" s="5">
        <v>460521000</v>
      </c>
      <c r="I11" s="5">
        <v>425855000</v>
      </c>
      <c r="J11" s="6"/>
      <c r="K11" s="6"/>
      <c r="L11" s="6"/>
      <c r="M11" s="6"/>
      <c r="N11" s="6"/>
      <c r="O11" s="6"/>
      <c r="P11" s="6"/>
      <c r="Q11" s="5">
        <v>221767000</v>
      </c>
      <c r="R11" s="6"/>
      <c r="S11" s="6"/>
      <c r="T11" s="6"/>
      <c r="U11" s="6"/>
      <c r="V11" s="6"/>
      <c r="W11" s="6"/>
      <c r="X11" s="6"/>
      <c r="Y11" s="6"/>
      <c r="Z11" s="6"/>
      <c r="AA11" s="6">
        <v>0</v>
      </c>
      <c r="AB11" s="6">
        <v>0</v>
      </c>
      <c r="AC11" s="6">
        <v>0</v>
      </c>
    </row>
    <row r="12" spans="1:29" x14ac:dyDescent="0.2">
      <c r="A12" s="7" t="s">
        <v>5</v>
      </c>
      <c r="B12" s="5">
        <v>0</v>
      </c>
      <c r="C12" s="5">
        <v>0</v>
      </c>
      <c r="D12" s="5">
        <v>93687</v>
      </c>
      <c r="E12" s="5">
        <v>0</v>
      </c>
      <c r="F12" s="5">
        <v>0</v>
      </c>
      <c r="G12" s="5">
        <v>0</v>
      </c>
      <c r="H12" s="6"/>
      <c r="I12" s="5">
        <v>0</v>
      </c>
      <c r="J12" s="6"/>
      <c r="K12" s="6"/>
      <c r="L12" s="6"/>
      <c r="M12" s="6"/>
      <c r="N12" s="6"/>
      <c r="O12" s="6"/>
      <c r="P12" s="5">
        <v>0</v>
      </c>
      <c r="Q12" s="6"/>
      <c r="R12" s="5">
        <v>2430071</v>
      </c>
      <c r="S12" s="6"/>
      <c r="T12" s="6"/>
      <c r="U12" s="6"/>
      <c r="V12" s="5">
        <v>0</v>
      </c>
      <c r="W12" s="5">
        <v>0</v>
      </c>
      <c r="X12" s="5">
        <v>0</v>
      </c>
      <c r="Y12" s="5">
        <v>0</v>
      </c>
      <c r="Z12" s="6">
        <v>0</v>
      </c>
      <c r="AA12" s="6"/>
      <c r="AB12" s="6"/>
      <c r="AC12" s="6"/>
    </row>
    <row r="13" spans="1:29" x14ac:dyDescent="0.2">
      <c r="A13" s="7" t="s">
        <v>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6"/>
      <c r="AA13" s="6"/>
      <c r="AB13" s="6"/>
      <c r="AC13" s="6"/>
    </row>
    <row r="14" spans="1:29" x14ac:dyDescent="0.2">
      <c r="A14" s="7" t="s">
        <v>7</v>
      </c>
      <c r="B14" s="6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6"/>
      <c r="K14" s="6"/>
      <c r="L14" s="6"/>
      <c r="M14" s="6"/>
      <c r="N14" s="6"/>
      <c r="O14" s="6"/>
      <c r="P14" s="6"/>
      <c r="Q14" s="5">
        <v>0</v>
      </c>
      <c r="R14" s="6"/>
      <c r="S14" s="5">
        <v>0</v>
      </c>
      <c r="T14" s="5">
        <v>0</v>
      </c>
      <c r="U14" s="5">
        <v>0</v>
      </c>
      <c r="V14" s="5">
        <v>0</v>
      </c>
      <c r="W14" s="6"/>
      <c r="X14" s="5">
        <v>24078</v>
      </c>
      <c r="Y14" s="5">
        <v>22440</v>
      </c>
      <c r="Z14" s="6"/>
      <c r="AA14" s="6"/>
      <c r="AB14" s="6"/>
      <c r="AC14" s="6"/>
    </row>
    <row r="15" spans="1:29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6">
        <v>0</v>
      </c>
      <c r="AA15" s="6">
        <v>0</v>
      </c>
      <c r="AB15" s="6">
        <v>0</v>
      </c>
      <c r="AC15" s="6">
        <v>0</v>
      </c>
    </row>
    <row r="16" spans="1:29" x14ac:dyDescent="0.2">
      <c r="A16" s="7" t="s">
        <v>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/>
      <c r="K16" s="6"/>
      <c r="L16" s="6"/>
      <c r="M16" s="6"/>
      <c r="N16" s="6"/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6">
        <v>0</v>
      </c>
      <c r="AA16" s="6">
        <v>0</v>
      </c>
      <c r="AB16" s="6"/>
      <c r="AC16" s="6"/>
    </row>
    <row r="17" spans="1:29" x14ac:dyDescent="0.2">
      <c r="A17" s="7" t="s">
        <v>10</v>
      </c>
      <c r="B17" s="5">
        <v>0</v>
      </c>
      <c r="C17" s="6"/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2">
      <c r="A18" s="7" t="s">
        <v>11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6">
        <v>0</v>
      </c>
      <c r="AA19" s="6">
        <v>0</v>
      </c>
      <c r="AB19" s="6">
        <v>0</v>
      </c>
      <c r="AC19" s="6">
        <v>0</v>
      </c>
    </row>
    <row r="20" spans="1:29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6">
        <v>0</v>
      </c>
      <c r="AA20" s="6">
        <v>0</v>
      </c>
      <c r="AB20" s="6">
        <v>0</v>
      </c>
      <c r="AC20" s="6">
        <v>0</v>
      </c>
    </row>
    <row r="21" spans="1:29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6">
        <v>0</v>
      </c>
      <c r="AA21" s="6">
        <v>0</v>
      </c>
      <c r="AB21" s="6"/>
      <c r="AC21" s="6"/>
    </row>
    <row r="22" spans="1:29" x14ac:dyDescent="0.2">
      <c r="A22" s="7" t="s">
        <v>15</v>
      </c>
      <c r="B22" s="5">
        <v>0</v>
      </c>
      <c r="C22" s="5">
        <v>7578000</v>
      </c>
      <c r="D22" s="5">
        <v>11717000</v>
      </c>
      <c r="E22" s="5">
        <v>12287000</v>
      </c>
      <c r="F22" s="5">
        <v>12194000</v>
      </c>
      <c r="G22" s="5">
        <v>10913000</v>
      </c>
      <c r="H22" s="5">
        <v>8966600</v>
      </c>
      <c r="I22" s="5">
        <v>10114700</v>
      </c>
      <c r="J22" s="6"/>
      <c r="K22" s="6"/>
      <c r="L22" s="6"/>
      <c r="M22" s="6"/>
      <c r="N22" s="6"/>
      <c r="O22" s="6"/>
      <c r="P22" s="5">
        <v>9895000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>
        <v>9093000</v>
      </c>
      <c r="AB22" s="6">
        <v>7478000</v>
      </c>
      <c r="AC22" s="6"/>
    </row>
    <row r="23" spans="1:29" x14ac:dyDescent="0.2">
      <c r="A23" s="7" t="s">
        <v>16</v>
      </c>
      <c r="B23" s="6"/>
      <c r="C23" s="6"/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/>
      <c r="K23" s="6"/>
      <c r="L23" s="6"/>
      <c r="M23" s="6"/>
      <c r="N23" s="6"/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149543000</v>
      </c>
      <c r="Z23" s="6">
        <v>137696000</v>
      </c>
      <c r="AA23" s="6">
        <v>134426000</v>
      </c>
      <c r="AB23" s="6">
        <v>114015000</v>
      </c>
      <c r="AC23" s="6">
        <v>165282000</v>
      </c>
    </row>
    <row r="24" spans="1:29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5">
        <v>0</v>
      </c>
      <c r="U24" s="5">
        <v>0</v>
      </c>
      <c r="V24" s="5">
        <v>0</v>
      </c>
      <c r="W24" s="5">
        <v>0</v>
      </c>
      <c r="X24" s="6"/>
      <c r="Y24" s="6"/>
      <c r="Z24" s="6"/>
      <c r="AA24" s="6"/>
      <c r="AB24" s="6"/>
      <c r="AC24" s="6"/>
    </row>
    <row r="25" spans="1:29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6">
        <v>0</v>
      </c>
      <c r="AA25" s="6">
        <v>0</v>
      </c>
      <c r="AB25" s="6">
        <v>0</v>
      </c>
      <c r="AC25" s="6">
        <v>0</v>
      </c>
    </row>
    <row r="26" spans="1:29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5">
        <v>0</v>
      </c>
      <c r="P26" s="5">
        <v>0</v>
      </c>
      <c r="Q26" s="5">
        <v>0</v>
      </c>
      <c r="R26" s="5">
        <v>0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2">
      <c r="A27" s="7" t="s">
        <v>20</v>
      </c>
      <c r="B27" s="6"/>
      <c r="C27" s="6"/>
      <c r="D27" s="6"/>
      <c r="E27" s="6"/>
      <c r="F27" s="6"/>
      <c r="G27" s="5">
        <v>0</v>
      </c>
      <c r="H27" s="5">
        <v>0</v>
      </c>
      <c r="I27" s="5">
        <v>0</v>
      </c>
      <c r="J27" s="6"/>
      <c r="K27" s="6"/>
      <c r="L27" s="6"/>
      <c r="M27" s="6"/>
      <c r="N27" s="6"/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6">
        <v>0</v>
      </c>
      <c r="AA27" s="6"/>
      <c r="AB27" s="6"/>
      <c r="AC27" s="6"/>
    </row>
    <row r="28" spans="1:29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6">
        <v>0</v>
      </c>
      <c r="AA28" s="6">
        <v>0</v>
      </c>
      <c r="AB28" s="6"/>
      <c r="AC28" s="6"/>
    </row>
    <row r="29" spans="1:29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12</v>
      </c>
      <c r="X29" s="5">
        <v>0</v>
      </c>
      <c r="Y29" s="5">
        <v>0</v>
      </c>
      <c r="Z29" s="6">
        <v>0</v>
      </c>
      <c r="AA29" s="6">
        <v>0</v>
      </c>
      <c r="AB29" s="6"/>
      <c r="AC29" s="6">
        <v>0</v>
      </c>
    </row>
    <row r="30" spans="1:29" x14ac:dyDescent="0.2">
      <c r="A30" s="7" t="s">
        <v>23</v>
      </c>
      <c r="B30" s="6"/>
      <c r="C30" s="6"/>
      <c r="D30" s="6"/>
      <c r="E30" s="6"/>
      <c r="F30" s="6"/>
      <c r="G30" s="6"/>
      <c r="H30" s="6"/>
      <c r="I30" s="5">
        <v>111341000</v>
      </c>
      <c r="J30" s="6"/>
      <c r="K30" s="6"/>
      <c r="L30" s="6"/>
      <c r="M30" s="6"/>
      <c r="N30" s="6"/>
      <c r="O30" s="5">
        <v>121519000</v>
      </c>
      <c r="P30" s="5">
        <v>83944000</v>
      </c>
      <c r="Q30" s="5">
        <v>119740000</v>
      </c>
      <c r="R30" s="5">
        <v>112440000</v>
      </c>
      <c r="S30" s="5">
        <v>102642000</v>
      </c>
      <c r="T30" s="5">
        <v>111108000</v>
      </c>
      <c r="U30" s="5">
        <v>110871000</v>
      </c>
      <c r="V30" s="5">
        <v>113166000</v>
      </c>
      <c r="W30" s="5">
        <v>107844000</v>
      </c>
      <c r="X30" s="5">
        <v>101430000</v>
      </c>
      <c r="Y30" s="5">
        <v>106283000</v>
      </c>
      <c r="Z30" s="6">
        <v>99147000</v>
      </c>
      <c r="AA30" s="6">
        <v>91762000</v>
      </c>
      <c r="AB30" s="6">
        <v>117363000</v>
      </c>
      <c r="AC30" s="6">
        <v>98976000</v>
      </c>
    </row>
    <row r="31" spans="1:29" x14ac:dyDescent="0.2">
      <c r="A31" s="7" t="s">
        <v>24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5">
        <v>179847000</v>
      </c>
      <c r="P31" s="5">
        <v>95308000</v>
      </c>
      <c r="Q31" s="5">
        <v>160524000</v>
      </c>
      <c r="R31" s="5">
        <v>171473000</v>
      </c>
      <c r="S31" s="5">
        <v>149276000</v>
      </c>
      <c r="T31" s="5">
        <v>172617000</v>
      </c>
      <c r="U31" s="5">
        <v>144221000</v>
      </c>
      <c r="V31" s="5">
        <v>147834000</v>
      </c>
      <c r="W31" s="5">
        <v>154009000</v>
      </c>
      <c r="X31" s="5">
        <v>177607000</v>
      </c>
      <c r="Y31" s="6"/>
      <c r="Z31" s="6">
        <v>138519000</v>
      </c>
      <c r="AA31" s="6">
        <v>127885000</v>
      </c>
      <c r="AB31" s="6">
        <v>182032000</v>
      </c>
      <c r="AC31" s="6">
        <v>84434000</v>
      </c>
    </row>
    <row r="32" spans="1:29" x14ac:dyDescent="0.2">
      <c r="A32" s="7" t="s">
        <v>25</v>
      </c>
      <c r="B32" s="6"/>
      <c r="C32" s="6"/>
      <c r="D32" s="6"/>
      <c r="E32" s="6"/>
      <c r="F32" s="6"/>
      <c r="G32" s="6"/>
      <c r="H32" s="6"/>
      <c r="I32" s="5">
        <v>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>
        <v>15304839</v>
      </c>
      <c r="AB32" s="6">
        <v>17936180</v>
      </c>
      <c r="AC32" s="6">
        <v>10388104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6"/>
      <c r="I33" s="5">
        <v>0</v>
      </c>
      <c r="J33" s="6"/>
      <c r="K33" s="6"/>
      <c r="L33" s="6"/>
      <c r="M33" s="6"/>
      <c r="N33" s="6"/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6">
        <v>0</v>
      </c>
      <c r="AA33" s="6">
        <v>0</v>
      </c>
      <c r="AB33" s="6"/>
      <c r="AC33" s="6"/>
    </row>
    <row r="34" spans="1:29" x14ac:dyDescent="0.2">
      <c r="A34" s="7" t="s">
        <v>27</v>
      </c>
      <c r="B34" s="6"/>
      <c r="C34" s="6"/>
      <c r="D34" s="6"/>
      <c r="E34" s="6"/>
      <c r="F34" s="6"/>
      <c r="G34" s="5">
        <v>0</v>
      </c>
      <c r="H34" s="5">
        <v>0</v>
      </c>
      <c r="I34" s="6"/>
      <c r="J34" s="6"/>
      <c r="K34" s="6"/>
      <c r="L34" s="6"/>
      <c r="M34" s="6"/>
      <c r="N34" s="6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6">
        <v>0</v>
      </c>
      <c r="AA34" s="6">
        <v>0</v>
      </c>
      <c r="AB34" s="6">
        <v>0</v>
      </c>
      <c r="AC34" s="6">
        <v>0</v>
      </c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5">
        <v>0</v>
      </c>
      <c r="I35" s="5">
        <v>0</v>
      </c>
      <c r="J35" s="6"/>
      <c r="K35" s="6"/>
      <c r="L35" s="6"/>
      <c r="M35" s="6"/>
      <c r="N35" s="6"/>
      <c r="O35" s="6"/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6">
        <v>0</v>
      </c>
      <c r="AA35" s="6">
        <v>0</v>
      </c>
      <c r="AB35" s="6"/>
      <c r="AC35" s="6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6">
        <v>0</v>
      </c>
      <c r="AA36" s="6">
        <v>0</v>
      </c>
      <c r="AB36" s="6">
        <v>0</v>
      </c>
      <c r="AC36" s="6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5">
        <v>0</v>
      </c>
      <c r="I37" s="5">
        <v>0</v>
      </c>
      <c r="J37" s="6"/>
      <c r="K37" s="6"/>
      <c r="L37" s="6"/>
      <c r="M37" s="6"/>
      <c r="N37" s="6"/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6">
        <v>0</v>
      </c>
      <c r="AA37" s="6">
        <v>0</v>
      </c>
      <c r="AB37" s="6"/>
      <c r="AC37" s="6">
        <v>29635</v>
      </c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6"/>
      <c r="AA38" s="6"/>
      <c r="AB38" s="6">
        <v>5347000</v>
      </c>
      <c r="AC38" s="6">
        <v>4301000</v>
      </c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6">
        <v>0</v>
      </c>
      <c r="AA39" s="6">
        <v>0</v>
      </c>
      <c r="AB39" s="6">
        <v>0</v>
      </c>
      <c r="AC39" s="6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6">
        <v>0</v>
      </c>
      <c r="AA40" s="6">
        <v>0</v>
      </c>
      <c r="AB40" s="6">
        <v>0</v>
      </c>
      <c r="AC40" s="6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2356518916</v>
      </c>
      <c r="P42" s="5">
        <v>2861672878</v>
      </c>
      <c r="Q42" s="5">
        <v>2257542666</v>
      </c>
      <c r="R42" s="5">
        <v>2344204499</v>
      </c>
      <c r="S42" s="5">
        <v>2160364117</v>
      </c>
      <c r="T42" s="5">
        <v>2047233903</v>
      </c>
      <c r="U42" s="5">
        <v>2212852931</v>
      </c>
      <c r="V42" s="5">
        <v>1985312646</v>
      </c>
      <c r="W42" s="5">
        <v>1973780767</v>
      </c>
      <c r="X42" s="5">
        <v>2354318713</v>
      </c>
      <c r="Y42" s="5">
        <v>2330177632</v>
      </c>
      <c r="Z42" s="6">
        <v>2548147382</v>
      </c>
      <c r="AA42" s="6">
        <v>2064035767</v>
      </c>
      <c r="AB42" s="6">
        <v>2315290325</v>
      </c>
      <c r="AC42" s="6">
        <v>1874506461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2356518921</v>
      </c>
      <c r="P43" s="5">
        <v>2861672878</v>
      </c>
      <c r="Q43" s="5">
        <v>2260342666</v>
      </c>
      <c r="R43" s="5">
        <v>2346634570</v>
      </c>
      <c r="S43" s="5">
        <v>2162164117</v>
      </c>
      <c r="T43" s="5">
        <v>2050233903</v>
      </c>
      <c r="U43" s="5">
        <v>2215252931</v>
      </c>
      <c r="V43" s="5">
        <v>1985312646</v>
      </c>
      <c r="W43" s="5">
        <v>1973780767</v>
      </c>
      <c r="X43" s="5">
        <v>2354318713</v>
      </c>
      <c r="Y43" s="5">
        <v>2330177632</v>
      </c>
      <c r="Z43" s="6">
        <v>2548147382</v>
      </c>
      <c r="AA43" s="6"/>
      <c r="AB43" s="6"/>
      <c r="AC43" s="6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6">
        <v>0</v>
      </c>
      <c r="AA44" s="6">
        <v>0</v>
      </c>
      <c r="AB44" s="6">
        <v>0</v>
      </c>
      <c r="AC44" s="6">
        <v>0</v>
      </c>
    </row>
    <row r="45" spans="1:29" x14ac:dyDescent="0.2">
      <c r="A45" s="3" t="s">
        <v>43</v>
      </c>
      <c r="P45" s="8">
        <f>benzene_orig!AA46+toluene_orig!AA46+'o-xylene_orig'!AA46+'p-xylene_orig'!AA46+'m-xylene_orig'!AA46+'b,t,x_orig'!AA45</f>
        <v>0</v>
      </c>
      <c r="Q45" s="8">
        <f>benzene_orig!AB46+toluene_orig!AB46+'o-xylene_orig'!AB46+'p-xylene_orig'!AB46+'m-xylene_orig'!AB46+'b,t,x_orig'!AB45</f>
        <v>0</v>
      </c>
      <c r="R45" s="8">
        <f>benzene_orig!AC46+toluene_orig!AC46+'o-xylene_orig'!AC46+'p-xylene_orig'!AC46+'m-xylene_orig'!AC46+'b,t,x_orig'!AC45</f>
        <v>0</v>
      </c>
      <c r="S45" s="8">
        <f>benzene_orig!AD46+toluene_orig!AD46+'o-xylene_orig'!AD46+'p-xylene_orig'!AD46+'m-xylene_orig'!AD46+'b,t,x_orig'!AD45</f>
        <v>0</v>
      </c>
      <c r="T45" s="8"/>
      <c r="U45" s="8"/>
    </row>
    <row r="46" spans="1:29" x14ac:dyDescent="0.2">
      <c r="A46" s="11" t="s">
        <v>45</v>
      </c>
      <c r="N46" s="3">
        <f>(118.4-2.5)</f>
        <v>115.9</v>
      </c>
      <c r="O46" s="3">
        <f>(214.7-2.6)</f>
        <v>212.1</v>
      </c>
      <c r="P46" s="3">
        <f>(192.3-2.7)</f>
        <v>189.60000000000002</v>
      </c>
      <c r="Q46" s="3">
        <f>(240.8-3.4)</f>
        <v>237.4</v>
      </c>
      <c r="R46" s="3">
        <f>(280.3-3)</f>
        <v>277.3</v>
      </c>
      <c r="S46" s="3">
        <f>197.7-1.4</f>
        <v>196.29999999999998</v>
      </c>
      <c r="T46" s="3">
        <f>137.6-0.8</f>
        <v>136.79999999999998</v>
      </c>
      <c r="U46" s="3">
        <f>(90.6-2)</f>
        <v>88.6</v>
      </c>
      <c r="V46" s="3">
        <f>(79.1-1.8)</f>
        <v>77.3</v>
      </c>
    </row>
    <row r="47" spans="1:29" x14ac:dyDescent="0.2">
      <c r="A47" s="11" t="s">
        <v>48</v>
      </c>
      <c r="N47" s="3">
        <f>(484.7-85.2)</f>
        <v>399.5</v>
      </c>
      <c r="O47" s="3">
        <f>499.7-22.8</f>
        <v>476.9</v>
      </c>
      <c r="P47" s="3">
        <f>392.9-118.1</f>
        <v>274.79999999999995</v>
      </c>
      <c r="Q47" s="3">
        <f>424.3-181.9</f>
        <v>242.4</v>
      </c>
      <c r="R47" s="3">
        <f>449.7-201.9</f>
        <v>247.79999999999998</v>
      </c>
      <c r="S47" s="3">
        <f>330.4-93.1</f>
        <v>237.29999999999998</v>
      </c>
      <c r="T47" s="3">
        <f>224.8-96.1</f>
        <v>128.70000000000002</v>
      </c>
      <c r="U47" s="3">
        <f>171-29.1</f>
        <v>141.9</v>
      </c>
      <c r="V47" s="3">
        <f>140.1-10.9</f>
        <v>129.19999999999999</v>
      </c>
    </row>
    <row r="48" spans="1:29" ht="15" x14ac:dyDescent="0.25">
      <c r="A48" t="s">
        <v>47</v>
      </c>
      <c r="N48" s="3">
        <f>286.4-2.26</f>
        <v>284.14</v>
      </c>
      <c r="O48" s="3">
        <f>298.5-3.3</f>
        <v>295.2</v>
      </c>
      <c r="P48" s="3">
        <f>235.1-0.77</f>
        <v>234.32999999999998</v>
      </c>
      <c r="Q48" s="3">
        <f>252.5-0</f>
        <v>252.5</v>
      </c>
      <c r="R48" s="3">
        <f>271.1-0.1</f>
        <v>271</v>
      </c>
      <c r="S48" s="3">
        <f>189.5-0.51</f>
        <v>188.99</v>
      </c>
      <c r="T48" s="3">
        <f>130.9-0</f>
        <v>130.9</v>
      </c>
      <c r="U48" s="3">
        <f>77.9-0.91</f>
        <v>76.990000000000009</v>
      </c>
      <c r="V48" s="3">
        <f>84.3-0.55</f>
        <v>83.75</v>
      </c>
    </row>
    <row r="49" spans="1:22" x14ac:dyDescent="0.2">
      <c r="A49" s="3" t="s">
        <v>49</v>
      </c>
      <c r="N49" s="3">
        <f>702.9-6.2</f>
        <v>696.69999999999993</v>
      </c>
      <c r="O49" s="3">
        <f>727.9-14.1</f>
        <v>713.8</v>
      </c>
      <c r="P49" s="3">
        <f>481.3-9</f>
        <v>472.3</v>
      </c>
      <c r="Q49" s="3">
        <f>542.2-18.4</f>
        <v>523.80000000000007</v>
      </c>
      <c r="R49" s="3">
        <f>418.5-16.6</f>
        <v>401.9</v>
      </c>
      <c r="S49" s="3">
        <f>338.7-8</f>
        <v>330.7</v>
      </c>
      <c r="T49" s="3">
        <f>234.7-5.9</f>
        <v>228.79999999999998</v>
      </c>
      <c r="U49" s="3">
        <f>159-4.6</f>
        <v>154.4</v>
      </c>
      <c r="V49" s="3">
        <f>112.8-9.2</f>
        <v>103.6</v>
      </c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D9DB-545B-48E9-BB47-04433FBB8B64}">
  <dimension ref="A1:AC49"/>
  <sheetViews>
    <sheetView zoomScale="85" zoomScaleNormal="85" workbookViewId="0">
      <selection activeCell="A38" sqref="A38:XFD38"/>
    </sheetView>
  </sheetViews>
  <sheetFormatPr baseColWidth="10" defaultColWidth="10.28515625" defaultRowHeight="14.25" x14ac:dyDescent="0.2"/>
  <cols>
    <col min="1" max="6" width="10.28515625" style="3"/>
    <col min="7" max="7" width="11.140625" style="3" bestFit="1" customWidth="1"/>
    <col min="8" max="19" width="10.28515625" style="3"/>
    <col min="20" max="21" width="11.28515625" style="3" bestFit="1" customWidth="1"/>
    <col min="22" max="16384" width="10.28515625" style="3"/>
  </cols>
  <sheetData>
    <row r="1" spans="1:29" ht="15" x14ac:dyDescent="0.25">
      <c r="A1" s="15" t="s">
        <v>71</v>
      </c>
      <c r="B1"/>
      <c r="C1"/>
    </row>
    <row r="2" spans="1:29" ht="15" x14ac:dyDescent="0.25">
      <c r="A2" s="15" t="s">
        <v>88</v>
      </c>
      <c r="B2" s="16" t="s">
        <v>72</v>
      </c>
      <c r="C2"/>
    </row>
    <row r="3" spans="1:29" ht="15" x14ac:dyDescent="0.25">
      <c r="A3" s="15" t="s">
        <v>89</v>
      </c>
      <c r="B3" s="15" t="s">
        <v>90</v>
      </c>
      <c r="C3"/>
    </row>
    <row r="4" spans="1:29" ht="15" x14ac:dyDescent="0.25">
      <c r="A4"/>
      <c r="B4"/>
      <c r="C4"/>
    </row>
    <row r="5" spans="1:29" ht="15" x14ac:dyDescent="0.25">
      <c r="A5" s="16" t="s">
        <v>41</v>
      </c>
      <c r="B5"/>
      <c r="C5" s="15" t="s">
        <v>79</v>
      </c>
    </row>
    <row r="6" spans="1:29" ht="15" x14ac:dyDescent="0.25">
      <c r="A6" s="16" t="s">
        <v>40</v>
      </c>
      <c r="B6"/>
      <c r="C6" s="15" t="s">
        <v>39</v>
      </c>
    </row>
    <row r="7" spans="1:29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</row>
    <row r="8" spans="1:29" x14ac:dyDescent="0.2">
      <c r="A8" s="7" t="s">
        <v>1</v>
      </c>
      <c r="B8" s="5">
        <v>22612000</v>
      </c>
      <c r="C8" s="5">
        <v>20480000</v>
      </c>
      <c r="D8" s="5">
        <v>19042000</v>
      </c>
      <c r="E8" s="5">
        <v>21654000</v>
      </c>
      <c r="F8" s="5">
        <v>21234000</v>
      </c>
      <c r="G8" s="5">
        <v>22908000</v>
      </c>
      <c r="H8" s="5">
        <v>19468000</v>
      </c>
      <c r="I8" s="5">
        <v>0</v>
      </c>
      <c r="J8" s="6"/>
      <c r="K8" s="6"/>
      <c r="L8" s="6"/>
      <c r="M8" s="6"/>
      <c r="N8" s="6"/>
      <c r="O8" s="6"/>
      <c r="P8" s="6"/>
      <c r="Q8" s="5">
        <v>0</v>
      </c>
      <c r="R8" s="5">
        <v>0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">
      <c r="A9" s="7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9">
        <f t="shared" ref="O9:S9" si="0">P9</f>
        <v>721434166.66666663</v>
      </c>
      <c r="P9" s="19">
        <f t="shared" si="0"/>
        <v>721434166.66666663</v>
      </c>
      <c r="Q9" s="19">
        <f t="shared" si="0"/>
        <v>721434166.66666663</v>
      </c>
      <c r="R9" s="19">
        <f t="shared" si="0"/>
        <v>721434166.66666663</v>
      </c>
      <c r="S9" s="19">
        <f t="shared" si="0"/>
        <v>721434166.66666663</v>
      </c>
      <c r="T9" s="19">
        <f>U9</f>
        <v>721434166.66666663</v>
      </c>
      <c r="U9" s="19">
        <f>AVERAGE(W9:AB9)</f>
        <v>721434166.66666663</v>
      </c>
      <c r="V9" s="5">
        <v>800940000</v>
      </c>
      <c r="W9" s="5">
        <v>712197000</v>
      </c>
      <c r="X9" s="5">
        <v>963857000</v>
      </c>
      <c r="Y9" s="5">
        <v>718367000</v>
      </c>
      <c r="Z9" s="6">
        <v>632591000</v>
      </c>
      <c r="AA9" s="6">
        <v>577970000</v>
      </c>
      <c r="AB9" s="6">
        <v>723623000</v>
      </c>
      <c r="AC9" s="21">
        <f>AVEDEV(AA9:AB9)</f>
        <v>72826500</v>
      </c>
    </row>
    <row r="10" spans="1:29" x14ac:dyDescent="0.2">
      <c r="A10" s="7" t="s">
        <v>3</v>
      </c>
      <c r="B10" s="6"/>
      <c r="C10" s="5">
        <v>109141000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5">
        <v>223773000</v>
      </c>
      <c r="P10" s="5">
        <v>173258000</v>
      </c>
      <c r="Q10" s="5">
        <v>317894000</v>
      </c>
      <c r="R10" s="5">
        <v>333578000</v>
      </c>
      <c r="S10" s="5">
        <v>287396000</v>
      </c>
      <c r="T10" s="5">
        <v>257284000</v>
      </c>
      <c r="U10" s="5">
        <v>254032000</v>
      </c>
      <c r="V10" s="5">
        <v>252556000</v>
      </c>
      <c r="W10" s="5">
        <v>292350000</v>
      </c>
      <c r="X10" s="5">
        <v>262568000</v>
      </c>
      <c r="Y10" s="5">
        <v>274965000</v>
      </c>
      <c r="Z10" s="6">
        <v>288876000</v>
      </c>
      <c r="AA10" s="6">
        <v>273780000</v>
      </c>
      <c r="AB10" s="6">
        <v>332009000</v>
      </c>
      <c r="AC10" s="6">
        <v>234963000</v>
      </c>
    </row>
    <row r="11" spans="1:29" x14ac:dyDescent="0.2">
      <c r="A11" s="7" t="s">
        <v>4</v>
      </c>
      <c r="B11" s="6"/>
      <c r="C11" s="6"/>
      <c r="D11" s="6"/>
      <c r="E11" s="6"/>
      <c r="F11" s="6"/>
      <c r="G11" s="5">
        <v>435717000</v>
      </c>
      <c r="H11" s="5">
        <v>460521000</v>
      </c>
      <c r="I11" s="5">
        <v>425855000</v>
      </c>
      <c r="J11" s="6"/>
      <c r="K11" s="6"/>
      <c r="L11" s="6"/>
      <c r="M11" s="6"/>
      <c r="N11" s="6"/>
      <c r="O11" s="6"/>
      <c r="P11" s="6"/>
      <c r="Q11" s="5">
        <v>221767000</v>
      </c>
      <c r="R11" s="6"/>
      <c r="S11" s="6"/>
      <c r="T11" s="6"/>
      <c r="U11" s="6"/>
      <c r="V11" s="6"/>
      <c r="W11" s="6"/>
      <c r="X11" s="6"/>
      <c r="Y11" s="6"/>
      <c r="Z11" s="6"/>
      <c r="AA11" s="6">
        <v>0</v>
      </c>
      <c r="AB11" s="6">
        <v>0</v>
      </c>
      <c r="AC11" s="6">
        <v>0</v>
      </c>
    </row>
    <row r="12" spans="1:29" x14ac:dyDescent="0.2">
      <c r="A12" s="7" t="s">
        <v>5</v>
      </c>
      <c r="B12" s="5">
        <v>0</v>
      </c>
      <c r="C12" s="5">
        <v>0</v>
      </c>
      <c r="D12" s="5">
        <v>93687</v>
      </c>
      <c r="E12" s="5">
        <v>0</v>
      </c>
      <c r="F12" s="5">
        <v>0</v>
      </c>
      <c r="G12" s="5">
        <v>0</v>
      </c>
      <c r="H12" s="6"/>
      <c r="I12" s="5">
        <v>0</v>
      </c>
      <c r="J12" s="6"/>
      <c r="K12" s="6"/>
      <c r="L12" s="6"/>
      <c r="M12" s="6"/>
      <c r="N12" s="6"/>
      <c r="O12" s="6"/>
      <c r="P12" s="5">
        <v>0</v>
      </c>
      <c r="Q12" s="19">
        <f>AVERAGE(P12, R12)</f>
        <v>1215035.5</v>
      </c>
      <c r="R12" s="5">
        <v>2430071</v>
      </c>
      <c r="S12" s="6"/>
      <c r="T12" s="6"/>
      <c r="U12" s="6"/>
      <c r="V12" s="5">
        <v>0</v>
      </c>
      <c r="W12" s="5">
        <v>0</v>
      </c>
      <c r="X12" s="5">
        <v>0</v>
      </c>
      <c r="Y12" s="5">
        <v>0</v>
      </c>
      <c r="Z12" s="6">
        <v>0</v>
      </c>
      <c r="AA12" s="6"/>
      <c r="AB12" s="6"/>
      <c r="AC12" s="6"/>
    </row>
    <row r="13" spans="1:29" x14ac:dyDescent="0.2">
      <c r="A13" s="7" t="s">
        <v>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6"/>
      <c r="AA13" s="6"/>
      <c r="AB13" s="6"/>
      <c r="AC13" s="6"/>
    </row>
    <row r="14" spans="1:29" x14ac:dyDescent="0.2">
      <c r="A14" s="7" t="s">
        <v>7</v>
      </c>
      <c r="B14" s="6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6"/>
      <c r="K14" s="6"/>
      <c r="L14" s="6"/>
      <c r="M14" s="6"/>
      <c r="N14" s="6"/>
      <c r="O14" s="6"/>
      <c r="P14" s="6"/>
      <c r="Q14" s="5">
        <v>0</v>
      </c>
      <c r="R14" s="6"/>
      <c r="S14" s="5">
        <v>0</v>
      </c>
      <c r="T14" s="5">
        <v>0</v>
      </c>
      <c r="U14" s="5">
        <v>0</v>
      </c>
      <c r="V14" s="5">
        <v>0</v>
      </c>
      <c r="W14" s="6"/>
      <c r="X14" s="5">
        <v>24078</v>
      </c>
      <c r="Y14" s="5">
        <v>22440</v>
      </c>
      <c r="Z14" s="6"/>
      <c r="AA14" s="6"/>
      <c r="AB14" s="6"/>
      <c r="AC14" s="6"/>
    </row>
    <row r="15" spans="1:29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6">
        <v>0</v>
      </c>
      <c r="AA15" s="6">
        <v>0</v>
      </c>
      <c r="AB15" s="6">
        <v>0</v>
      </c>
      <c r="AC15" s="6">
        <v>0</v>
      </c>
    </row>
    <row r="16" spans="1:29" x14ac:dyDescent="0.2">
      <c r="A16" s="7" t="s">
        <v>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/>
      <c r="K16" s="6"/>
      <c r="L16" s="6"/>
      <c r="M16" s="6"/>
      <c r="N16" s="6"/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6">
        <v>0</v>
      </c>
      <c r="AA16" s="6">
        <v>0</v>
      </c>
      <c r="AB16" s="6"/>
      <c r="AC16" s="6"/>
    </row>
    <row r="17" spans="1:29" x14ac:dyDescent="0.2">
      <c r="A17" s="7" t="s">
        <v>10</v>
      </c>
      <c r="B17" s="5">
        <v>0</v>
      </c>
      <c r="C17" s="6"/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2">
      <c r="A18" s="7" t="s">
        <v>11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6">
        <v>0</v>
      </c>
      <c r="AA19" s="6">
        <v>0</v>
      </c>
      <c r="AB19" s="6">
        <v>0</v>
      </c>
      <c r="AC19" s="6">
        <v>0</v>
      </c>
    </row>
    <row r="20" spans="1:29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6">
        <v>0</v>
      </c>
      <c r="AA20" s="6">
        <v>0</v>
      </c>
      <c r="AB20" s="6">
        <v>0</v>
      </c>
      <c r="AC20" s="6">
        <v>0</v>
      </c>
    </row>
    <row r="21" spans="1:29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6">
        <v>0</v>
      </c>
      <c r="AA21" s="6">
        <v>0</v>
      </c>
      <c r="AB21" s="6"/>
      <c r="AC21" s="6"/>
    </row>
    <row r="22" spans="1:29" x14ac:dyDescent="0.2">
      <c r="A22" s="7" t="s">
        <v>15</v>
      </c>
      <c r="B22" s="5">
        <v>0</v>
      </c>
      <c r="C22" s="5">
        <v>7578000</v>
      </c>
      <c r="D22" s="5">
        <v>11717000</v>
      </c>
      <c r="E22" s="5">
        <v>12287000</v>
      </c>
      <c r="F22" s="5">
        <v>12194000</v>
      </c>
      <c r="G22" s="5">
        <v>10913000</v>
      </c>
      <c r="H22" s="5">
        <v>8966600</v>
      </c>
      <c r="I22" s="5">
        <v>10114700</v>
      </c>
      <c r="J22" s="6"/>
      <c r="K22" s="6"/>
      <c r="L22" s="6"/>
      <c r="M22" s="6"/>
      <c r="N22" s="6"/>
      <c r="O22" s="6"/>
      <c r="P22" s="5">
        <v>9895000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>
        <v>9093000</v>
      </c>
      <c r="AB22" s="6">
        <v>7478000</v>
      </c>
      <c r="AC22" s="6"/>
    </row>
    <row r="23" spans="1:29" x14ac:dyDescent="0.2">
      <c r="A23" s="7" t="s">
        <v>16</v>
      </c>
      <c r="B23" s="6"/>
      <c r="C23" s="6"/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/>
      <c r="K23" s="6"/>
      <c r="L23" s="6"/>
      <c r="M23" s="6"/>
      <c r="N23" s="6"/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149543000</v>
      </c>
      <c r="Z23" s="6">
        <v>137696000</v>
      </c>
      <c r="AA23" s="6">
        <v>134426000</v>
      </c>
      <c r="AB23" s="6">
        <v>114015000</v>
      </c>
      <c r="AC23" s="6">
        <v>165282000</v>
      </c>
    </row>
    <row r="24" spans="1:29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5">
        <v>0</v>
      </c>
      <c r="U24" s="5">
        <v>0</v>
      </c>
      <c r="V24" s="5">
        <v>0</v>
      </c>
      <c r="W24" s="5">
        <v>0</v>
      </c>
      <c r="X24" s="6"/>
      <c r="Y24" s="6"/>
      <c r="Z24" s="6"/>
      <c r="AA24" s="6"/>
      <c r="AB24" s="6"/>
      <c r="AC24" s="6"/>
    </row>
    <row r="25" spans="1:29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6">
        <v>0</v>
      </c>
      <c r="AA25" s="6">
        <v>0</v>
      </c>
      <c r="AB25" s="6">
        <v>0</v>
      </c>
      <c r="AC25" s="6">
        <v>0</v>
      </c>
    </row>
    <row r="26" spans="1:29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5">
        <v>0</v>
      </c>
      <c r="P26" s="5">
        <v>0</v>
      </c>
      <c r="Q26" s="5">
        <v>0</v>
      </c>
      <c r="R26" s="5">
        <v>0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2">
      <c r="A27" s="7" t="s">
        <v>20</v>
      </c>
      <c r="B27" s="6"/>
      <c r="C27" s="6"/>
      <c r="D27" s="6"/>
      <c r="E27" s="6"/>
      <c r="F27" s="6"/>
      <c r="G27" s="5">
        <v>0</v>
      </c>
      <c r="H27" s="5">
        <v>0</v>
      </c>
      <c r="I27" s="5">
        <v>0</v>
      </c>
      <c r="J27" s="6"/>
      <c r="K27" s="6"/>
      <c r="L27" s="6"/>
      <c r="M27" s="6"/>
      <c r="N27" s="6"/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6">
        <v>0</v>
      </c>
      <c r="AA27" s="6"/>
      <c r="AB27" s="6"/>
      <c r="AC27" s="6"/>
    </row>
    <row r="28" spans="1:29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6">
        <v>0</v>
      </c>
      <c r="AA28" s="6">
        <v>0</v>
      </c>
      <c r="AB28" s="6"/>
      <c r="AC28" s="6"/>
    </row>
    <row r="29" spans="1:29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12</v>
      </c>
      <c r="X29" s="5">
        <v>0</v>
      </c>
      <c r="Y29" s="5">
        <v>0</v>
      </c>
      <c r="Z29" s="6">
        <v>0</v>
      </c>
      <c r="AA29" s="6">
        <v>0</v>
      </c>
      <c r="AB29" s="6"/>
      <c r="AC29" s="6">
        <v>0</v>
      </c>
    </row>
    <row r="30" spans="1:29" x14ac:dyDescent="0.2">
      <c r="A30" s="7" t="s">
        <v>23</v>
      </c>
      <c r="B30" s="6"/>
      <c r="C30" s="6"/>
      <c r="D30" s="6"/>
      <c r="E30" s="6"/>
      <c r="F30" s="6"/>
      <c r="G30" s="6"/>
      <c r="H30" s="6"/>
      <c r="I30" s="5">
        <v>111341000</v>
      </c>
      <c r="J30" s="6"/>
      <c r="K30" s="6"/>
      <c r="L30" s="6"/>
      <c r="M30" s="6"/>
      <c r="N30" s="6"/>
      <c r="O30" s="5">
        <v>121519000</v>
      </c>
      <c r="P30" s="5">
        <v>83944000</v>
      </c>
      <c r="Q30" s="5">
        <v>119740000</v>
      </c>
      <c r="R30" s="5">
        <v>112440000</v>
      </c>
      <c r="S30" s="5">
        <v>102642000</v>
      </c>
      <c r="T30" s="5">
        <v>111108000</v>
      </c>
      <c r="U30" s="5">
        <v>110871000</v>
      </c>
      <c r="V30" s="5">
        <v>113166000</v>
      </c>
      <c r="W30" s="5">
        <v>107844000</v>
      </c>
      <c r="X30" s="5">
        <v>101430000</v>
      </c>
      <c r="Y30" s="5">
        <v>106283000</v>
      </c>
      <c r="Z30" s="6">
        <v>99147000</v>
      </c>
      <c r="AA30" s="6">
        <v>91762000</v>
      </c>
      <c r="AB30" s="6">
        <v>117363000</v>
      </c>
      <c r="AC30" s="6">
        <v>98976000</v>
      </c>
    </row>
    <row r="31" spans="1:29" x14ac:dyDescent="0.2">
      <c r="A31" s="7" t="s">
        <v>24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5">
        <v>179847000</v>
      </c>
      <c r="P31" s="5">
        <v>95308000</v>
      </c>
      <c r="Q31" s="5">
        <v>160524000</v>
      </c>
      <c r="R31" s="5">
        <v>171473000</v>
      </c>
      <c r="S31" s="5">
        <v>149276000</v>
      </c>
      <c r="T31" s="5">
        <v>172617000</v>
      </c>
      <c r="U31" s="5">
        <v>144221000</v>
      </c>
      <c r="V31" s="5">
        <v>147834000</v>
      </c>
      <c r="W31" s="5">
        <v>154009000</v>
      </c>
      <c r="X31" s="5">
        <v>177607000</v>
      </c>
      <c r="Y31" s="6"/>
      <c r="Z31" s="6">
        <v>138519000</v>
      </c>
      <c r="AA31" s="6">
        <v>127885000</v>
      </c>
      <c r="AB31" s="6">
        <v>182032000</v>
      </c>
      <c r="AC31" s="6">
        <v>84434000</v>
      </c>
    </row>
    <row r="32" spans="1:29" x14ac:dyDescent="0.2">
      <c r="A32" s="7" t="s">
        <v>25</v>
      </c>
      <c r="B32" s="6"/>
      <c r="C32" s="6"/>
      <c r="D32" s="6"/>
      <c r="E32" s="6"/>
      <c r="F32" s="6"/>
      <c r="G32" s="6"/>
      <c r="H32" s="6"/>
      <c r="I32" s="5">
        <v>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21">
        <f>W32</f>
        <v>14543041</v>
      </c>
      <c r="W32" s="21">
        <f>X32</f>
        <v>14543041</v>
      </c>
      <c r="X32" s="21">
        <f>Y32</f>
        <v>14543041</v>
      </c>
      <c r="Y32" s="21">
        <f>Z32</f>
        <v>14543041</v>
      </c>
      <c r="Z32" s="21">
        <f>AVERAGE(AA32:AC32)</f>
        <v>14543041</v>
      </c>
      <c r="AA32" s="6">
        <v>15304839</v>
      </c>
      <c r="AB32" s="6">
        <v>17936180</v>
      </c>
      <c r="AC32" s="6">
        <v>10388104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6"/>
      <c r="I33" s="5">
        <v>0</v>
      </c>
      <c r="J33" s="6"/>
      <c r="K33" s="6"/>
      <c r="L33" s="6"/>
      <c r="M33" s="6"/>
      <c r="N33" s="6"/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6">
        <v>0</v>
      </c>
      <c r="AA33" s="6">
        <v>0</v>
      </c>
      <c r="AB33" s="6"/>
      <c r="AC33" s="6"/>
    </row>
    <row r="34" spans="1:29" x14ac:dyDescent="0.2">
      <c r="A34" s="7" t="s">
        <v>27</v>
      </c>
      <c r="B34" s="6"/>
      <c r="C34" s="6"/>
      <c r="D34" s="6"/>
      <c r="E34" s="6"/>
      <c r="F34" s="6"/>
      <c r="G34" s="5">
        <v>0</v>
      </c>
      <c r="H34" s="5">
        <v>0</v>
      </c>
      <c r="I34" s="6"/>
      <c r="J34" s="6"/>
      <c r="K34" s="6"/>
      <c r="L34" s="6"/>
      <c r="M34" s="6"/>
      <c r="N34" s="6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6">
        <v>0</v>
      </c>
      <c r="AA34" s="6">
        <v>0</v>
      </c>
      <c r="AB34" s="6">
        <v>0</v>
      </c>
      <c r="AC34" s="6">
        <v>0</v>
      </c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5">
        <v>0</v>
      </c>
      <c r="I35" s="5">
        <v>0</v>
      </c>
      <c r="J35" s="6"/>
      <c r="K35" s="6"/>
      <c r="L35" s="6"/>
      <c r="M35" s="6"/>
      <c r="N35" s="6"/>
      <c r="O35" s="6"/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6">
        <v>0</v>
      </c>
      <c r="AA35" s="6">
        <v>0</v>
      </c>
      <c r="AB35" s="6"/>
      <c r="AC35" s="6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6">
        <v>0</v>
      </c>
      <c r="AA36" s="6">
        <v>0</v>
      </c>
      <c r="AB36" s="6">
        <v>0</v>
      </c>
      <c r="AC36" s="6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5">
        <v>0</v>
      </c>
      <c r="I37" s="5">
        <v>0</v>
      </c>
      <c r="J37" s="6"/>
      <c r="K37" s="6"/>
      <c r="L37" s="6"/>
      <c r="M37" s="6"/>
      <c r="N37" s="6"/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6">
        <v>0</v>
      </c>
      <c r="AA37" s="6">
        <v>0</v>
      </c>
      <c r="AB37" s="6"/>
      <c r="AC37" s="6">
        <v>29635</v>
      </c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6"/>
      <c r="AA38" s="6"/>
      <c r="AB38" s="6">
        <v>5347000</v>
      </c>
      <c r="AC38" s="6">
        <v>4301000</v>
      </c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6">
        <v>0</v>
      </c>
      <c r="AA39" s="6">
        <v>0</v>
      </c>
      <c r="AB39" s="6">
        <v>0</v>
      </c>
      <c r="AC39" s="6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6">
        <v>0</v>
      </c>
      <c r="AA40" s="6">
        <v>0</v>
      </c>
      <c r="AB40" s="6">
        <v>0</v>
      </c>
      <c r="AC40" s="6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2356518916</v>
      </c>
      <c r="P42" s="5">
        <v>2861672878</v>
      </c>
      <c r="Q42" s="5">
        <v>2257542666</v>
      </c>
      <c r="R42" s="5">
        <v>2344204499</v>
      </c>
      <c r="S42" s="5">
        <v>2160364117</v>
      </c>
      <c r="T42" s="5">
        <v>2047233903</v>
      </c>
      <c r="U42" s="5">
        <v>2212852931</v>
      </c>
      <c r="V42" s="5">
        <v>1985312646</v>
      </c>
      <c r="W42" s="5">
        <v>1973780767</v>
      </c>
      <c r="X42" s="5">
        <v>2354318713</v>
      </c>
      <c r="Y42" s="5">
        <v>2330177632</v>
      </c>
      <c r="Z42" s="6">
        <v>2548147382</v>
      </c>
      <c r="AA42" s="6">
        <v>2064035767</v>
      </c>
      <c r="AB42" s="6">
        <v>2315290325</v>
      </c>
      <c r="AC42" s="6">
        <v>1874506461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2356518921</v>
      </c>
      <c r="P43" s="5">
        <v>2861672878</v>
      </c>
      <c r="Q43" s="5">
        <v>2260342666</v>
      </c>
      <c r="R43" s="5">
        <v>2346634570</v>
      </c>
      <c r="S43" s="5">
        <v>2162164117</v>
      </c>
      <c r="T43" s="5">
        <v>2050233903</v>
      </c>
      <c r="U43" s="5">
        <v>2215252931</v>
      </c>
      <c r="V43" s="5">
        <v>1985312646</v>
      </c>
      <c r="W43" s="5">
        <v>1973780767</v>
      </c>
      <c r="X43" s="5">
        <v>2354318713</v>
      </c>
      <c r="Y43" s="5">
        <v>2330177632</v>
      </c>
      <c r="Z43" s="6">
        <v>2548147382</v>
      </c>
      <c r="AA43" s="6"/>
      <c r="AB43" s="6"/>
      <c r="AC43" s="6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6">
        <v>0</v>
      </c>
      <c r="AA44" s="6">
        <v>0</v>
      </c>
      <c r="AB44" s="6">
        <v>0</v>
      </c>
      <c r="AC44" s="6">
        <v>0</v>
      </c>
    </row>
    <row r="45" spans="1:29" x14ac:dyDescent="0.2">
      <c r="A45" s="3" t="s">
        <v>43</v>
      </c>
      <c r="P45" s="8">
        <f>benzene_orig!AA46+toluene_orig!AA46+'o-xylene_orig'!AA46+'p-xylene_orig'!AA46+'m-xylene_orig'!AA46+'b,t,x_as'!AA45</f>
        <v>0</v>
      </c>
      <c r="Q45" s="8">
        <f>benzene_orig!AB46+toluene_orig!AB46+'o-xylene_orig'!AB46+'p-xylene_orig'!AB46+'m-xylene_orig'!AB46+'b,t,x_as'!AB45</f>
        <v>0</v>
      </c>
      <c r="R45" s="8">
        <f>benzene_orig!AC46+toluene_orig!AC46+'o-xylene_orig'!AC46+'p-xylene_orig'!AC46+'m-xylene_orig'!AC46+'b,t,x_as'!AC45</f>
        <v>0</v>
      </c>
      <c r="S45" s="8">
        <f>benzene_orig!AD46+toluene_orig!AD46+'o-xylene_orig'!AD46+'p-xylene_orig'!AD46+'m-xylene_orig'!AD46+'b,t,x_as'!AD45</f>
        <v>0</v>
      </c>
      <c r="T45" s="8"/>
      <c r="U45" s="8"/>
    </row>
    <row r="46" spans="1:29" x14ac:dyDescent="0.2">
      <c r="A46" s="11" t="s">
        <v>45</v>
      </c>
      <c r="N46" s="3">
        <f>(118.4-2.5)</f>
        <v>115.9</v>
      </c>
      <c r="O46" s="3">
        <f>(214.7-2.6)</f>
        <v>212.1</v>
      </c>
      <c r="P46" s="3">
        <f>(192.3-2.7)</f>
        <v>189.60000000000002</v>
      </c>
      <c r="Q46" s="3">
        <f>(240.8-3.4)</f>
        <v>237.4</v>
      </c>
      <c r="R46" s="3">
        <f>(280.3-3)</f>
        <v>277.3</v>
      </c>
      <c r="S46" s="3">
        <f>197.7-1.4</f>
        <v>196.29999999999998</v>
      </c>
      <c r="T46" s="3">
        <f>137.6-0.8</f>
        <v>136.79999999999998</v>
      </c>
      <c r="U46" s="3">
        <f>(90.6-2)</f>
        <v>88.6</v>
      </c>
      <c r="V46" s="3">
        <f>(79.1-1.8)</f>
        <v>77.3</v>
      </c>
    </row>
    <row r="47" spans="1:29" x14ac:dyDescent="0.2">
      <c r="A47" s="11" t="s">
        <v>48</v>
      </c>
      <c r="N47" s="3">
        <f>(484.7-85.2)</f>
        <v>399.5</v>
      </c>
      <c r="O47" s="3">
        <f>499.7-22.8</f>
        <v>476.9</v>
      </c>
      <c r="P47" s="3">
        <f>392.9-118.1</f>
        <v>274.79999999999995</v>
      </c>
      <c r="Q47" s="3">
        <f>424.3-181.9</f>
        <v>242.4</v>
      </c>
      <c r="R47" s="3">
        <f>449.7-201.9</f>
        <v>247.79999999999998</v>
      </c>
      <c r="S47" s="3">
        <f>330.4-93.1</f>
        <v>237.29999999999998</v>
      </c>
      <c r="T47" s="3">
        <f>224.8-96.1</f>
        <v>128.70000000000002</v>
      </c>
      <c r="U47" s="3">
        <f>171-29.1</f>
        <v>141.9</v>
      </c>
      <c r="V47" s="3">
        <f>140.1-10.9</f>
        <v>129.19999999999999</v>
      </c>
    </row>
    <row r="48" spans="1:29" ht="15" x14ac:dyDescent="0.25">
      <c r="A48" t="s">
        <v>47</v>
      </c>
      <c r="N48" s="3">
        <f>286.4-2.26</f>
        <v>284.14</v>
      </c>
      <c r="O48" s="3">
        <f>298.5-3.3</f>
        <v>295.2</v>
      </c>
      <c r="P48" s="3">
        <f>235.1-0.77</f>
        <v>234.32999999999998</v>
      </c>
      <c r="Q48" s="3">
        <f>252.5-0</f>
        <v>252.5</v>
      </c>
      <c r="R48" s="3">
        <f>271.1-0.1</f>
        <v>271</v>
      </c>
      <c r="S48" s="3">
        <f>189.5-0.51</f>
        <v>188.99</v>
      </c>
      <c r="T48" s="3">
        <f>130.9-0</f>
        <v>130.9</v>
      </c>
      <c r="U48" s="3">
        <f>77.9-0.91</f>
        <v>76.990000000000009</v>
      </c>
      <c r="V48" s="3">
        <f>84.3-0.55</f>
        <v>83.75</v>
      </c>
    </row>
    <row r="49" spans="1:22" x14ac:dyDescent="0.2">
      <c r="A49" s="3" t="s">
        <v>49</v>
      </c>
      <c r="N49" s="3">
        <f>702.9-6.2</f>
        <v>696.69999999999993</v>
      </c>
      <c r="O49" s="3">
        <f>727.9-14.1</f>
        <v>713.8</v>
      </c>
      <c r="P49" s="3">
        <f>481.3-9</f>
        <v>472.3</v>
      </c>
      <c r="Q49" s="3">
        <f>542.2-18.4</f>
        <v>523.80000000000007</v>
      </c>
      <c r="R49" s="3">
        <f>418.5-16.6</f>
        <v>401.9</v>
      </c>
      <c r="S49" s="3">
        <f>338.7-8</f>
        <v>330.7</v>
      </c>
      <c r="T49" s="3">
        <f>234.7-5.9</f>
        <v>228.79999999999998</v>
      </c>
      <c r="U49" s="3">
        <f>159-4.6</f>
        <v>154.4</v>
      </c>
      <c r="V49" s="3">
        <f>112.8-9.2</f>
        <v>103.6</v>
      </c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BFF85-E271-4AFC-89FD-3D5B36E1E291}">
  <dimension ref="A1:AD49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V47" sqref="V46:V47"/>
    </sheetView>
  </sheetViews>
  <sheetFormatPr baseColWidth="10" defaultRowHeight="15" x14ac:dyDescent="0.25"/>
  <cols>
    <col min="2" max="2" width="12.7109375" bestFit="1" customWidth="1"/>
    <col min="7" max="9" width="12.7109375" bestFit="1" customWidth="1"/>
    <col min="10" max="13" width="0" hidden="1" customWidth="1"/>
    <col min="15" max="15" width="12.5703125" customWidth="1"/>
    <col min="16" max="16" width="12.42578125" customWidth="1"/>
    <col min="17" max="17" width="13.42578125" customWidth="1"/>
    <col min="25" max="25" width="13.28515625" customWidth="1"/>
    <col min="26" max="26" width="12.7109375" customWidth="1"/>
    <col min="27" max="27" width="12.5703125" customWidth="1"/>
    <col min="30" max="30" width="12.7109375" bestFit="1" customWidth="1"/>
  </cols>
  <sheetData>
    <row r="1" spans="1:30" x14ac:dyDescent="0.25">
      <c r="A1" s="11" t="s">
        <v>69</v>
      </c>
    </row>
    <row r="2" spans="1:30" x14ac:dyDescent="0.25">
      <c r="A2" s="3"/>
    </row>
    <row r="3" spans="1:30" x14ac:dyDescent="0.25">
      <c r="A3" s="4"/>
    </row>
    <row r="4" spans="1:30" x14ac:dyDescent="0.25">
      <c r="A4" s="4"/>
    </row>
    <row r="5" spans="1:30" x14ac:dyDescent="0.25">
      <c r="A5" s="4"/>
    </row>
    <row r="6" spans="1:30" x14ac:dyDescent="0.25">
      <c r="A6" s="3"/>
    </row>
    <row r="7" spans="1:30" x14ac:dyDescent="0.25">
      <c r="A7" s="1" t="s">
        <v>0</v>
      </c>
      <c r="B7" s="1">
        <v>1995</v>
      </c>
      <c r="C7" s="1">
        <v>1996</v>
      </c>
      <c r="D7" s="1">
        <v>1997</v>
      </c>
      <c r="E7" s="1">
        <v>1998</v>
      </c>
      <c r="F7" s="1">
        <v>1999</v>
      </c>
      <c r="G7" s="1">
        <v>2000</v>
      </c>
      <c r="H7" s="1">
        <v>2001</v>
      </c>
      <c r="I7" s="1">
        <v>2002</v>
      </c>
      <c r="J7" s="1">
        <v>2003</v>
      </c>
      <c r="K7" s="1">
        <v>2004</v>
      </c>
      <c r="L7" s="1">
        <v>2005</v>
      </c>
      <c r="M7" s="1">
        <v>2006</v>
      </c>
      <c r="N7" s="1">
        <v>2007</v>
      </c>
      <c r="O7" s="1">
        <v>2008</v>
      </c>
      <c r="P7" s="1">
        <v>2009</v>
      </c>
      <c r="Q7" s="1">
        <v>2010</v>
      </c>
      <c r="R7" s="1">
        <v>2011</v>
      </c>
      <c r="S7" s="1">
        <v>2012</v>
      </c>
      <c r="T7" s="1">
        <v>2013</v>
      </c>
      <c r="U7" s="1">
        <v>2014</v>
      </c>
      <c r="V7" s="1">
        <v>2015</v>
      </c>
      <c r="W7" s="1">
        <v>2016</v>
      </c>
      <c r="X7" s="1">
        <v>2017</v>
      </c>
      <c r="Y7" s="1">
        <v>2018</v>
      </c>
      <c r="Z7" s="1">
        <v>2019</v>
      </c>
      <c r="AA7" s="1">
        <v>2020</v>
      </c>
      <c r="AB7" s="1">
        <v>2021</v>
      </c>
      <c r="AC7" s="1">
        <v>2022</v>
      </c>
      <c r="AD7" t="s">
        <v>70</v>
      </c>
    </row>
    <row r="8" spans="1:30" x14ac:dyDescent="0.25">
      <c r="A8" s="7" t="s">
        <v>1</v>
      </c>
      <c r="B8" s="17">
        <f>benzene_as!B8+toluene_as!B8+'o-xylene_as'!B8+'p-xylene_as'!B8+'m-xylene_as'!B8+'b,t,x_as'!B8</f>
        <v>1203727000</v>
      </c>
      <c r="C8" s="17">
        <f>benzene_as!C8+toluene_as!C8+'o-xylene_as'!C8+'p-xylene_as'!C8+'m-xylene_as'!C8+'b,t,x_as'!C8</f>
        <v>971257000</v>
      </c>
      <c r="D8" s="17">
        <f>benzene_as!D8+toluene_as!D8+'o-xylene_as'!D8+'p-xylene_as'!D8+'m-xylene_as'!D8+'b,t,x_as'!D8</f>
        <v>958252000</v>
      </c>
      <c r="E8" s="17">
        <f>benzene_as!E8+toluene_as!E8+'o-xylene_as'!E8+'p-xylene_as'!E8+'m-xylene_as'!E8+'b,t,x_as'!E8</f>
        <v>1017994000</v>
      </c>
      <c r="F8" s="17">
        <f>benzene_as!F8+toluene_as!F8+'o-xylene_as'!F8+'p-xylene_as'!F8+'m-xylene_as'!F8+'b,t,x_as'!F8</f>
        <v>1049327000</v>
      </c>
      <c r="G8" s="17">
        <f>benzene_as!G8+toluene_as!G8+'o-xylene_as'!G8+'p-xylene_as'!G8+'m-xylene_as'!G8+'b,t,x_as'!G8</f>
        <v>1068608000</v>
      </c>
      <c r="H8" s="17">
        <f>benzene_as!H8+toluene_as!H8+'o-xylene_as'!H8+'p-xylene_as'!H8+'m-xylene_as'!H8+'b,t,x_as'!H8</f>
        <v>1073330000</v>
      </c>
      <c r="I8" s="17">
        <f>benzene_as!I8+toluene_as!I8+'o-xylene_as'!I8+'p-xylene_as'!I8+'m-xylene_as'!I8+'b,t,x_as'!I8</f>
        <v>1069464000</v>
      </c>
      <c r="J8" s="17"/>
      <c r="K8" s="17"/>
      <c r="L8" s="17"/>
      <c r="M8" s="17"/>
      <c r="N8" s="17"/>
      <c r="O8" s="17">
        <f>benzene_as!O8+toluene_as!O8+'o-xylene_as'!O8+'p-xylene_as'!O8+'m-xylene_as'!O8+'b,t,x_as'!O8</f>
        <v>1206296180</v>
      </c>
      <c r="P8" s="17">
        <f>benzene_as!P8+toluene_as!P8+'o-xylene_as'!P8+'p-xylene_as'!P8+'m-xylene_as'!P8+'b,t,x_as'!P8</f>
        <v>1302942000</v>
      </c>
      <c r="Q8" s="17">
        <f>benzene_as!Q8+toluene_as!Q8+'o-xylene_as'!Q8+'p-xylene_as'!Q8+'m-xylene_as'!Q8+'b,t,x_as'!Q8</f>
        <v>1132038000</v>
      </c>
      <c r="R8" s="17">
        <f>benzene_as!R8+toluene_as!R8+'o-xylene_as'!R8+'p-xylene_as'!R8+'m-xylene_as'!R8+'b,t,x_as'!R8</f>
        <v>1267115000</v>
      </c>
      <c r="S8" s="17">
        <f>benzene_as!S8+toluene_as!S8+'o-xylene_as'!S8+'p-xylene_as'!S8+'m-xylene_as'!S8+'b,t,x_as'!S8</f>
        <v>1028859000</v>
      </c>
      <c r="T8" s="17">
        <f>benzene_as!T8+toluene_as!T8+'o-xylene_as'!T8+'p-xylene_as'!T8+'m-xylene_as'!T8+'b,t,x_as'!T8</f>
        <v>1148378928</v>
      </c>
      <c r="U8" s="17">
        <f>benzene_as!U8+toluene_as!U8+'o-xylene_as'!U8+'p-xylene_as'!U8+'m-xylene_as'!U8+'b,t,x_as'!U8</f>
        <v>1354698000</v>
      </c>
      <c r="V8" s="17">
        <f>benzene_as!V8+toluene_as!V8+'o-xylene_as'!V8+'p-xylene_as'!V8+'m-xylene_as'!V8+'b,t,x_as'!V8</f>
        <v>1001311000</v>
      </c>
      <c r="W8" s="17">
        <f>benzene_as!W8+toluene_as!W8+'o-xylene_as'!W8+'p-xylene_as'!W8+'m-xylene_as'!W8+'b,t,x_as'!W8</f>
        <v>876734278</v>
      </c>
      <c r="X8" s="17">
        <f>benzene_as!X8+toluene_as!X8+'o-xylene_as'!X8+'p-xylene_as'!X8+'m-xylene_as'!X8+'b,t,x_as'!X8</f>
        <v>1044601740</v>
      </c>
      <c r="Y8" s="17">
        <f>benzene_as!Y8+toluene_as!Y8+'o-xylene_as'!Y8+'p-xylene_as'!Y8+'m-xylene_as'!Y8+'b,t,x_as'!Y8</f>
        <v>874488410</v>
      </c>
      <c r="Z8" s="17">
        <f>benzene_as!Z8+toluene_as!Z8+'o-xylene_as'!Z8+'p-xylene_as'!Z8+'m-xylene_as'!Z8+'b,t,x_as'!Z8</f>
        <v>909293332</v>
      </c>
      <c r="AA8" s="17">
        <f>benzene_as!AA8+toluene_as!AA8+'o-xylene_as'!AA8+'p-xylene_as'!AA8+'m-xylene_as'!AA8+'b,t,x_as'!AA8</f>
        <v>944170662</v>
      </c>
      <c r="AB8" s="17">
        <f>benzene_as!AB8+toluene_as!AB8+'o-xylene_as'!AB8+'p-xylene_as'!AB8+'m-xylene_as'!AB8+'b,t,x_as'!AB8</f>
        <v>1077810558</v>
      </c>
      <c r="AC8" s="17">
        <f>benzene_as!AC8+toluene_as!AC8+'o-xylene_as'!AC8+'p-xylene_as'!AC8+'m-xylene_as'!AC8+'b,t,x_as'!AC8</f>
        <v>1101653275</v>
      </c>
      <c r="AD8" s="17">
        <f>AVERAGE(O8:AC8)</f>
        <v>1084692690.8666666</v>
      </c>
    </row>
    <row r="9" spans="1:30" x14ac:dyDescent="0.25">
      <c r="A9" s="7" t="s">
        <v>2</v>
      </c>
      <c r="B9" s="17">
        <f>benzene_as!B9+toluene_as!B9+'o-xylene_as'!B9+'p-xylene_as'!B9+'m-xylene_as'!B9+'b,t,x_as'!B9</f>
        <v>1114000000</v>
      </c>
      <c r="C9" s="17">
        <f>benzene_as!C9+toluene_as!C9+'o-xylene_as'!C9+'p-xylene_as'!C9+'m-xylene_as'!C9+'b,t,x_as'!C9</f>
        <v>1012000000</v>
      </c>
      <c r="D9" s="17">
        <f>benzene_as!D9+toluene_as!D9+'o-xylene_as'!D9+'p-xylene_as'!D9+'m-xylene_as'!D9+'b,t,x_as'!D9</f>
        <v>637949000</v>
      </c>
      <c r="E9" s="17">
        <f>benzene_as!E9+toluene_as!E9+'o-xylene_as'!E9+'p-xylene_as'!E9+'m-xylene_as'!E9+'b,t,x_as'!E9</f>
        <v>703647000</v>
      </c>
      <c r="F9" s="17">
        <f>benzene_as!F9+toluene_as!F9+'o-xylene_as'!F9+'p-xylene_as'!F9+'m-xylene_as'!F9+'b,t,x_as'!F9</f>
        <v>718382000</v>
      </c>
      <c r="G9" s="17">
        <f>benzene_as!G9+toluene_as!G9+'o-xylene_as'!G9+'p-xylene_as'!G9+'m-xylene_as'!G9+'b,t,x_as'!G9</f>
        <v>915223000</v>
      </c>
      <c r="H9" s="17">
        <f>benzene_as!H9+toluene_as!H9+'o-xylene_as'!H9+'p-xylene_as'!H9+'m-xylene_as'!H9+'b,t,x_as'!H9</f>
        <v>983904000</v>
      </c>
      <c r="I9" s="17"/>
      <c r="J9" s="17"/>
      <c r="K9" s="17"/>
      <c r="L9" s="17"/>
      <c r="M9" s="17"/>
      <c r="N9" s="17"/>
      <c r="O9" s="17">
        <f>benzene_as!O9+toluene_as!O9+'o-xylene_as'!O9+'p-xylene_as'!O9+'m-xylene_as'!O9+'b,t,x_as'!O9</f>
        <v>1953607166.6666665</v>
      </c>
      <c r="P9" s="17">
        <f>benzene_as!P9+toluene_as!P9+'o-xylene_as'!P9+'p-xylene_as'!P9+'m-xylene_as'!P9+'b,t,x_as'!P9</f>
        <v>2080411166.6666665</v>
      </c>
      <c r="Q9" s="17">
        <f>benzene_as!Q9+toluene_as!Q9+'o-xylene_as'!Q9+'p-xylene_as'!Q9+'m-xylene_as'!Q9+'b,t,x_as'!Q9</f>
        <v>2494806166.6666665</v>
      </c>
      <c r="R9" s="17"/>
      <c r="S9" s="17">
        <f>benzene_as!S9+toluene_as!S9+'o-xylene_as'!S9+'p-xylene_as'!S9+'m-xylene_as'!S9+'b,t,x_as'!S9</f>
        <v>2261458166.6666665</v>
      </c>
      <c r="T9" s="17">
        <f>benzene_as!T9+toluene_as!T9+'o-xylene_as'!T9+'p-xylene_as'!T9+'m-xylene_as'!T9+'b,t,x_as'!T9</f>
        <v>2099505166.6666665</v>
      </c>
      <c r="U9" s="17">
        <f>benzene_as!U9+toluene_as!U9+'o-xylene_as'!U9+'p-xylene_as'!U9+'m-xylene_as'!U9+'b,t,x_as'!U9</f>
        <v>2046068166.6666665</v>
      </c>
      <c r="V9" s="17">
        <f>benzene_as!V9+toluene_as!V9+'o-xylene_as'!V9+'p-xylene_as'!V9+'m-xylene_as'!V9+'b,t,x_as'!V9</f>
        <v>2557306000</v>
      </c>
      <c r="W9" s="17">
        <f>benzene_as!W9+toluene_as!W9+'o-xylene_as'!W9+'p-xylene_as'!W9+'m-xylene_as'!W9+'b,t,x_as'!W9</f>
        <v>2271814000</v>
      </c>
      <c r="X9" s="17">
        <f>benzene_as!X9+toluene_as!X9+'o-xylene_as'!X9+'p-xylene_as'!X9+'m-xylene_as'!X9+'b,t,x_as'!X9</f>
        <v>2816825000</v>
      </c>
      <c r="Y9" s="17">
        <f>benzene_as!Y9+toluene_as!Y9+'o-xylene_as'!Y9+'p-xylene_as'!Y9+'m-xylene_as'!Y9+'b,t,x_as'!Y9</f>
        <v>2560334000</v>
      </c>
      <c r="Z9" s="17">
        <f>benzene_as!Z9+toluene_as!Z9+'o-xylene_as'!Z9+'p-xylene_as'!Z9+'m-xylene_as'!Z9+'b,t,x_as'!Z9</f>
        <v>2319890000</v>
      </c>
      <c r="AA9" s="17">
        <f>benzene_as!AA9+toluene_as!AA9+'o-xylene_as'!AA9+'p-xylene_as'!AA9+'m-xylene_as'!AA9+'b,t,x_as'!AA9</f>
        <v>2382526000</v>
      </c>
      <c r="AB9" s="17">
        <f>benzene_as!AB9+toluene_as!AB9+'o-xylene_as'!AB9+'p-xylene_as'!AB9+'m-xylene_as'!AB9+'b,t,x_as'!AB9</f>
        <v>3187591000</v>
      </c>
      <c r="AC9" s="17">
        <f>benzene_as!AC9+toluene_as!AC9+'o-xylene_as'!AC9+'p-xylene_as'!AC9+'m-xylene_as'!AC9+'b,t,x_as'!AC9</f>
        <v>1720622500</v>
      </c>
      <c r="AD9" s="17">
        <f t="shared" ref="AD9:AD12" si="0">AVERAGE(O9:AC9)</f>
        <v>2339483178.5714288</v>
      </c>
    </row>
    <row r="10" spans="1:30" x14ac:dyDescent="0.25">
      <c r="A10" s="7" t="s">
        <v>3</v>
      </c>
      <c r="B10" s="17">
        <f>benzene_as!B10+toluene_as!B10+'o-xylene_as'!B10+'p-xylene_as'!B10+'m-xylene_as'!B10+'b,t,x_as'!B10</f>
        <v>3829671000</v>
      </c>
      <c r="C10" s="17">
        <f>benzene_as!C10+toluene_as!C10+'o-xylene_as'!C10+'p-xylene_as'!C10+'m-xylene_as'!C10+'b,t,x_as'!C10</f>
        <v>4192075000</v>
      </c>
      <c r="D10" s="17">
        <f>benzene_as!D10+toluene_as!D10+'o-xylene_as'!D10+'p-xylene_as'!D10+'m-xylene_as'!D10+'b,t,x_as'!D10</f>
        <v>4205532000</v>
      </c>
      <c r="E10" s="17">
        <f>benzene_as!E10+toluene_as!E10+'o-xylene_as'!E10+'p-xylene_as'!E10+'m-xylene_as'!E10+'b,t,x_as'!E10</f>
        <v>3810828000</v>
      </c>
      <c r="F10" s="17">
        <f>benzene_as!F10+toluene_as!F10+'o-xylene_as'!F10+'p-xylene_as'!F10+'m-xylene_as'!F10+'b,t,x_as'!F10</f>
        <v>3543406000</v>
      </c>
      <c r="G10" s="17">
        <f>benzene_as!G10+toluene_as!G10+'o-xylene_as'!G10+'p-xylene_as'!G10+'m-xylene_as'!G10+'b,t,x_as'!G10</f>
        <v>4011470000</v>
      </c>
      <c r="H10" s="17">
        <f>benzene_as!H10+toluene_as!H10+'o-xylene_as'!H10+'p-xylene_as'!H10+'m-xylene_as'!H10+'b,t,x_as'!H10</f>
        <v>3811144000</v>
      </c>
      <c r="I10" s="17">
        <f>benzene_as!I10+toluene_as!I10+'o-xylene_as'!I10+'p-xylene_as'!I10+'m-xylene_as'!I10+'b,t,x_as'!I10</f>
        <v>3328235000</v>
      </c>
      <c r="J10" s="17"/>
      <c r="K10" s="17"/>
      <c r="L10" s="17"/>
      <c r="M10" s="17"/>
      <c r="N10" s="17"/>
      <c r="O10" s="17">
        <f>benzene_as!O10+toluene_as!O10+'o-xylene_as'!O10+'p-xylene_as'!O10+'m-xylene_as'!O10+'b,t,x_as'!O10</f>
        <v>3631990000</v>
      </c>
      <c r="P10" s="17"/>
      <c r="Q10" s="17">
        <f>benzene_as!Q10+toluene_as!Q10+'o-xylene_as'!Q10+'p-xylene_as'!Q10+'m-xylene_as'!Q10+'b,t,x_as'!Q10</f>
        <v>3480491000</v>
      </c>
      <c r="R10" s="17">
        <f>benzene_as!R10+toluene_as!R10+'o-xylene_as'!R10+'p-xylene_as'!R10+'m-xylene_as'!R10+'b,t,x_as'!R10</f>
        <v>3456273000</v>
      </c>
      <c r="S10" s="17">
        <f>benzene_as!S10+toluene_as!S10+'o-xylene_as'!S10+'p-xylene_as'!S10+'m-xylene_as'!S10+'b,t,x_as'!S10</f>
        <v>3403710000</v>
      </c>
      <c r="T10" s="17">
        <f>benzene_as!T10+toluene_as!T10+'o-xylene_as'!T10+'p-xylene_as'!T10+'m-xylene_as'!T10+'b,t,x_as'!T10</f>
        <v>3539792000</v>
      </c>
      <c r="U10" s="17">
        <f>benzene_as!U10+toluene_as!U10+'o-xylene_as'!U10+'p-xylene_as'!U10+'m-xylene_as'!U10+'b,t,x_as'!U10</f>
        <v>3685732000</v>
      </c>
      <c r="V10" s="17">
        <f>benzene_as!V10+toluene_as!V10+'o-xylene_as'!V10+'p-xylene_as'!V10+'m-xylene_as'!V10+'b,t,x_as'!V10</f>
        <v>3420416000</v>
      </c>
      <c r="W10" s="17">
        <f>benzene_as!W10+toluene_as!W10+'o-xylene_as'!W10+'p-xylene_as'!W10+'m-xylene_as'!W10+'b,t,x_as'!W10</f>
        <v>3421189000</v>
      </c>
      <c r="X10" s="17">
        <f>benzene_as!X10+toluene_as!X10+'o-xylene_as'!X10+'p-xylene_as'!X10+'m-xylene_as'!X10+'b,t,x_as'!X10</f>
        <v>3291672000</v>
      </c>
      <c r="Y10" s="17">
        <f>benzene_as!Y10+toluene_as!Y10+'o-xylene_as'!Y10+'p-xylene_as'!Y10+'m-xylene_as'!Y10+'b,t,x_as'!Y10</f>
        <v>2737074000</v>
      </c>
      <c r="Z10" s="17">
        <f>benzene_as!Z10+toluene_as!Z10+'o-xylene_as'!Z10+'p-xylene_as'!Z10+'m-xylene_as'!Z10+'b,t,x_as'!Z10</f>
        <v>2849225000</v>
      </c>
      <c r="AA10" s="17">
        <f>benzene_as!AA10+toluene_as!AA10+'o-xylene_as'!AA10+'p-xylene_as'!AA10+'m-xylene_as'!AA10+'b,t,x_as'!AA10</f>
        <v>2773772000</v>
      </c>
      <c r="AB10" s="17">
        <f>benzene_as!AB10+toluene_as!AB10+'o-xylene_as'!AB10+'p-xylene_as'!AB10+'m-xylene_as'!AB10+'b,t,x_as'!AB10</f>
        <v>2835234000</v>
      </c>
      <c r="AC10" s="17">
        <f>benzene_as!AC10+toluene_as!AC10+'o-xylene_as'!AC10+'p-xylene_as'!AC10+'m-xylene_as'!AC10+'b,t,x_as'!AC10</f>
        <v>2622782000</v>
      </c>
      <c r="AD10" s="17">
        <f t="shared" si="0"/>
        <v>3224953714.2857141</v>
      </c>
    </row>
    <row r="11" spans="1:30" x14ac:dyDescent="0.25">
      <c r="A11" s="7" t="s">
        <v>4</v>
      </c>
      <c r="B11" s="17"/>
      <c r="C11" s="17"/>
      <c r="D11" s="17"/>
      <c r="E11" s="17"/>
      <c r="F11" s="17"/>
      <c r="G11" s="18">
        <f>benzene_as!G11+toluene_as!G11+'o-xylene_as'!G11+'p-xylene_as'!G11+'m-xylene_as'!G11+'b,t,x_as'!G11</f>
        <v>435717000</v>
      </c>
      <c r="H11" s="18">
        <f>benzene_as!H11+toluene_as!H11+'o-xylene_as'!H11+'p-xylene_as'!H11+'m-xylene_as'!H11+'b,t,x_as'!H11</f>
        <v>460521000</v>
      </c>
      <c r="I11" s="18">
        <f>benzene_as!I11+toluene_as!I11+'o-xylene_as'!I11+'p-xylene_as'!I11+'m-xylene_as'!I11+'b,t,x_as'!I11</f>
        <v>425855000</v>
      </c>
      <c r="J11" s="17"/>
      <c r="K11" s="17"/>
      <c r="L11" s="17"/>
      <c r="M11" s="17"/>
      <c r="N11" s="17"/>
      <c r="O11" s="18">
        <f>benzene_as!O11+toluene_as!O11+'o-xylene_as'!O11+'p-xylene_as'!O11+'m-xylene_as'!O11+'b,t,x_as'!O11</f>
        <v>570705000</v>
      </c>
      <c r="P11" s="17"/>
      <c r="Q11" s="17">
        <f>benzene_as!Q11+toluene_as!Q11+'o-xylene_as'!Q11+'p-xylene_as'!Q11+'m-xylene_as'!Q11+'b,t,x_as'!Q11</f>
        <v>932098000</v>
      </c>
      <c r="R11" s="17"/>
      <c r="S11" s="17"/>
      <c r="T11" s="17"/>
      <c r="U11" s="17"/>
      <c r="V11" s="18">
        <f>benzene_as!V11+toluene_as!V11+'o-xylene_as'!V11+'p-xylene_as'!V11+'m-xylene_as'!V11+'b,t,x_as'!V11</f>
        <v>22821000</v>
      </c>
      <c r="W11" s="18"/>
      <c r="X11" s="18"/>
      <c r="Y11" s="18">
        <f>benzene_as!Y11+toluene_as!Y11+'o-xylene_as'!Y11+'p-xylene_as'!Y11+'m-xylene_as'!Y11+'b,t,x_as'!Y11</f>
        <v>181283000</v>
      </c>
      <c r="Z11" s="18">
        <f>benzene_as!Z11+toluene_as!Z11+'o-xylene_as'!Z11+'p-xylene_as'!Z11+'m-xylene_as'!Z11+'b,t,x_as'!Z11</f>
        <v>126304000</v>
      </c>
      <c r="AA11" s="18">
        <f>benzene_as!AA11+toluene_as!AA11+'o-xylene_as'!AA11+'p-xylene_as'!AA11+'m-xylene_as'!AA11+'b,t,x_as'!AA11</f>
        <v>143251000</v>
      </c>
      <c r="AB11" s="18">
        <f>benzene_as!AB11+toluene_as!AB11+'o-xylene_as'!AB11+'p-xylene_as'!AB11+'m-xylene_as'!AB11+'b,t,x_as'!AB11</f>
        <v>145298000</v>
      </c>
      <c r="AC11" s="18">
        <f>benzene_as!AC11+toluene_as!AC11+'o-xylene_as'!AC11+'p-xylene_as'!AC11+'m-xylene_as'!AC11+'b,t,x_as'!AC11</f>
        <v>128825000</v>
      </c>
      <c r="AD11" s="17">
        <f>Q11</f>
        <v>932098000</v>
      </c>
    </row>
    <row r="12" spans="1:30" x14ac:dyDescent="0.25">
      <c r="A12" s="7" t="s">
        <v>5</v>
      </c>
      <c r="B12" s="17">
        <f>benzene_as!B12+toluene_as!B12+'o-xylene_as'!B12+'p-xylene_as'!B12+'m-xylene_as'!B12+'b,t,x_as'!B12</f>
        <v>1234647951</v>
      </c>
      <c r="C12" s="17">
        <f>benzene_as!C12+toluene_as!C12+'o-xylene_as'!C12+'p-xylene_as'!C12+'m-xylene_as'!C12+'b,t,x_as'!C12</f>
        <v>1163992802.5</v>
      </c>
      <c r="D12" s="17">
        <f>benzene_as!D12+toluene_as!D12+'o-xylene_as'!D12+'p-xylene_as'!D12+'m-xylene_as'!D12+'b,t,x_as'!D12</f>
        <v>1140906296</v>
      </c>
      <c r="E12" s="17">
        <f>benzene_as!E12+toluene_as!E12+'o-xylene_as'!E12+'p-xylene_as'!E12+'m-xylene_as'!E12+'b,t,x_as'!E12</f>
        <v>1317319135</v>
      </c>
      <c r="F12" s="17">
        <f>benzene_as!F12+toluene_as!F12+'o-xylene_as'!F12+'p-xylene_as'!F12+'m-xylene_as'!F12+'b,t,x_as'!F12</f>
        <v>1842493672</v>
      </c>
      <c r="G12" s="17">
        <f>benzene_as!G12+toluene_as!G12+'o-xylene_as'!G12+'p-xylene_as'!G12+'m-xylene_as'!G12+'b,t,x_as'!G12</f>
        <v>2072953657</v>
      </c>
      <c r="H12" s="17"/>
      <c r="I12" s="17">
        <f>benzene_as!I12+toluene_as!I12+'o-xylene_as'!I12+'p-xylene_as'!I12+'m-xylene_as'!I12+'b,t,x_as'!I12</f>
        <v>1997258607</v>
      </c>
      <c r="J12" s="17"/>
      <c r="K12" s="17"/>
      <c r="L12" s="17"/>
      <c r="M12" s="17"/>
      <c r="N12" s="17"/>
      <c r="O12" s="17">
        <f>benzene_as!O12+toluene_as!O12+'o-xylene_as'!O12+'p-xylene_as'!O12+'m-xylene_as'!O12+'b,t,x_as'!O12</f>
        <v>0</v>
      </c>
      <c r="P12" s="17">
        <f>benzene_as!P12+toluene_as!P12+'o-xylene_as'!P12+'p-xylene_as'!P12+'m-xylene_as'!P12+'b,t,x_as'!P12</f>
        <v>156224120</v>
      </c>
      <c r="Q12" s="17">
        <f>benzene_as!Q12+toluene_as!Q12+'o-xylene_as'!Q12+'p-xylene_as'!Q12+'m-xylene_as'!Q12+'b,t,x_as'!Q12</f>
        <v>125079945.5</v>
      </c>
      <c r="R12" s="17">
        <f>benzene_as!R12+toluene_as!R12+'o-xylene_as'!R12+'p-xylene_as'!R12+'m-xylene_as'!R12+'b,t,x_as'!R12</f>
        <v>126307477</v>
      </c>
      <c r="S12" s="17"/>
      <c r="T12" s="17"/>
      <c r="U12" s="18"/>
      <c r="V12" s="18"/>
      <c r="W12" s="18"/>
      <c r="X12" s="18"/>
      <c r="Y12" s="18"/>
      <c r="Z12" s="18"/>
      <c r="AA12" s="18"/>
      <c r="AB12" s="18"/>
      <c r="AC12" s="18"/>
      <c r="AD12" s="17">
        <f t="shared" si="0"/>
        <v>101902885.625</v>
      </c>
    </row>
    <row r="13" spans="1:30" x14ac:dyDescent="0.25">
      <c r="A13" s="7" t="s">
        <v>6</v>
      </c>
      <c r="B13" s="17">
        <f>benzene_as!B13+toluene_as!B13+'o-xylene_as'!B13+'p-xylene_as'!B13+'m-xylene_as'!B13+'b,t,x_as'!B13</f>
        <v>0</v>
      </c>
      <c r="C13" s="17">
        <f>benzene_as!C13+toluene_as!C13+'o-xylene_as'!C13+'p-xylene_as'!C13+'m-xylene_as'!C13+'b,t,x_as'!C13</f>
        <v>0</v>
      </c>
      <c r="D13" s="17">
        <f>benzene_as!D13+toluene_as!D13+'o-xylene_as'!D13+'p-xylene_as'!D13+'m-xylene_as'!D13+'b,t,x_as'!D13</f>
        <v>0</v>
      </c>
      <c r="E13" s="17">
        <f>benzene_as!E13+toluene_as!E13+'o-xylene_as'!E13+'p-xylene_as'!E13+'m-xylene_as'!E13+'b,t,x_as'!E13</f>
        <v>0</v>
      </c>
      <c r="F13" s="17">
        <f>benzene_as!F13+toluene_as!F13+'o-xylene_as'!F13+'p-xylene_as'!F13+'m-xylene_as'!F13+'b,t,x_as'!F13</f>
        <v>0</v>
      </c>
      <c r="G13" s="17">
        <f>benzene_as!G13+toluene_as!G13+'o-xylene_as'!G13+'p-xylene_as'!G13+'m-xylene_as'!G13+'b,t,x_as'!G13</f>
        <v>0</v>
      </c>
      <c r="H13" s="17">
        <f>benzene_as!H13+toluene_as!H13+'o-xylene_as'!H13+'p-xylene_as'!H13+'m-xylene_as'!H13+'b,t,x_as'!H13</f>
        <v>0</v>
      </c>
      <c r="I13" s="17">
        <f>benzene_as!I13+toluene_as!I13+'o-xylene_as'!I13+'p-xylene_as'!I13+'m-xylene_as'!I13+'b,t,x_as'!I13</f>
        <v>0</v>
      </c>
      <c r="J13" s="17"/>
      <c r="K13" s="17"/>
      <c r="L13" s="17"/>
      <c r="M13" s="17"/>
      <c r="N13" s="17"/>
      <c r="O13" s="17">
        <f>benzene_as!O13+toluene_as!O13+'o-xylene_as'!O13+'p-xylene_as'!O13+'m-xylene_as'!O13+'b,t,x_as'!O13</f>
        <v>0</v>
      </c>
      <c r="P13" s="17">
        <f>benzene_as!P13+toluene_as!P13+'o-xylene_as'!P13+'p-xylene_as'!P13+'m-xylene_as'!P13+'b,t,x_as'!P13</f>
        <v>0</v>
      </c>
      <c r="Q13" s="17">
        <f>benzene_as!Q13+toluene_as!Q13+'o-xylene_as'!Q13+'p-xylene_as'!Q13+'m-xylene_as'!Q13+'b,t,x_as'!Q13</f>
        <v>0</v>
      </c>
      <c r="R13" s="17">
        <f>benzene_as!R13+toluene_as!R13+'o-xylene_as'!R13+'p-xylene_as'!R13+'m-xylene_as'!R13+'b,t,x_as'!R13</f>
        <v>0</v>
      </c>
      <c r="S13" s="17">
        <f>benzene_as!S13+toluene_as!S13+'o-xylene_as'!S13+'p-xylene_as'!S13+'m-xylene_as'!S13+'b,t,x_as'!S13</f>
        <v>0</v>
      </c>
      <c r="T13" s="17">
        <f>benzene_as!T13+toluene_as!T13+'o-xylene_as'!T13+'p-xylene_as'!T13+'m-xylene_as'!T13+'b,t,x_as'!T13</f>
        <v>0</v>
      </c>
      <c r="U13" s="17">
        <f>benzene_as!U13+toluene_as!U13+'o-xylene_as'!U13+'p-xylene_as'!U13+'m-xylene_as'!U13+'b,t,x_as'!U13</f>
        <v>0</v>
      </c>
      <c r="V13" s="17">
        <f>benzene_as!V13+toluene_as!V13+'o-xylene_as'!V13+'p-xylene_as'!V13+'m-xylene_as'!V13+'b,t,x_as'!V13</f>
        <v>0</v>
      </c>
      <c r="W13" s="17">
        <f>benzene_as!W13+toluene_as!W13+'o-xylene_as'!W13+'p-xylene_as'!W13+'m-xylene_as'!W13+'b,t,x_as'!W13</f>
        <v>0</v>
      </c>
      <c r="X13" s="17">
        <f>benzene_as!X13+toluene_as!X13+'o-xylene_as'!X13+'p-xylene_as'!X13+'m-xylene_as'!X13+'b,t,x_as'!X13</f>
        <v>0</v>
      </c>
      <c r="Y13" s="17">
        <f>benzene_as!Y13+toluene_as!Y13+'o-xylene_as'!Y13+'p-xylene_as'!Y13+'m-xylene_as'!Y13+'b,t,x_as'!Y13</f>
        <v>0</v>
      </c>
      <c r="Z13" s="17">
        <f>benzene_as!Z13+toluene_as!Z13+'o-xylene_as'!Z13+'p-xylene_as'!Z13+'m-xylene_as'!Z13+'b,t,x_as'!Z13</f>
        <v>0</v>
      </c>
      <c r="AA13" s="17">
        <f>benzene_as!AA13+toluene_as!AA13+'o-xylene_as'!AA13+'p-xylene_as'!AA13+'m-xylene_as'!AA13+'b,t,x_as'!AA13</f>
        <v>0</v>
      </c>
      <c r="AB13" s="17">
        <f>benzene_as!AB13+toluene_as!AB13+'o-xylene_as'!AB13+'p-xylene_as'!AB13+'m-xylene_as'!AB13+'b,t,x_as'!AB13</f>
        <v>0</v>
      </c>
      <c r="AC13" s="17">
        <f>benzene_as!AC13+toluene_as!AC13+'o-xylene_as'!AC13+'p-xylene_as'!AC13+'m-xylene_as'!AC13+'b,t,x_as'!AC13</f>
        <v>0</v>
      </c>
      <c r="AD13">
        <v>0</v>
      </c>
    </row>
    <row r="14" spans="1:30" x14ac:dyDescent="0.25">
      <c r="A14" s="7" t="s">
        <v>7</v>
      </c>
      <c r="B14" s="17">
        <f>benzene_as!B14+toluene_as!B14+'o-xylene_as'!B14+'p-xylene_as'!B14+'m-xylene_as'!B14+'b,t,x_as'!B14</f>
        <v>0</v>
      </c>
      <c r="C14" s="17">
        <f>benzene_as!C14+toluene_as!C14+'o-xylene_as'!C14+'p-xylene_as'!C14+'m-xylene_as'!C14+'b,t,x_as'!C14</f>
        <v>0</v>
      </c>
      <c r="D14" s="17">
        <f>benzene_as!D14+toluene_as!D14+'o-xylene_as'!D14+'p-xylene_as'!D14+'m-xylene_as'!D14+'b,t,x_as'!D14</f>
        <v>0</v>
      </c>
      <c r="E14" s="17">
        <f>benzene_as!E14+toluene_as!E14+'o-xylene_as'!E14+'p-xylene_as'!E14+'m-xylene_as'!E14+'b,t,x_as'!E14</f>
        <v>0</v>
      </c>
      <c r="F14" s="17">
        <f>benzene_as!F14+toluene_as!F14+'o-xylene_as'!F14+'p-xylene_as'!F14+'m-xylene_as'!F14+'b,t,x_as'!F14</f>
        <v>0</v>
      </c>
      <c r="G14" s="17">
        <f>benzene_as!G14+toluene_as!G14+'o-xylene_as'!G14+'p-xylene_as'!G14+'m-xylene_as'!G14+'b,t,x_as'!G14</f>
        <v>0</v>
      </c>
      <c r="H14" s="17">
        <f>benzene_as!H14+toluene_as!H14+'o-xylene_as'!H14+'p-xylene_as'!H14+'m-xylene_as'!H14+'b,t,x_as'!H14</f>
        <v>0</v>
      </c>
      <c r="I14" s="17">
        <f>benzene_as!I14+toluene_as!I14+'o-xylene_as'!I14+'p-xylene_as'!I14+'m-xylene_as'!I14+'b,t,x_as'!I14</f>
        <v>0</v>
      </c>
      <c r="J14" s="17"/>
      <c r="K14" s="17"/>
      <c r="L14" s="17"/>
      <c r="M14" s="17"/>
      <c r="N14" s="17"/>
      <c r="O14" s="17">
        <f>benzene_as!O14+toluene_as!O14+'o-xylene_as'!O14+'p-xylene_as'!O14+'m-xylene_as'!O14+'b,t,x_as'!O14</f>
        <v>0</v>
      </c>
      <c r="P14" s="17">
        <f>benzene_as!P14+toluene_as!P14+'o-xylene_as'!P14+'p-xylene_as'!P14+'m-xylene_as'!P14+'b,t,x_as'!P14</f>
        <v>0</v>
      </c>
      <c r="Q14" s="17">
        <f>benzene_as!Q14+toluene_as!Q14+'o-xylene_as'!Q14+'p-xylene_as'!Q14+'m-xylene_as'!Q14+'b,t,x_as'!Q14</f>
        <v>0</v>
      </c>
      <c r="R14" s="17">
        <f>benzene_as!R14+toluene_as!R14+'o-xylene_as'!R14+'p-xylene_as'!R14+'m-xylene_as'!R14+'b,t,x_as'!R14</f>
        <v>0</v>
      </c>
      <c r="S14" s="17">
        <f>benzene_as!S14+toluene_as!S14+'o-xylene_as'!S14+'p-xylene_as'!S14+'m-xylene_as'!S14+'b,t,x_as'!S14</f>
        <v>0</v>
      </c>
      <c r="T14" s="17">
        <f>benzene_as!T14+toluene_as!T14+'o-xylene_as'!T14+'p-xylene_as'!T14+'m-xylene_as'!T14+'b,t,x_as'!T14</f>
        <v>0</v>
      </c>
      <c r="U14" s="17">
        <f>benzene_as!U14+toluene_as!U14+'o-xylene_as'!U14+'p-xylene_as'!U14+'m-xylene_as'!U14+'b,t,x_as'!U14</f>
        <v>1657</v>
      </c>
      <c r="V14" s="17">
        <f>benzene_as!V14+toluene_as!V14+'o-xylene_as'!V14+'p-xylene_as'!V14+'m-xylene_as'!V14+'b,t,x_as'!V14</f>
        <v>454</v>
      </c>
      <c r="W14" s="17"/>
      <c r="X14" s="17">
        <f>benzene_as!X14+toluene_as!X14+'o-xylene_as'!X14+'p-xylene_as'!X14+'m-xylene_as'!X14+'b,t,x_as'!X14</f>
        <v>24531</v>
      </c>
      <c r="Y14" s="17">
        <f>benzene_as!Y14+toluene_as!Y14+'o-xylene_as'!Y14+'p-xylene_as'!Y14+'m-xylene_as'!Y14+'b,t,x_as'!Y14</f>
        <v>24875</v>
      </c>
      <c r="Z14" s="17"/>
      <c r="AA14" s="17"/>
      <c r="AB14" s="17"/>
      <c r="AC14" s="17"/>
      <c r="AD14" s="20">
        <f>Y14</f>
        <v>24875</v>
      </c>
    </row>
    <row r="15" spans="1:30" x14ac:dyDescent="0.25">
      <c r="A15" s="7" t="s">
        <v>8</v>
      </c>
      <c r="B15" s="17">
        <f>benzene_as!B15+toluene_as!B15+'o-xylene_as'!B15+'p-xylene_as'!B15+'m-xylene_as'!B15+'b,t,x_as'!B15</f>
        <v>0</v>
      </c>
      <c r="C15" s="17">
        <f>benzene_as!C15+toluene_as!C15+'o-xylene_as'!C15+'p-xylene_as'!C15+'m-xylene_as'!C15+'b,t,x_as'!C15</f>
        <v>0</v>
      </c>
      <c r="D15" s="17">
        <f>benzene_as!D15+toluene_as!D15+'o-xylene_as'!D15+'p-xylene_as'!D15+'m-xylene_as'!D15+'b,t,x_as'!D15</f>
        <v>0</v>
      </c>
      <c r="E15" s="17">
        <f>benzene_as!E15+toluene_as!E15+'o-xylene_as'!E15+'p-xylene_as'!E15+'m-xylene_as'!E15+'b,t,x_as'!E15</f>
        <v>0</v>
      </c>
      <c r="F15" s="17">
        <f>benzene_as!F15+toluene_as!F15+'o-xylene_as'!F15+'p-xylene_as'!F15+'m-xylene_as'!F15+'b,t,x_as'!F15</f>
        <v>0</v>
      </c>
      <c r="G15" s="17">
        <f>benzene_as!G15+toluene_as!G15+'o-xylene_as'!G15+'p-xylene_as'!G15+'m-xylene_as'!G15+'b,t,x_as'!G15</f>
        <v>0</v>
      </c>
      <c r="H15" s="17">
        <f>benzene_as!H15+toluene_as!H15+'o-xylene_as'!H15+'p-xylene_as'!H15+'m-xylene_as'!H15+'b,t,x_as'!H15</f>
        <v>0</v>
      </c>
      <c r="I15" s="17">
        <f>benzene_as!I15+toluene_as!I15+'o-xylene_as'!I15+'p-xylene_as'!I15+'m-xylene_as'!I15+'b,t,x_as'!I15</f>
        <v>0</v>
      </c>
      <c r="J15" s="17"/>
      <c r="K15" s="17"/>
      <c r="L15" s="17"/>
      <c r="M15" s="17"/>
      <c r="N15" s="17"/>
      <c r="O15" s="17">
        <f>benzene_as!O15+toluene_as!O15+'o-xylene_as'!O15+'p-xylene_as'!O15+'m-xylene_as'!O15+'b,t,x_as'!O15</f>
        <v>0</v>
      </c>
      <c r="P15" s="17">
        <f>benzene_as!P15+toluene_as!P15+'o-xylene_as'!P15+'p-xylene_as'!P15+'m-xylene_as'!P15+'b,t,x_as'!P15</f>
        <v>0</v>
      </c>
      <c r="Q15" s="17">
        <f>benzene_as!Q15+toluene_as!Q15+'o-xylene_as'!Q15+'p-xylene_as'!Q15+'m-xylene_as'!Q15+'b,t,x_as'!Q15</f>
        <v>0</v>
      </c>
      <c r="R15" s="17">
        <f>benzene_as!R15+toluene_as!R15+'o-xylene_as'!R15+'p-xylene_as'!R15+'m-xylene_as'!R15+'b,t,x_as'!R15</f>
        <v>0</v>
      </c>
      <c r="S15" s="17">
        <f>benzene_as!S15+toluene_as!S15+'o-xylene_as'!S15+'p-xylene_as'!S15+'m-xylene_as'!S15+'b,t,x_as'!S15</f>
        <v>0</v>
      </c>
      <c r="T15" s="17">
        <f>benzene_as!T15+toluene_as!T15+'o-xylene_as'!T15+'p-xylene_as'!T15+'m-xylene_as'!T15+'b,t,x_as'!T15</f>
        <v>0</v>
      </c>
      <c r="U15" s="17">
        <f>benzene_as!U15+toluene_as!U15+'o-xylene_as'!U15+'p-xylene_as'!U15+'m-xylene_as'!U15+'b,t,x_as'!U15</f>
        <v>0</v>
      </c>
      <c r="V15" s="17">
        <f>benzene_as!V15+toluene_as!V15+'o-xylene_as'!V15+'p-xylene_as'!V15+'m-xylene_as'!V15+'b,t,x_as'!V15</f>
        <v>0</v>
      </c>
      <c r="W15" s="17">
        <f>benzene_as!W15+toluene_as!W15+'o-xylene_as'!W15+'p-xylene_as'!W15+'m-xylene_as'!W15+'b,t,x_as'!W15</f>
        <v>0</v>
      </c>
      <c r="X15" s="17">
        <f>benzene_as!X15+toluene_as!X15+'o-xylene_as'!X15+'p-xylene_as'!X15+'m-xylene_as'!X15+'b,t,x_as'!X15</f>
        <v>0</v>
      </c>
      <c r="Y15" s="17">
        <f>benzene_as!Y15+toluene_as!Y15+'o-xylene_as'!Y15+'p-xylene_as'!Y15+'m-xylene_as'!Y15+'b,t,x_as'!Y15</f>
        <v>0</v>
      </c>
      <c r="Z15" s="17">
        <f>benzene_as!Z15+toluene_as!Z15+'o-xylene_as'!Z15+'p-xylene_as'!Z15+'m-xylene_as'!Z15+'b,t,x_as'!Z15</f>
        <v>0</v>
      </c>
      <c r="AA15" s="17">
        <f>benzene_as!AA15+toluene_as!AA15+'o-xylene_as'!AA15+'p-xylene_as'!AA15+'m-xylene_as'!AA15+'b,t,x_as'!AA15</f>
        <v>0</v>
      </c>
      <c r="AB15" s="17">
        <f>benzene_as!AB15+toluene_as!AB15+'o-xylene_as'!AB15+'p-xylene_as'!AB15+'m-xylene_as'!AB15+'b,t,x_as'!AB15</f>
        <v>0</v>
      </c>
      <c r="AC15" s="17">
        <f>benzene_as!AC15+toluene_as!AC15+'o-xylene_as'!AC15+'p-xylene_as'!AC15+'m-xylene_as'!AC15+'b,t,x_as'!AC15</f>
        <v>0</v>
      </c>
      <c r="AD15">
        <v>0</v>
      </c>
    </row>
    <row r="16" spans="1:30" x14ac:dyDescent="0.25">
      <c r="A16" s="7" t="s">
        <v>9</v>
      </c>
      <c r="B16" s="17"/>
      <c r="C16" s="17"/>
      <c r="D16" s="17"/>
      <c r="E16" s="17"/>
      <c r="F16" s="17"/>
      <c r="G16" s="17">
        <f>benzene_as!G16+toluene_as!G16+'o-xylene_as'!G16+'p-xylene_as'!G16+'m-xylene_as'!G16+'b,t,x_as'!G16</f>
        <v>337174375</v>
      </c>
      <c r="H16" s="17">
        <f>benzene_as!H16+toluene_as!H16+'o-xylene_as'!H16+'p-xylene_as'!H16+'m-xylene_as'!H16+'b,t,x_as'!H16</f>
        <v>256276157</v>
      </c>
      <c r="I16" s="17">
        <f>benzene_as!I16+toluene_as!I16+'o-xylene_as'!I16+'p-xylene_as'!I16+'m-xylene_as'!I16+'b,t,x_as'!I16</f>
        <v>347310329</v>
      </c>
      <c r="J16" s="17"/>
      <c r="K16" s="17"/>
      <c r="L16" s="17"/>
      <c r="M16" s="17"/>
      <c r="N16" s="17"/>
      <c r="O16" s="17">
        <f>benzene_as!O16+toluene_as!O16+'o-xylene_as'!O16+'p-xylene_as'!O16+'m-xylene_as'!O16+'b,t,x_as'!O16</f>
        <v>357256789</v>
      </c>
      <c r="P16" s="17">
        <f>benzene_as!P16+toluene_as!P16+'o-xylene_as'!P16+'p-xylene_as'!P16+'m-xylene_as'!P16+'b,t,x_as'!P16</f>
        <v>287167765</v>
      </c>
      <c r="Q16" s="17">
        <f>benzene_as!Q16+toluene_as!Q16+'o-xylene_as'!Q16+'p-xylene_as'!Q16+'m-xylene_as'!Q16+'b,t,x_as'!Q16</f>
        <v>239257758</v>
      </c>
      <c r="R16" s="17">
        <f>benzene_as!R16+toluene_as!R16+'o-xylene_as'!R16+'p-xylene_as'!R16+'m-xylene_as'!R16+'b,t,x_as'!R16</f>
        <v>292203656</v>
      </c>
      <c r="S16" s="17">
        <f>benzene_as!S16+toluene_as!S16+'o-xylene_as'!S16+'p-xylene_as'!S16+'m-xylene_as'!S16+'b,t,x_as'!S16</f>
        <v>275218414</v>
      </c>
      <c r="T16" s="17">
        <f>benzene_as!T16+toluene_as!T16+'o-xylene_as'!T16+'p-xylene_as'!T16+'m-xylene_as'!T16+'b,t,x_as'!T16</f>
        <v>364874693</v>
      </c>
      <c r="U16" s="17">
        <f>benzene_as!U16+toluene_as!U16+'o-xylene_as'!U16+'p-xylene_as'!U16+'m-xylene_as'!U16+'b,t,x_as'!U16</f>
        <v>295035224</v>
      </c>
      <c r="V16" s="17">
        <f>benzene_as!V16+toluene_as!V16+'o-xylene_as'!V16+'p-xylene_as'!V16+'m-xylene_as'!V16+'b,t,x_as'!V16</f>
        <v>305674000</v>
      </c>
      <c r="W16" s="17">
        <f>benzene_as!W16+toluene_as!W16+'o-xylene_as'!W16+'p-xylene_as'!W16+'m-xylene_as'!W16+'b,t,x_as'!W16</f>
        <v>254195474</v>
      </c>
      <c r="X16" s="17"/>
      <c r="Y16" s="17"/>
      <c r="Z16" s="17"/>
      <c r="AA16" s="17">
        <f>benzene_as!AA16+toluene_as!AA16+'o-xylene_as'!AA16+'p-xylene_as'!AA16+'m-xylene_as'!AA16+'b,t,x_as'!AA16</f>
        <v>299702819</v>
      </c>
      <c r="AB16" s="17"/>
      <c r="AC16" s="17"/>
      <c r="AD16" s="17">
        <f t="shared" ref="AD16:AD18" si="1">AVERAGE(O16:AC16)</f>
        <v>297058659.19999999</v>
      </c>
    </row>
    <row r="17" spans="1:30" x14ac:dyDescent="0.25">
      <c r="A17" s="7" t="s">
        <v>10</v>
      </c>
      <c r="B17" s="17"/>
      <c r="C17" s="17">
        <f>benzene_as!C17+toluene_as!C17+'o-xylene_as'!C17+'p-xylene_as'!C17+'m-xylene_as'!C17+'b,t,x_as'!C17</f>
        <v>214659000</v>
      </c>
      <c r="D17" s="17">
        <f>benzene_as!D17+toluene_as!D17+'o-xylene_as'!D17+'p-xylene_as'!D17+'m-xylene_as'!D17+'b,t,x_as'!D17</f>
        <v>221578000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>
        <f>benzene_as!T17+toluene_as!T17+'o-xylene_as'!T17+'p-xylene_as'!T17+'m-xylene_as'!T17+'b,t,x_as'!T17</f>
        <v>777050000</v>
      </c>
      <c r="U17" s="17">
        <f>benzene_as!U17+toluene_as!U17+'o-xylene_as'!U17+'p-xylene_as'!U17+'m-xylene_as'!U17+'b,t,x_as'!U17</f>
        <v>747180000</v>
      </c>
      <c r="V17" s="17">
        <f>benzene_as!V17+toluene_as!V17+'o-xylene_as'!V17+'p-xylene_as'!V17+'m-xylene_as'!V17+'b,t,x_as'!V17</f>
        <v>777527000</v>
      </c>
      <c r="W17" s="17">
        <f>benzene_as!W17+toluene_as!W17+'o-xylene_as'!W17+'p-xylene_as'!W17+'m-xylene_as'!W17+'b,t,x_as'!W17</f>
        <v>639916000</v>
      </c>
      <c r="X17" s="17"/>
      <c r="Y17" s="17"/>
      <c r="Z17" s="17"/>
      <c r="AA17" s="17"/>
      <c r="AB17" s="17">
        <f>benzene_as!AB17+toluene_as!AB17+'o-xylene_as'!AB17+'p-xylene_as'!AB17+'m-xylene_as'!AB17+'b,t,x_as'!AB17</f>
        <v>647277000</v>
      </c>
      <c r="AC17" s="17"/>
      <c r="AD17" s="17">
        <f t="shared" si="1"/>
        <v>717790000</v>
      </c>
    </row>
    <row r="18" spans="1:30" x14ac:dyDescent="0.25">
      <c r="A18" s="7" t="s">
        <v>11</v>
      </c>
      <c r="B18" s="17"/>
      <c r="C18" s="17"/>
      <c r="D18" s="17"/>
      <c r="E18" s="17"/>
      <c r="F18" s="17"/>
      <c r="G18" s="17">
        <f>benzene_as!G18+toluene_as!G18+'o-xylene_as'!G18+'p-xylene_as'!G18+'m-xylene_as'!G18+'b,t,x_as'!G18</f>
        <v>817291289</v>
      </c>
      <c r="H18" s="17">
        <f>benzene_as!H18+toluene_as!H18+'o-xylene_as'!H18+'p-xylene_as'!H18+'m-xylene_as'!H18+'b,t,x_as'!H18</f>
        <v>809407070</v>
      </c>
      <c r="I18" s="17">
        <f>benzene_as!I18+toluene_as!I18+'o-xylene_as'!I18+'p-xylene_as'!I18+'m-xylene_as'!I18+'b,t,x_as'!I18</f>
        <v>656100914</v>
      </c>
      <c r="J18" s="17"/>
      <c r="K18" s="17"/>
      <c r="L18" s="17"/>
      <c r="M18" s="17"/>
      <c r="N18" s="17"/>
      <c r="O18" s="17"/>
      <c r="P18" s="17">
        <f>benzene_as!P18+toluene_as!P18+'o-xylene_as'!P18+'p-xylene_as'!P18+'m-xylene_as'!P18+'b,t,x_as'!P18</f>
        <v>851216771</v>
      </c>
      <c r="Q18" s="17">
        <f>benzene_as!Q18+toluene_as!Q18+'o-xylene_as'!Q18+'p-xylene_as'!Q18+'m-xylene_as'!Q18+'b,t,x_as'!Q18</f>
        <v>936628003</v>
      </c>
      <c r="R18" s="17">
        <f>benzene_as!R18+toluene_as!R18+'o-xylene_as'!R18+'p-xylene_as'!R18+'m-xylene_as'!R18+'b,t,x_as'!R18</f>
        <v>925680717</v>
      </c>
      <c r="S18" s="17">
        <f>benzene_as!S18+toluene_as!S18+'o-xylene_as'!S18+'p-xylene_as'!S18+'m-xylene_as'!S18+'b,t,x_as'!S18</f>
        <v>901204055</v>
      </c>
      <c r="T18" s="17">
        <f>benzene_as!T18+toluene_as!T18+'o-xylene_as'!T18+'p-xylene_as'!T18+'m-xylene_as'!T18+'b,t,x_as'!T18</f>
        <v>850112600</v>
      </c>
      <c r="U18" s="17">
        <f>benzene_as!U18+toluene_as!U18+'o-xylene_as'!U18+'p-xylene_as'!U18+'m-xylene_as'!U18+'b,t,x_as'!U18</f>
        <v>871135437</v>
      </c>
      <c r="V18" s="17">
        <f>benzene_as!V18+toluene_as!V18+'o-xylene_as'!V18+'p-xylene_as'!V18+'m-xylene_as'!V18+'b,t,x_as'!V18</f>
        <v>751498019</v>
      </c>
      <c r="W18" s="17">
        <f>benzene_as!W18+toluene_as!W18+'o-xylene_as'!W18+'p-xylene_as'!W18+'m-xylene_as'!W18+'b,t,x_as'!W18</f>
        <v>815537114</v>
      </c>
      <c r="X18" s="17"/>
      <c r="Y18" s="17"/>
      <c r="Z18" s="17"/>
      <c r="AA18" s="17"/>
      <c r="AB18" s="17"/>
      <c r="AC18" s="17">
        <f>benzene_as!AC18+toluene_as!AC18+'o-xylene_as'!AC18+'p-xylene_as'!AC18+'m-xylene_as'!AC18+'b,t,x_as'!AC18</f>
        <v>966448749</v>
      </c>
      <c r="AD18" s="17">
        <f t="shared" si="1"/>
        <v>874384607.22222221</v>
      </c>
    </row>
    <row r="19" spans="1:30" x14ac:dyDescent="0.25">
      <c r="A19" s="7" t="s">
        <v>12</v>
      </c>
      <c r="B19" s="17">
        <f>benzene_as!B19+toluene_as!B19+'o-xylene_as'!B19+'p-xylene_as'!B19+'m-xylene_as'!B19+'b,t,x_as'!B19</f>
        <v>0</v>
      </c>
      <c r="C19" s="17">
        <f>benzene_as!C19+toluene_as!C19+'o-xylene_as'!C19+'p-xylene_as'!C19+'m-xylene_as'!C19+'b,t,x_as'!C19</f>
        <v>0</v>
      </c>
      <c r="D19" s="17">
        <f>benzene_as!D19+toluene_as!D19+'o-xylene_as'!D19+'p-xylene_as'!D19+'m-xylene_as'!D19+'b,t,x_as'!D19</f>
        <v>0</v>
      </c>
      <c r="E19" s="17">
        <f>benzene_as!E19+toluene_as!E19+'o-xylene_as'!E19+'p-xylene_as'!E19+'m-xylene_as'!E19+'b,t,x_as'!E19</f>
        <v>0</v>
      </c>
      <c r="F19" s="17">
        <f>benzene_as!F19+toluene_as!F19+'o-xylene_as'!F19+'p-xylene_as'!F19+'m-xylene_as'!F19+'b,t,x_as'!F19</f>
        <v>0</v>
      </c>
      <c r="G19" s="17">
        <f>benzene_as!G19+toluene_as!G19+'o-xylene_as'!G19+'p-xylene_as'!G19+'m-xylene_as'!G19+'b,t,x_as'!G19</f>
        <v>0</v>
      </c>
      <c r="H19" s="17">
        <f>benzene_as!H19+toluene_as!H19+'o-xylene_as'!H19+'p-xylene_as'!H19+'m-xylene_as'!H19+'b,t,x_as'!H19</f>
        <v>0</v>
      </c>
      <c r="I19" s="17">
        <f>benzene_as!I19+toluene_as!I19+'o-xylene_as'!I19+'p-xylene_as'!I19+'m-xylene_as'!I19+'b,t,x_as'!I19</f>
        <v>0</v>
      </c>
      <c r="J19" s="17"/>
      <c r="K19" s="17"/>
      <c r="L19" s="17"/>
      <c r="M19" s="17"/>
      <c r="N19" s="17"/>
      <c r="O19" s="17">
        <f>benzene_as!O19+toluene_as!O19+'o-xylene_as'!O19+'p-xylene_as'!O19+'m-xylene_as'!O19+'b,t,x_as'!O19</f>
        <v>0</v>
      </c>
      <c r="P19" s="17">
        <f>benzene_as!P19+toluene_as!P19+'o-xylene_as'!P19+'p-xylene_as'!P19+'m-xylene_as'!P19+'b,t,x_as'!P19</f>
        <v>0</v>
      </c>
      <c r="Q19" s="17">
        <f>benzene_as!Q19+toluene_as!Q19+'o-xylene_as'!Q19+'p-xylene_as'!Q19+'m-xylene_as'!Q19+'b,t,x_as'!Q19</f>
        <v>0</v>
      </c>
      <c r="R19" s="17">
        <f>benzene_as!R19+toluene_as!R19+'o-xylene_as'!R19+'p-xylene_as'!R19+'m-xylene_as'!R19+'b,t,x_as'!R19</f>
        <v>0</v>
      </c>
      <c r="S19" s="17">
        <f>benzene_as!S19+toluene_as!S19+'o-xylene_as'!S19+'p-xylene_as'!S19+'m-xylene_as'!S19+'b,t,x_as'!S19</f>
        <v>0</v>
      </c>
      <c r="T19" s="17">
        <f>benzene_as!T19+toluene_as!T19+'o-xylene_as'!T19+'p-xylene_as'!T19+'m-xylene_as'!T19+'b,t,x_as'!T19</f>
        <v>0</v>
      </c>
      <c r="U19" s="17">
        <f>benzene_as!U19+toluene_as!U19+'o-xylene_as'!U19+'p-xylene_as'!U19+'m-xylene_as'!U19+'b,t,x_as'!U19</f>
        <v>0</v>
      </c>
      <c r="V19" s="17">
        <f>benzene_as!V19+toluene_as!V19+'o-xylene_as'!V19+'p-xylene_as'!V19+'m-xylene_as'!V19+'b,t,x_as'!V19</f>
        <v>0</v>
      </c>
      <c r="W19" s="17">
        <f>benzene_as!W19+toluene_as!W19+'o-xylene_as'!W19+'p-xylene_as'!W19+'m-xylene_as'!W19+'b,t,x_as'!W19</f>
        <v>0</v>
      </c>
      <c r="X19" s="17">
        <f>benzene_as!X19+toluene_as!X19+'o-xylene_as'!X19+'p-xylene_as'!X19+'m-xylene_as'!X19+'b,t,x_as'!X19</f>
        <v>0</v>
      </c>
      <c r="Y19" s="17">
        <f>benzene_as!Y19+toluene_as!Y19+'o-xylene_as'!Y19+'p-xylene_as'!Y19+'m-xylene_as'!Y19+'b,t,x_as'!Y19</f>
        <v>0</v>
      </c>
      <c r="Z19" s="17">
        <f>benzene_as!Z19+toluene_as!Z19+'o-xylene_as'!Z19+'p-xylene_as'!Z19+'m-xylene_as'!Z19+'b,t,x_as'!Z19</f>
        <v>0</v>
      </c>
      <c r="AA19" s="17">
        <f>benzene_as!AA19+toluene_as!AA19+'o-xylene_as'!AA19+'p-xylene_as'!AA19+'m-xylene_as'!AA19+'b,t,x_as'!AA19</f>
        <v>0</v>
      </c>
      <c r="AB19" s="17">
        <f>benzene_as!AB19+toluene_as!AB19+'o-xylene_as'!AB19+'p-xylene_as'!AB19+'m-xylene_as'!AB19+'b,t,x_as'!AB19</f>
        <v>0</v>
      </c>
      <c r="AC19" s="17">
        <f>benzene_as!AC19+toluene_as!AC19+'o-xylene_as'!AC19+'p-xylene_as'!AC19+'m-xylene_as'!AC19+'b,t,x_as'!AC19</f>
        <v>0</v>
      </c>
      <c r="AD19">
        <v>0</v>
      </c>
    </row>
    <row r="20" spans="1:30" x14ac:dyDescent="0.25">
      <c r="A20" s="7" t="s">
        <v>13</v>
      </c>
      <c r="B20" s="17">
        <f>benzene_as!B20+toluene_as!B20+'o-xylene_as'!B20+'p-xylene_as'!B20+'m-xylene_as'!B20+'b,t,x_as'!B20</f>
        <v>0</v>
      </c>
      <c r="C20" s="17">
        <f>benzene_as!C20+toluene_as!C20+'o-xylene_as'!C20+'p-xylene_as'!C20+'m-xylene_as'!C20+'b,t,x_as'!C20</f>
        <v>0</v>
      </c>
      <c r="D20" s="17">
        <f>benzene_as!D20+toluene_as!D20+'o-xylene_as'!D20+'p-xylene_as'!D20+'m-xylene_as'!D20+'b,t,x_as'!D20</f>
        <v>0</v>
      </c>
      <c r="E20" s="17">
        <f>benzene_as!E20+toluene_as!E20+'o-xylene_as'!E20+'p-xylene_as'!E20+'m-xylene_as'!E20+'b,t,x_as'!E20</f>
        <v>0</v>
      </c>
      <c r="F20" s="17">
        <f>benzene_as!F20+toluene_as!F20+'o-xylene_as'!F20+'p-xylene_as'!F20+'m-xylene_as'!F20+'b,t,x_as'!F20</f>
        <v>0</v>
      </c>
      <c r="G20" s="17">
        <f>benzene_as!G20+toluene_as!G20+'o-xylene_as'!G20+'p-xylene_as'!G20+'m-xylene_as'!G20+'b,t,x_as'!G20</f>
        <v>0</v>
      </c>
      <c r="H20" s="17">
        <f>benzene_as!H20+toluene_as!H20+'o-xylene_as'!H20+'p-xylene_as'!H20+'m-xylene_as'!H20+'b,t,x_as'!H20</f>
        <v>0</v>
      </c>
      <c r="I20" s="17">
        <f>benzene_as!I20+toluene_as!I20+'o-xylene_as'!I20+'p-xylene_as'!I20+'m-xylene_as'!I20+'b,t,x_as'!I20</f>
        <v>0</v>
      </c>
      <c r="J20" s="17"/>
      <c r="K20" s="17"/>
      <c r="L20" s="17"/>
      <c r="M20" s="17"/>
      <c r="N20" s="17"/>
      <c r="O20" s="17">
        <f>benzene_as!O20+toluene_as!O20+'o-xylene_as'!O20+'p-xylene_as'!O20+'m-xylene_as'!O20+'b,t,x_as'!O20</f>
        <v>0</v>
      </c>
      <c r="P20" s="17">
        <f>benzene_as!P20+toluene_as!P20+'o-xylene_as'!P20+'p-xylene_as'!P20+'m-xylene_as'!P20+'b,t,x_as'!P20</f>
        <v>0</v>
      </c>
      <c r="Q20" s="17">
        <f>benzene_as!Q20+toluene_as!Q20+'o-xylene_as'!Q20+'p-xylene_as'!Q20+'m-xylene_as'!Q20+'b,t,x_as'!Q20</f>
        <v>0</v>
      </c>
      <c r="R20" s="17">
        <f>benzene_as!R20+toluene_as!R20+'o-xylene_as'!R20+'p-xylene_as'!R20+'m-xylene_as'!R20+'b,t,x_as'!R20</f>
        <v>0</v>
      </c>
      <c r="S20" s="17">
        <f>benzene_as!S20+toluene_as!S20+'o-xylene_as'!S20+'p-xylene_as'!S20+'m-xylene_as'!S20+'b,t,x_as'!S20</f>
        <v>0</v>
      </c>
      <c r="T20" s="17">
        <f>benzene_as!T20+toluene_as!T20+'o-xylene_as'!T20+'p-xylene_as'!T20+'m-xylene_as'!T20+'b,t,x_as'!T20</f>
        <v>0</v>
      </c>
      <c r="U20" s="17">
        <f>benzene_as!U20+toluene_as!U20+'o-xylene_as'!U20+'p-xylene_as'!U20+'m-xylene_as'!U20+'b,t,x_as'!U20</f>
        <v>0</v>
      </c>
      <c r="V20" s="17">
        <f>benzene_as!V20+toluene_as!V20+'o-xylene_as'!V20+'p-xylene_as'!V20+'m-xylene_as'!V20+'b,t,x_as'!V20</f>
        <v>0</v>
      </c>
      <c r="W20" s="17">
        <f>benzene_as!W20+toluene_as!W20+'o-xylene_as'!W20+'p-xylene_as'!W20+'m-xylene_as'!W20+'b,t,x_as'!W20</f>
        <v>0</v>
      </c>
      <c r="X20" s="17">
        <f>benzene_as!X20+toluene_as!X20+'o-xylene_as'!X20+'p-xylene_as'!X20+'m-xylene_as'!X20+'b,t,x_as'!X20</f>
        <v>0</v>
      </c>
      <c r="Y20" s="17">
        <f>benzene_as!Y20+toluene_as!Y20+'o-xylene_as'!Y20+'p-xylene_as'!Y20+'m-xylene_as'!Y20+'b,t,x_as'!Y20</f>
        <v>0</v>
      </c>
      <c r="Z20" s="17">
        <f>benzene_as!Z20+toluene_as!Z20+'o-xylene_as'!Z20+'p-xylene_as'!Z20+'m-xylene_as'!Z20+'b,t,x_as'!Z20</f>
        <v>0</v>
      </c>
      <c r="AA20" s="17">
        <f>benzene_as!AA20+toluene_as!AA20+'o-xylene_as'!AA20+'p-xylene_as'!AA20+'m-xylene_as'!AA20+'b,t,x_as'!AA20</f>
        <v>0</v>
      </c>
      <c r="AB20" s="17">
        <f>benzene_as!AB20+toluene_as!AB20+'o-xylene_as'!AB20+'p-xylene_as'!AB20+'m-xylene_as'!AB20+'b,t,x_as'!AB20</f>
        <v>0</v>
      </c>
      <c r="AC20" s="17">
        <f>benzene_as!AC20+toluene_as!AC20+'o-xylene_as'!AC20+'p-xylene_as'!AC20+'m-xylene_as'!AC20+'b,t,x_as'!AC20</f>
        <v>0</v>
      </c>
      <c r="AD20">
        <v>0</v>
      </c>
    </row>
    <row r="21" spans="1:30" x14ac:dyDescent="0.25">
      <c r="A21" s="7" t="s">
        <v>14</v>
      </c>
      <c r="B21" s="17">
        <f>benzene_as!B21+toluene_as!B21+'o-xylene_as'!B21+'p-xylene_as'!B21+'m-xylene_as'!B21+'b,t,x_as'!B21</f>
        <v>0</v>
      </c>
      <c r="C21" s="17">
        <f>benzene_as!C21+toluene_as!C21+'o-xylene_as'!C21+'p-xylene_as'!C21+'m-xylene_as'!C21+'b,t,x_as'!C21</f>
        <v>0</v>
      </c>
      <c r="D21" s="17">
        <f>benzene_as!D21+toluene_as!D21+'o-xylene_as'!D21+'p-xylene_as'!D21+'m-xylene_as'!D21+'b,t,x_as'!D21</f>
        <v>0</v>
      </c>
      <c r="E21" s="17">
        <f>benzene_as!E21+toluene_as!E21+'o-xylene_as'!E21+'p-xylene_as'!E21+'m-xylene_as'!E21+'b,t,x_as'!E21</f>
        <v>0</v>
      </c>
      <c r="F21" s="17">
        <f>benzene_as!F21+toluene_as!F21+'o-xylene_as'!F21+'p-xylene_as'!F21+'m-xylene_as'!F21+'b,t,x_as'!F21</f>
        <v>0</v>
      </c>
      <c r="G21" s="17">
        <f>benzene_as!G21+toluene_as!G21+'o-xylene_as'!G21+'p-xylene_as'!G21+'m-xylene_as'!G21+'b,t,x_as'!G21</f>
        <v>0</v>
      </c>
      <c r="H21" s="17">
        <f>benzene_as!H21+toluene_as!H21+'o-xylene_as'!H21+'p-xylene_as'!H21+'m-xylene_as'!H21+'b,t,x_as'!H21</f>
        <v>0</v>
      </c>
      <c r="I21" s="17">
        <f>benzene_as!I21+toluene_as!I21+'o-xylene_as'!I21+'p-xylene_as'!I21+'m-xylene_as'!I21+'b,t,x_as'!I21</f>
        <v>0</v>
      </c>
      <c r="J21" s="17"/>
      <c r="K21" s="17"/>
      <c r="L21" s="17"/>
      <c r="M21" s="17"/>
      <c r="N21" s="17"/>
      <c r="O21" s="17">
        <f>benzene_as!O21+toluene_as!O21+'o-xylene_as'!O21+'p-xylene_as'!O21+'m-xylene_as'!O21+'b,t,x_as'!O21</f>
        <v>0</v>
      </c>
      <c r="P21" s="17">
        <f>benzene_as!P21+toluene_as!P21+'o-xylene_as'!P21+'p-xylene_as'!P21+'m-xylene_as'!P21+'b,t,x_as'!P21</f>
        <v>0</v>
      </c>
      <c r="Q21" s="17">
        <f>benzene_as!Q21+toluene_as!Q21+'o-xylene_as'!Q21+'p-xylene_as'!Q21+'m-xylene_as'!Q21+'b,t,x_as'!Q21</f>
        <v>0</v>
      </c>
      <c r="R21" s="17">
        <f>benzene_as!R21+toluene_as!R21+'o-xylene_as'!R21+'p-xylene_as'!R21+'m-xylene_as'!R21+'b,t,x_as'!R21</f>
        <v>0</v>
      </c>
      <c r="S21" s="17">
        <f>benzene_as!S21+toluene_as!S21+'o-xylene_as'!S21+'p-xylene_as'!S21+'m-xylene_as'!S21+'b,t,x_as'!S21</f>
        <v>0</v>
      </c>
      <c r="T21" s="17">
        <f>benzene_as!T21+toluene_as!T21+'o-xylene_as'!T21+'p-xylene_as'!T21+'m-xylene_as'!T21+'b,t,x_as'!T21</f>
        <v>0</v>
      </c>
      <c r="U21" s="17">
        <f>benzene_as!U21+toluene_as!U21+'o-xylene_as'!U21+'p-xylene_as'!U21+'m-xylene_as'!U21+'b,t,x_as'!U21</f>
        <v>0</v>
      </c>
      <c r="V21" s="17">
        <f>benzene_as!V21+toluene_as!V21+'o-xylene_as'!V21+'p-xylene_as'!V21+'m-xylene_as'!V21+'b,t,x_as'!V21</f>
        <v>0</v>
      </c>
      <c r="W21" s="17">
        <f>benzene_as!W21+toluene_as!W21+'o-xylene_as'!W21+'p-xylene_as'!W21+'m-xylene_as'!W21+'b,t,x_as'!W21</f>
        <v>0</v>
      </c>
      <c r="X21" s="17">
        <f>benzene_as!X21+toluene_as!X21+'o-xylene_as'!X21+'p-xylene_as'!X21+'m-xylene_as'!X21+'b,t,x_as'!X21</f>
        <v>0</v>
      </c>
      <c r="Y21" s="17">
        <f>benzene_as!Y21+toluene_as!Y21+'o-xylene_as'!Y21+'p-xylene_as'!Y21+'m-xylene_as'!Y21+'b,t,x_as'!Y21</f>
        <v>0</v>
      </c>
      <c r="Z21" s="17">
        <f>benzene_as!Z21+toluene_as!Z21+'o-xylene_as'!Z21+'p-xylene_as'!Z21+'m-xylene_as'!Z21+'b,t,x_as'!Z21</f>
        <v>0</v>
      </c>
      <c r="AA21" s="17">
        <f>benzene_as!AA21+toluene_as!AA21+'o-xylene_as'!AA21+'p-xylene_as'!AA21+'m-xylene_as'!AA21+'b,t,x_as'!AA21</f>
        <v>0</v>
      </c>
      <c r="AB21" s="17">
        <f>benzene_as!AB21+toluene_as!AB21+'o-xylene_as'!AB21+'p-xylene_as'!AB21+'m-xylene_as'!AB21+'b,t,x_as'!AB21</f>
        <v>0</v>
      </c>
      <c r="AC21" s="17">
        <f>benzene_as!AC21+toluene_as!AC21+'o-xylene_as'!AC21+'p-xylene_as'!AC21+'m-xylene_as'!AC21+'b,t,x_as'!AC21</f>
        <v>0</v>
      </c>
      <c r="AD21">
        <v>0</v>
      </c>
    </row>
    <row r="22" spans="1:30" x14ac:dyDescent="0.25">
      <c r="A22" s="7" t="s">
        <v>15</v>
      </c>
      <c r="B22" s="17">
        <f>benzene_as!B22+toluene_as!B22+'o-xylene_as'!B22+'p-xylene_as'!B22+'m-xylene_as'!B22+'b,t,x_as'!B22</f>
        <v>0</v>
      </c>
      <c r="C22" s="17">
        <f>benzene_as!C22+toluene_as!C22+'o-xylene_as'!C22+'p-xylene_as'!C22+'m-xylene_as'!C22+'b,t,x_as'!C22</f>
        <v>7578000</v>
      </c>
      <c r="D22" s="17">
        <f>benzene_as!D22+toluene_as!D22+'o-xylene_as'!D22+'p-xylene_as'!D22+'m-xylene_as'!D22+'b,t,x_as'!D22</f>
        <v>11717000</v>
      </c>
      <c r="E22" s="17">
        <f>benzene_as!E22+toluene_as!E22+'o-xylene_as'!E22+'p-xylene_as'!E22+'m-xylene_as'!E22+'b,t,x_as'!E22</f>
        <v>12287000</v>
      </c>
      <c r="F22" s="17">
        <f>benzene_as!F22+toluene_as!F22+'o-xylene_as'!F22+'p-xylene_as'!F22+'m-xylene_as'!F22+'b,t,x_as'!F22</f>
        <v>12194000</v>
      </c>
      <c r="G22" s="17">
        <f>benzene_as!G22+toluene_as!G22+'o-xylene_as'!G22+'p-xylene_as'!G22+'m-xylene_as'!G22+'b,t,x_as'!G22</f>
        <v>10913000</v>
      </c>
      <c r="H22" s="17">
        <f>benzene_as!H22+toluene_as!H22+'o-xylene_as'!H22+'p-xylene_as'!H22+'m-xylene_as'!H22+'b,t,x_as'!H22</f>
        <v>8966600</v>
      </c>
      <c r="I22" s="17">
        <f>benzene_as!I22+toluene_as!I22+'o-xylene_as'!I22+'p-xylene_as'!I22+'m-xylene_as'!I22+'b,t,x_as'!I22</f>
        <v>10114700</v>
      </c>
      <c r="J22" s="17"/>
      <c r="K22" s="17"/>
      <c r="L22" s="17"/>
      <c r="M22" s="17"/>
      <c r="N22" s="17"/>
      <c r="O22" s="17"/>
      <c r="P22" s="17">
        <f>benzene_as!P22+toluene_as!P22+'o-xylene_as'!P22+'p-xylene_as'!P22+'m-xylene_as'!P22+'b,t,x_as'!P22</f>
        <v>9895000</v>
      </c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>
        <f>benzene_as!AA22+toluene_as!AA22+'o-xylene_as'!AA22+'p-xylene_as'!AA22+'m-xylene_as'!AA22+'b,t,x_as'!AA22</f>
        <v>9093000</v>
      </c>
      <c r="AB22" s="17">
        <f>benzene_as!AB22+toluene_as!AB22+'o-xylene_as'!AB22+'p-xylene_as'!AB22+'m-xylene_as'!AB22+'b,t,x_as'!AB22</f>
        <v>7478000</v>
      </c>
      <c r="AC22" s="17"/>
      <c r="AD22" s="17">
        <f t="shared" ref="AD22:AD23" si="2">AVERAGE(O22:AC22)</f>
        <v>8822000</v>
      </c>
    </row>
    <row r="23" spans="1:30" x14ac:dyDescent="0.25">
      <c r="A23" s="7" t="s">
        <v>16</v>
      </c>
      <c r="B23" s="17">
        <f>benzene_as!B23+toluene_as!B23+'o-xylene_as'!B23+'p-xylene_as'!B23+'m-xylene_as'!B23+'b,t,x_as'!B23</f>
        <v>0</v>
      </c>
      <c r="C23" s="17">
        <f>benzene_as!C23+toluene_as!C23+'o-xylene_as'!C23+'p-xylene_as'!C23+'m-xylene_as'!C23+'b,t,x_as'!C23</f>
        <v>0</v>
      </c>
      <c r="D23" s="17">
        <f>benzene_as!D23+toluene_as!D23+'o-xylene_as'!D23+'p-xylene_as'!D23+'m-xylene_as'!D23+'b,t,x_as'!D23</f>
        <v>0</v>
      </c>
      <c r="E23" s="17">
        <f>benzene_as!E23+toluene_as!E23+'o-xylene_as'!E23+'p-xylene_as'!E23+'m-xylene_as'!E23+'b,t,x_as'!E23</f>
        <v>0</v>
      </c>
      <c r="F23" s="17">
        <f>benzene_as!F23+toluene_as!F23+'o-xylene_as'!F23+'p-xylene_as'!F23+'m-xylene_as'!F23+'b,t,x_as'!F23</f>
        <v>0</v>
      </c>
      <c r="G23" s="17">
        <f>benzene_as!G23+toluene_as!G23+'o-xylene_as'!G23+'p-xylene_as'!G23+'m-xylene_as'!G23+'b,t,x_as'!G23</f>
        <v>0</v>
      </c>
      <c r="H23" s="17">
        <f>benzene_as!H23+toluene_as!H23+'o-xylene_as'!H23+'p-xylene_as'!H23+'m-xylene_as'!H23+'b,t,x_as'!H23</f>
        <v>0</v>
      </c>
      <c r="I23" s="17">
        <f>benzene_as!I23+toluene_as!I23+'o-xylene_as'!I23+'p-xylene_as'!I23+'m-xylene_as'!I23+'b,t,x_as'!I23</f>
        <v>0</v>
      </c>
      <c r="J23" s="17"/>
      <c r="K23" s="17"/>
      <c r="L23" s="17"/>
      <c r="M23" s="17"/>
      <c r="N23" s="17"/>
      <c r="O23" s="17">
        <f>benzene_as!O23+toluene_as!O23+'o-xylene_as'!O23+'p-xylene_as'!O23+'m-xylene_as'!O23+'b,t,x_as'!O23</f>
        <v>75000000</v>
      </c>
      <c r="P23" s="17">
        <f>benzene_as!P23+toluene_as!P23+'o-xylene_as'!P23+'p-xylene_as'!P23+'m-xylene_as'!P23+'b,t,x_as'!P23</f>
        <v>75000000</v>
      </c>
      <c r="Q23" s="17">
        <f>benzene_as!Q23+toluene_as!Q23+'o-xylene_as'!Q23+'p-xylene_as'!Q23+'m-xylene_as'!Q23+'b,t,x_as'!Q23</f>
        <v>75000000</v>
      </c>
      <c r="R23" s="17">
        <f>benzene_as!R23+toluene_as!R23+'o-xylene_as'!R23+'p-xylene_as'!R23+'m-xylene_as'!R23+'b,t,x_as'!R23</f>
        <v>75000000</v>
      </c>
      <c r="S23" s="17">
        <f>benzene_as!S23+toluene_as!S23+'o-xylene_as'!S23+'p-xylene_as'!S23+'m-xylene_as'!S23+'b,t,x_as'!S23</f>
        <v>75000000</v>
      </c>
      <c r="T23" s="17">
        <f>benzene_as!T23+toluene_as!T23+'o-xylene_as'!T23+'p-xylene_as'!T23+'m-xylene_as'!T23+'b,t,x_as'!T23</f>
        <v>75000000</v>
      </c>
      <c r="U23" s="17">
        <f>benzene_as!U23+toluene_as!U23+'o-xylene_as'!U23+'p-xylene_as'!U23+'m-xylene_as'!U23+'b,t,x_as'!U23</f>
        <v>75000000</v>
      </c>
      <c r="V23" s="17">
        <f>benzene_as!V23+toluene_as!V23+'o-xylene_as'!V23+'p-xylene_as'!V23+'m-xylene_as'!V23+'b,t,x_as'!V23</f>
        <v>75000000</v>
      </c>
      <c r="W23" s="17">
        <f>benzene_as!W23+toluene_as!W23+'o-xylene_as'!W23+'p-xylene_as'!W23+'m-xylene_as'!W23+'b,t,x_as'!W23</f>
        <v>75000000</v>
      </c>
      <c r="X23" s="17">
        <f>benzene_as!X23+toluene_as!X23+'o-xylene_as'!X23+'p-xylene_as'!X23+'m-xylene_as'!X23+'b,t,x_as'!X23</f>
        <v>75000000</v>
      </c>
      <c r="Y23" s="17">
        <f>benzene_as!Y23+toluene_as!Y23+'o-xylene_as'!Y23+'p-xylene_as'!Y23+'m-xylene_as'!Y23+'b,t,x_as'!Y23</f>
        <v>224543000</v>
      </c>
      <c r="Z23" s="17">
        <f>benzene_as!Z23+toluene_as!Z23+'o-xylene_as'!Z23+'p-xylene_as'!Z23+'m-xylene_as'!Z23+'b,t,x_as'!Z23</f>
        <v>212696000</v>
      </c>
      <c r="AA23" s="17">
        <f>benzene_as!AA23+toluene_as!AA23+'o-xylene_as'!AA23+'p-xylene_as'!AA23+'m-xylene_as'!AA23+'b,t,x_as'!AA23</f>
        <v>209426000</v>
      </c>
      <c r="AB23" s="17">
        <f>benzene_as!AB23+toluene_as!AB23+'o-xylene_as'!AB23+'p-xylene_as'!AB23+'m-xylene_as'!AB23+'b,t,x_as'!AB23</f>
        <v>189015000</v>
      </c>
      <c r="AC23" s="17">
        <f>benzene_as!AC23+toluene_as!AC23+'o-xylene_as'!AC23+'p-xylene_as'!AC23+'m-xylene_as'!AC23+'b,t,x_as'!AC23</f>
        <v>240287064</v>
      </c>
      <c r="AD23" s="17">
        <f t="shared" si="2"/>
        <v>121731137.59999999</v>
      </c>
    </row>
    <row r="24" spans="1:30" x14ac:dyDescent="0.25">
      <c r="A24" s="7" t="s">
        <v>17</v>
      </c>
      <c r="B24" s="17">
        <f>benzene_as!B24+toluene_as!B24+'o-xylene_as'!B24+'p-xylene_as'!B24+'m-xylene_as'!B24+'b,t,x_as'!B24</f>
        <v>0</v>
      </c>
      <c r="C24" s="17">
        <f>benzene_as!C24+toluene_as!C24+'o-xylene_as'!C24+'p-xylene_as'!C24+'m-xylene_as'!C24+'b,t,x_as'!C24</f>
        <v>0</v>
      </c>
      <c r="D24" s="17">
        <f>benzene_as!D24+toluene_as!D24+'o-xylene_as'!D24+'p-xylene_as'!D24+'m-xylene_as'!D24+'b,t,x_as'!D24</f>
        <v>0</v>
      </c>
      <c r="E24" s="17">
        <f>benzene_as!E24+toluene_as!E24+'o-xylene_as'!E24+'p-xylene_as'!E24+'m-xylene_as'!E24+'b,t,x_as'!E24</f>
        <v>0</v>
      </c>
      <c r="F24" s="17">
        <f>benzene_as!F24+toluene_as!F24+'o-xylene_as'!F24+'p-xylene_as'!F24+'m-xylene_as'!F24+'b,t,x_as'!F24</f>
        <v>0</v>
      </c>
      <c r="G24" s="17">
        <f>benzene_as!G24+toluene_as!G24+'o-xylene_as'!G24+'p-xylene_as'!G24+'m-xylene_as'!G24+'b,t,x_as'!G24</f>
        <v>0</v>
      </c>
      <c r="H24" s="17">
        <f>benzene_as!H24+toluene_as!H24+'o-xylene_as'!H24+'p-xylene_as'!H24+'m-xylene_as'!H24+'b,t,x_as'!H24</f>
        <v>0</v>
      </c>
      <c r="I24" s="17">
        <f>benzene_as!I24+toluene_as!I24+'o-xylene_as'!I24+'p-xylene_as'!I24+'m-xylene_as'!I24+'b,t,x_as'!I24</f>
        <v>0</v>
      </c>
      <c r="J24" s="17"/>
      <c r="K24" s="17"/>
      <c r="L24" s="17"/>
      <c r="M24" s="17"/>
      <c r="N24" s="17"/>
      <c r="O24" s="17">
        <f>benzene_as!O24+toluene_as!O24+'o-xylene_as'!O24+'p-xylene_as'!O24+'m-xylene_as'!O24+'b,t,x_as'!O24</f>
        <v>0</v>
      </c>
      <c r="P24" s="17">
        <f>benzene_as!P24+toluene_as!P24+'o-xylene_as'!P24+'p-xylene_as'!P24+'m-xylene_as'!P24+'b,t,x_as'!P24</f>
        <v>0</v>
      </c>
      <c r="Q24" s="17">
        <f>benzene_as!Q24+toluene_as!Q24+'o-xylene_as'!Q24+'p-xylene_as'!Q24+'m-xylene_as'!Q24+'b,t,x_as'!Q24</f>
        <v>0</v>
      </c>
      <c r="R24" s="17">
        <f>benzene_as!R24+toluene_as!R24+'o-xylene_as'!R24+'p-xylene_as'!R24+'m-xylene_as'!R24+'b,t,x_as'!R24</f>
        <v>0</v>
      </c>
      <c r="S24" s="17">
        <f>benzene_as!S24+toluene_as!S24+'o-xylene_as'!S24+'p-xylene_as'!S24+'m-xylene_as'!S24+'b,t,x_as'!S24</f>
        <v>0</v>
      </c>
      <c r="T24" s="17">
        <f>benzene_as!T24+toluene_as!T24+'o-xylene_as'!T24+'p-xylene_as'!T24+'m-xylene_as'!T24+'b,t,x_as'!T24</f>
        <v>0</v>
      </c>
      <c r="U24" s="17">
        <f>benzene_as!U24+toluene_as!U24+'o-xylene_as'!U24+'p-xylene_as'!U24+'m-xylene_as'!U24+'b,t,x_as'!U24</f>
        <v>0</v>
      </c>
      <c r="V24" s="17">
        <f>benzene_as!V24+toluene_as!V24+'o-xylene_as'!V24+'p-xylene_as'!V24+'m-xylene_as'!V24+'b,t,x_as'!V24</f>
        <v>0</v>
      </c>
      <c r="W24" s="17">
        <f>benzene_as!W24+toluene_as!W24+'o-xylene_as'!W24+'p-xylene_as'!W24+'m-xylene_as'!W24+'b,t,x_as'!W24</f>
        <v>0</v>
      </c>
      <c r="X24" s="17">
        <f>benzene_as!X24+toluene_as!X24+'o-xylene_as'!X24+'p-xylene_as'!X24+'m-xylene_as'!X24+'b,t,x_as'!X24</f>
        <v>0</v>
      </c>
      <c r="Y24" s="17">
        <f>benzene_as!Y24+toluene_as!Y24+'o-xylene_as'!Y24+'p-xylene_as'!Y24+'m-xylene_as'!Y24+'b,t,x_as'!Y24</f>
        <v>0</v>
      </c>
      <c r="Z24" s="17">
        <f>benzene_as!Z24+toluene_as!Z24+'o-xylene_as'!Z24+'p-xylene_as'!Z24+'m-xylene_as'!Z24+'b,t,x_as'!Z24</f>
        <v>0</v>
      </c>
      <c r="AA24" s="17">
        <f>benzene_as!AA24+toluene_as!AA24+'o-xylene_as'!AA24+'p-xylene_as'!AA24+'m-xylene_as'!AA24+'b,t,x_as'!AA24</f>
        <v>0</v>
      </c>
      <c r="AB24" s="17">
        <f>benzene_as!AB24+toluene_as!AB24+'o-xylene_as'!AB24+'p-xylene_as'!AB24+'m-xylene_as'!AB24+'b,t,x_as'!AB24</f>
        <v>0</v>
      </c>
      <c r="AC24" s="17">
        <f>benzene_as!AC24+toluene_as!AC24+'o-xylene_as'!AC24+'p-xylene_as'!AC24+'m-xylene_as'!AC24+'b,t,x_as'!AC24</f>
        <v>0</v>
      </c>
      <c r="AD24">
        <v>0</v>
      </c>
    </row>
    <row r="25" spans="1:30" x14ac:dyDescent="0.25">
      <c r="A25" s="7" t="s">
        <v>18</v>
      </c>
      <c r="B25" s="17">
        <f>benzene_as!B25+toluene_as!B25+'o-xylene_as'!B25+'p-xylene_as'!B25+'m-xylene_as'!B25+'b,t,x_as'!B25</f>
        <v>0</v>
      </c>
      <c r="C25" s="17">
        <f>benzene_as!C25+toluene_as!C25+'o-xylene_as'!C25+'p-xylene_as'!C25+'m-xylene_as'!C25+'b,t,x_as'!C25</f>
        <v>0</v>
      </c>
      <c r="D25" s="17">
        <f>benzene_as!D25+toluene_as!D25+'o-xylene_as'!D25+'p-xylene_as'!D25+'m-xylene_as'!D25+'b,t,x_as'!D25</f>
        <v>0</v>
      </c>
      <c r="E25" s="17">
        <f>benzene_as!E25+toluene_as!E25+'o-xylene_as'!E25+'p-xylene_as'!E25+'m-xylene_as'!E25+'b,t,x_as'!E25</f>
        <v>0</v>
      </c>
      <c r="F25" s="17">
        <f>benzene_as!F25+toluene_as!F25+'o-xylene_as'!F25+'p-xylene_as'!F25+'m-xylene_as'!F25+'b,t,x_as'!F25</f>
        <v>0</v>
      </c>
      <c r="G25" s="17">
        <f>benzene_as!G25+toluene_as!G25+'o-xylene_as'!G25+'p-xylene_as'!G25+'m-xylene_as'!G25+'b,t,x_as'!G25</f>
        <v>0</v>
      </c>
      <c r="H25" s="17">
        <f>benzene_as!H25+toluene_as!H25+'o-xylene_as'!H25+'p-xylene_as'!H25+'m-xylene_as'!H25+'b,t,x_as'!H25</f>
        <v>0</v>
      </c>
      <c r="I25" s="17">
        <f>benzene_as!I25+toluene_as!I25+'o-xylene_as'!I25+'p-xylene_as'!I25+'m-xylene_as'!I25+'b,t,x_as'!I25</f>
        <v>0</v>
      </c>
      <c r="J25" s="17"/>
      <c r="K25" s="17"/>
      <c r="L25" s="17"/>
      <c r="M25" s="17"/>
      <c r="N25" s="17"/>
      <c r="O25" s="17">
        <f>benzene_as!O25+toluene_as!O25+'o-xylene_as'!O25+'p-xylene_as'!O25+'m-xylene_as'!O25+'b,t,x_as'!O25</f>
        <v>0</v>
      </c>
      <c r="P25" s="17">
        <f>benzene_as!P25+toluene_as!P25+'o-xylene_as'!P25+'p-xylene_as'!P25+'m-xylene_as'!P25+'b,t,x_as'!P25</f>
        <v>0</v>
      </c>
      <c r="Q25" s="17">
        <f>benzene_as!Q25+toluene_as!Q25+'o-xylene_as'!Q25+'p-xylene_as'!Q25+'m-xylene_as'!Q25+'b,t,x_as'!Q25</f>
        <v>0</v>
      </c>
      <c r="R25" s="17">
        <f>benzene_as!R25+toluene_as!R25+'o-xylene_as'!R25+'p-xylene_as'!R25+'m-xylene_as'!R25+'b,t,x_as'!R25</f>
        <v>0</v>
      </c>
      <c r="S25" s="17">
        <f>benzene_as!S25+toluene_as!S25+'o-xylene_as'!S25+'p-xylene_as'!S25+'m-xylene_as'!S25+'b,t,x_as'!S25</f>
        <v>0</v>
      </c>
      <c r="T25" s="17">
        <f>benzene_as!T25+toluene_as!T25+'o-xylene_as'!T25+'p-xylene_as'!T25+'m-xylene_as'!T25+'b,t,x_as'!T25</f>
        <v>0</v>
      </c>
      <c r="U25" s="17">
        <f>benzene_as!U25+toluene_as!U25+'o-xylene_as'!U25+'p-xylene_as'!U25+'m-xylene_as'!U25+'b,t,x_as'!U25</f>
        <v>0</v>
      </c>
      <c r="V25" s="17">
        <f>benzene_as!V25+toluene_as!V25+'o-xylene_as'!V25+'p-xylene_as'!V25+'m-xylene_as'!V25+'b,t,x_as'!V25</f>
        <v>0</v>
      </c>
      <c r="W25" s="17">
        <f>benzene_as!W25+toluene_as!W25+'o-xylene_as'!W25+'p-xylene_as'!W25+'m-xylene_as'!W25+'b,t,x_as'!W25</f>
        <v>0</v>
      </c>
      <c r="X25" s="17">
        <f>benzene_as!X25+toluene_as!X25+'o-xylene_as'!X25+'p-xylene_as'!X25+'m-xylene_as'!X25+'b,t,x_as'!X25</f>
        <v>0</v>
      </c>
      <c r="Y25" s="17">
        <f>benzene_as!Y25+toluene_as!Y25+'o-xylene_as'!Y25+'p-xylene_as'!Y25+'m-xylene_as'!Y25+'b,t,x_as'!Y25</f>
        <v>0</v>
      </c>
      <c r="Z25" s="17">
        <f>benzene_as!Z25+toluene_as!Z25+'o-xylene_as'!Z25+'p-xylene_as'!Z25+'m-xylene_as'!Z25+'b,t,x_as'!Z25</f>
        <v>0</v>
      </c>
      <c r="AA25" s="17">
        <f>benzene_as!AA25+toluene_as!AA25+'o-xylene_as'!AA25+'p-xylene_as'!AA25+'m-xylene_as'!AA25+'b,t,x_as'!AA25</f>
        <v>0</v>
      </c>
      <c r="AB25" s="17">
        <f>benzene_as!AB25+toluene_as!AB25+'o-xylene_as'!AB25+'p-xylene_as'!AB25+'m-xylene_as'!AB25+'b,t,x_as'!AB25</f>
        <v>0</v>
      </c>
      <c r="AC25" s="17">
        <f>benzene_as!AC25+toluene_as!AC25+'o-xylene_as'!AC25+'p-xylene_as'!AC25+'m-xylene_as'!AC25+'b,t,x_as'!AC25</f>
        <v>0</v>
      </c>
      <c r="AD25">
        <v>0</v>
      </c>
    </row>
    <row r="26" spans="1:30" x14ac:dyDescent="0.25">
      <c r="A26" s="7" t="s">
        <v>19</v>
      </c>
      <c r="B26" s="17">
        <f>benzene_as!B26+toluene_as!B26+'o-xylene_as'!B26+'p-xylene_as'!B26+'m-xylene_as'!B26+'b,t,x_as'!B26</f>
        <v>0</v>
      </c>
      <c r="C26" s="17">
        <f>benzene_as!C26+toluene_as!C26+'o-xylene_as'!C26+'p-xylene_as'!C26+'m-xylene_as'!C26+'b,t,x_as'!C26</f>
        <v>0</v>
      </c>
      <c r="D26" s="17">
        <f>benzene_as!D26+toluene_as!D26+'o-xylene_as'!D26+'p-xylene_as'!D26+'m-xylene_as'!D26+'b,t,x_as'!D26</f>
        <v>0</v>
      </c>
      <c r="E26" s="17">
        <f>benzene_as!E26+toluene_as!E26+'o-xylene_as'!E26+'p-xylene_as'!E26+'m-xylene_as'!E26+'b,t,x_as'!E26</f>
        <v>0</v>
      </c>
      <c r="F26" s="17">
        <f>benzene_as!F26+toluene_as!F26+'o-xylene_as'!F26+'p-xylene_as'!F26+'m-xylene_as'!F26+'b,t,x_as'!F26</f>
        <v>0</v>
      </c>
      <c r="G26" s="17">
        <f>benzene_as!G26+toluene_as!G26+'o-xylene_as'!G26+'p-xylene_as'!G26+'m-xylene_as'!G26+'b,t,x_as'!G26</f>
        <v>0</v>
      </c>
      <c r="H26" s="17">
        <f>benzene_as!H26+toluene_as!H26+'o-xylene_as'!H26+'p-xylene_as'!H26+'m-xylene_as'!H26+'b,t,x_as'!H26</f>
        <v>0</v>
      </c>
      <c r="I26" s="17">
        <f>benzene_as!I26+toluene_as!I26+'o-xylene_as'!I26+'p-xylene_as'!I26+'m-xylene_as'!I26+'b,t,x_as'!I26</f>
        <v>0</v>
      </c>
      <c r="J26" s="17"/>
      <c r="K26" s="17"/>
      <c r="L26" s="17"/>
      <c r="M26" s="17"/>
      <c r="N26" s="17"/>
      <c r="O26" s="17">
        <f>benzene_as!O26+toluene_as!O26+'o-xylene_as'!O26+'p-xylene_as'!O26+'m-xylene_as'!O26+'b,t,x_as'!O26</f>
        <v>0</v>
      </c>
      <c r="P26" s="17">
        <f>benzene_as!P26+toluene_as!P26+'o-xylene_as'!P26+'p-xylene_as'!P26+'m-xylene_as'!P26+'b,t,x_as'!P26</f>
        <v>0</v>
      </c>
      <c r="Q26" s="17">
        <f>benzene_as!Q26+toluene_as!Q26+'o-xylene_as'!Q26+'p-xylene_as'!Q26+'m-xylene_as'!Q26+'b,t,x_as'!Q26</f>
        <v>0</v>
      </c>
      <c r="R26" s="17">
        <f>benzene_as!R26+toluene_as!R26+'o-xylene_as'!R26+'p-xylene_as'!R26+'m-xylene_as'!R26+'b,t,x_as'!R26</f>
        <v>0</v>
      </c>
      <c r="S26" s="17">
        <f>benzene_as!S26+toluene_as!S26+'o-xylene_as'!S26+'p-xylene_as'!S26+'m-xylene_as'!S26+'b,t,x_as'!S26</f>
        <v>0</v>
      </c>
      <c r="T26" s="17">
        <f>benzene_as!T26+toluene_as!T26+'o-xylene_as'!T26+'p-xylene_as'!T26+'m-xylene_as'!T26+'b,t,x_as'!T26</f>
        <v>0</v>
      </c>
      <c r="U26" s="17">
        <f>benzene_as!U26+toluene_as!U26+'o-xylene_as'!U26+'p-xylene_as'!U26+'m-xylene_as'!U26+'b,t,x_as'!U26</f>
        <v>0</v>
      </c>
      <c r="V26" s="17">
        <f>benzene_as!V26+toluene_as!V26+'o-xylene_as'!V26+'p-xylene_as'!V26+'m-xylene_as'!V26+'b,t,x_as'!V26</f>
        <v>0</v>
      </c>
      <c r="W26" s="17">
        <f>benzene_as!W26+toluene_as!W26+'o-xylene_as'!W26+'p-xylene_as'!W26+'m-xylene_as'!W26+'b,t,x_as'!W26</f>
        <v>0</v>
      </c>
      <c r="X26" s="17">
        <f>benzene_as!X26+toluene_as!X26+'o-xylene_as'!X26+'p-xylene_as'!X26+'m-xylene_as'!X26+'b,t,x_as'!X26</f>
        <v>0</v>
      </c>
      <c r="Y26" s="17">
        <f>benzene_as!Y26+toluene_as!Y26+'o-xylene_as'!Y26+'p-xylene_as'!Y26+'m-xylene_as'!Y26+'b,t,x_as'!Y26</f>
        <v>0</v>
      </c>
      <c r="Z26" s="17">
        <f>benzene_as!Z26+toluene_as!Z26+'o-xylene_as'!Z26+'p-xylene_as'!Z26+'m-xylene_as'!Z26+'b,t,x_as'!Z26</f>
        <v>0</v>
      </c>
      <c r="AA26" s="17">
        <f>benzene_as!AA26+toluene_as!AA26+'o-xylene_as'!AA26+'p-xylene_as'!AA26+'m-xylene_as'!AA26+'b,t,x_as'!AA26</f>
        <v>0</v>
      </c>
      <c r="AB26" s="17">
        <f>benzene_as!AB26+toluene_as!AB26+'o-xylene_as'!AB26+'p-xylene_as'!AB26+'m-xylene_as'!AB26+'b,t,x_as'!AB26</f>
        <v>0</v>
      </c>
      <c r="AC26" s="17">
        <f>benzene_as!AC26+toluene_as!AC26+'o-xylene_as'!AC26+'p-xylene_as'!AC26+'m-xylene_as'!AC26+'b,t,x_as'!AC26</f>
        <v>0</v>
      </c>
      <c r="AD26">
        <v>0</v>
      </c>
    </row>
    <row r="27" spans="1:30" x14ac:dyDescent="0.25">
      <c r="A27" s="7" t="s">
        <v>20</v>
      </c>
      <c r="B27" s="17">
        <f>benzene_as!B27+toluene_as!B27+'o-xylene_as'!B27+'p-xylene_as'!B27+'m-xylene_as'!B27+'b,t,x_as'!B27</f>
        <v>0</v>
      </c>
      <c r="C27" s="17">
        <f>benzene_as!C27+toluene_as!C27+'o-xylene_as'!C27+'p-xylene_as'!C27+'m-xylene_as'!C27+'b,t,x_as'!C27</f>
        <v>0</v>
      </c>
      <c r="D27" s="17">
        <f>benzene_as!D27+toluene_as!D27+'o-xylene_as'!D27+'p-xylene_as'!D27+'m-xylene_as'!D27+'b,t,x_as'!D27</f>
        <v>0</v>
      </c>
      <c r="E27" s="17">
        <f>benzene_as!E27+toluene_as!E27+'o-xylene_as'!E27+'p-xylene_as'!E27+'m-xylene_as'!E27+'b,t,x_as'!E27</f>
        <v>0</v>
      </c>
      <c r="F27" s="17">
        <f>benzene_as!F27+toluene_as!F27+'o-xylene_as'!F27+'p-xylene_as'!F27+'m-xylene_as'!F27+'b,t,x_as'!F27</f>
        <v>0</v>
      </c>
      <c r="G27" s="17">
        <f>benzene_as!G27+toluene_as!G27+'o-xylene_as'!G27+'p-xylene_as'!G27+'m-xylene_as'!G27+'b,t,x_as'!G27</f>
        <v>0</v>
      </c>
      <c r="H27" s="17">
        <f>benzene_as!H27+toluene_as!H27+'o-xylene_as'!H27+'p-xylene_as'!H27+'m-xylene_as'!H27+'b,t,x_as'!H27</f>
        <v>0</v>
      </c>
      <c r="I27" s="17">
        <f>benzene_as!I27+toluene_as!I27+'o-xylene_as'!I27+'p-xylene_as'!I27+'m-xylene_as'!I27+'b,t,x_as'!I27</f>
        <v>0</v>
      </c>
      <c r="J27" s="17"/>
      <c r="K27" s="17"/>
      <c r="L27" s="17"/>
      <c r="M27" s="17"/>
      <c r="N27" s="17"/>
      <c r="O27" s="17"/>
      <c r="P27" s="17"/>
      <c r="Q27" s="17">
        <f>benzene_as!Q27+toluene_as!Q27+'o-xylene_as'!Q27+'p-xylene_as'!Q27+'m-xylene_as'!Q27+'b,t,x_as'!Q27</f>
        <v>2000</v>
      </c>
      <c r="R27" s="17">
        <f>benzene_as!R27+toluene_as!R27+'o-xylene_as'!R27+'p-xylene_as'!R27+'m-xylene_as'!R27+'b,t,x_as'!R27</f>
        <v>3000</v>
      </c>
      <c r="S27" s="17">
        <f>benzene_as!S27+toluene_as!S27+'o-xylene_as'!S27+'p-xylene_as'!S27+'m-xylene_as'!S27+'b,t,x_as'!S27</f>
        <v>3000</v>
      </c>
      <c r="T27" s="17">
        <f>benzene_as!T27+toluene_as!T27+'o-xylene_as'!T27+'p-xylene_as'!T27+'m-xylene_as'!T27+'b,t,x_as'!T27</f>
        <v>3000</v>
      </c>
      <c r="U27" s="17">
        <f>benzene_as!U27+toluene_as!U27+'o-xylene_as'!U27+'p-xylene_as'!U27+'m-xylene_as'!U27+'b,t,x_as'!U27</f>
        <v>3000</v>
      </c>
      <c r="V27" s="17">
        <f>benzene_as!V27+toluene_as!V27+'o-xylene_as'!V27+'p-xylene_as'!V27+'m-xylene_as'!V27+'b,t,x_as'!V27</f>
        <v>3900</v>
      </c>
      <c r="W27" s="17">
        <f>benzene_as!W27+toluene_as!W27+'o-xylene_as'!W27+'p-xylene_as'!W27+'m-xylene_as'!W27+'b,t,x_as'!W27</f>
        <v>2000</v>
      </c>
      <c r="X27" s="17">
        <f>benzene_as!X27+toluene_as!X27+'o-xylene_as'!X27+'p-xylene_as'!X27+'m-xylene_as'!X27+'b,t,x_as'!X27</f>
        <v>2600</v>
      </c>
      <c r="Y27" s="17">
        <f>benzene_as!Y27+toluene_as!Y27+'o-xylene_as'!Y27+'p-xylene_as'!Y27+'m-xylene_as'!Y27+'b,t,x_as'!Y27</f>
        <v>2300</v>
      </c>
      <c r="Z27" s="17">
        <f>benzene_as!Z27+toluene_as!Z27+'o-xylene_as'!Z27+'p-xylene_as'!Z27+'m-xylene_as'!Z27+'b,t,x_as'!Z27</f>
        <v>6000</v>
      </c>
      <c r="AA27" s="17">
        <f>benzene_as!AA27+toluene_as!AA27+'o-xylene_as'!AA27+'p-xylene_as'!AA27+'m-xylene_as'!AA27+'b,t,x_as'!AA27</f>
        <v>4000</v>
      </c>
      <c r="AB27" s="17">
        <f>benzene_as!AB27+toluene_as!AB27+'o-xylene_as'!AB27+'p-xylene_as'!AB27+'m-xylene_as'!AB27+'b,t,x_as'!AB27</f>
        <v>2000</v>
      </c>
      <c r="AC27" s="17">
        <f>benzene_as!AC27+toluene_as!AC27+'o-xylene_as'!AC27+'p-xylene_as'!AC27+'m-xylene_as'!AC27+'b,t,x_as'!AC27</f>
        <v>2800</v>
      </c>
      <c r="AD27" s="17">
        <f t="shared" ref="AD27" si="3">AVERAGE(O27:AC27)</f>
        <v>3046.1538461538462</v>
      </c>
    </row>
    <row r="28" spans="1:30" x14ac:dyDescent="0.25">
      <c r="A28" s="7" t="s">
        <v>21</v>
      </c>
      <c r="B28" s="17">
        <f>benzene_as!B28+toluene_as!B28+'o-xylene_as'!B28+'p-xylene_as'!B28+'m-xylene_as'!B28+'b,t,x_as'!B28</f>
        <v>0</v>
      </c>
      <c r="C28" s="17">
        <f>benzene_as!C28+toluene_as!C28+'o-xylene_as'!C28+'p-xylene_as'!C28+'m-xylene_as'!C28+'b,t,x_as'!C28</f>
        <v>0</v>
      </c>
      <c r="D28" s="17">
        <f>benzene_as!D28+toluene_as!D28+'o-xylene_as'!D28+'p-xylene_as'!D28+'m-xylene_as'!D28+'b,t,x_as'!D28</f>
        <v>0</v>
      </c>
      <c r="E28" s="17">
        <f>benzene_as!E28+toluene_as!E28+'o-xylene_as'!E28+'p-xylene_as'!E28+'m-xylene_as'!E28+'b,t,x_as'!E28</f>
        <v>0</v>
      </c>
      <c r="F28" s="17">
        <f>benzene_as!F28+toluene_as!F28+'o-xylene_as'!F28+'p-xylene_as'!F28+'m-xylene_as'!F28+'b,t,x_as'!F28</f>
        <v>0</v>
      </c>
      <c r="G28" s="17">
        <f>benzene_as!G28+toluene_as!G28+'o-xylene_as'!G28+'p-xylene_as'!G28+'m-xylene_as'!G28+'b,t,x_as'!G28</f>
        <v>0</v>
      </c>
      <c r="H28" s="17">
        <f>benzene_as!H28+toluene_as!H28+'o-xylene_as'!H28+'p-xylene_as'!H28+'m-xylene_as'!H28+'b,t,x_as'!H28</f>
        <v>0</v>
      </c>
      <c r="I28" s="17">
        <f>benzene_as!I28+toluene_as!I28+'o-xylene_as'!I28+'p-xylene_as'!I28+'m-xylene_as'!I28+'b,t,x_as'!I28</f>
        <v>0</v>
      </c>
      <c r="J28" s="17"/>
      <c r="K28" s="17"/>
      <c r="L28" s="17"/>
      <c r="M28" s="17"/>
      <c r="N28" s="17"/>
      <c r="O28" s="17">
        <f>benzene_as!O28+toluene_as!O28+'o-xylene_as'!O28+'p-xylene_as'!O28+'m-xylene_as'!O28+'b,t,x_as'!O28</f>
        <v>0</v>
      </c>
      <c r="P28" s="17">
        <f>benzene_as!P28+toluene_as!P28+'o-xylene_as'!P28+'p-xylene_as'!P28+'m-xylene_as'!P28+'b,t,x_as'!P28</f>
        <v>0</v>
      </c>
      <c r="Q28" s="17">
        <f>benzene_as!Q28+toluene_as!Q28+'o-xylene_as'!Q28+'p-xylene_as'!Q28+'m-xylene_as'!Q28+'b,t,x_as'!Q28</f>
        <v>0</v>
      </c>
      <c r="R28" s="17">
        <f>benzene_as!R28+toluene_as!R28+'o-xylene_as'!R28+'p-xylene_as'!R28+'m-xylene_as'!R28+'b,t,x_as'!R28</f>
        <v>0</v>
      </c>
      <c r="S28" s="17">
        <f>benzene_as!S28+toluene_as!S28+'o-xylene_as'!S28+'p-xylene_as'!S28+'m-xylene_as'!S28+'b,t,x_as'!S28</f>
        <v>0</v>
      </c>
      <c r="T28" s="17">
        <f>benzene_as!T28+toluene_as!T28+'o-xylene_as'!T28+'p-xylene_as'!T28+'m-xylene_as'!T28+'b,t,x_as'!T28</f>
        <v>0</v>
      </c>
      <c r="U28" s="17">
        <f>benzene_as!U28+toluene_as!U28+'o-xylene_as'!U28+'p-xylene_as'!U28+'m-xylene_as'!U28+'b,t,x_as'!U28</f>
        <v>0</v>
      </c>
      <c r="V28" s="17">
        <f>benzene_as!V28+toluene_as!V28+'o-xylene_as'!V28+'p-xylene_as'!V28+'m-xylene_as'!V28+'b,t,x_as'!V28</f>
        <v>0</v>
      </c>
      <c r="W28" s="17">
        <f>benzene_as!W28+toluene_as!W28+'o-xylene_as'!W28+'p-xylene_as'!W28+'m-xylene_as'!W28+'b,t,x_as'!W28</f>
        <v>0</v>
      </c>
      <c r="X28" s="17">
        <f>benzene_as!X28+toluene_as!X28+'o-xylene_as'!X28+'p-xylene_as'!X28+'m-xylene_as'!X28+'b,t,x_as'!X28</f>
        <v>0</v>
      </c>
      <c r="Y28" s="17">
        <f>benzene_as!Y28+toluene_as!Y28+'o-xylene_as'!Y28+'p-xylene_as'!Y28+'m-xylene_as'!Y28+'b,t,x_as'!Y28</f>
        <v>0</v>
      </c>
      <c r="Z28" s="17">
        <f>benzene_as!Z28+toluene_as!Z28+'o-xylene_as'!Z28+'p-xylene_as'!Z28+'m-xylene_as'!Z28+'b,t,x_as'!Z28</f>
        <v>0</v>
      </c>
      <c r="AA28" s="17">
        <f>benzene_as!AA28+toluene_as!AA28+'o-xylene_as'!AA28+'p-xylene_as'!AA28+'m-xylene_as'!AA28+'b,t,x_as'!AA28</f>
        <v>0</v>
      </c>
      <c r="AB28" s="17">
        <f>benzene_as!AB28+toluene_as!AB28+'o-xylene_as'!AB28+'p-xylene_as'!AB28+'m-xylene_as'!AB28+'b,t,x_as'!AB28</f>
        <v>0</v>
      </c>
      <c r="AC28" s="17">
        <f>benzene_as!AC28+toluene_as!AC28+'o-xylene_as'!AC28+'p-xylene_as'!AC28+'m-xylene_as'!AC28+'b,t,x_as'!AC28</f>
        <v>0</v>
      </c>
      <c r="AD28">
        <v>0</v>
      </c>
    </row>
    <row r="29" spans="1:30" x14ac:dyDescent="0.25">
      <c r="A29" s="7" t="s">
        <v>22</v>
      </c>
      <c r="B29" s="17">
        <f>benzene_as!B29+toluene_as!B29+'o-xylene_as'!B29+'p-xylene_as'!B29+'m-xylene_as'!B29+'b,t,x_as'!B29</f>
        <v>0</v>
      </c>
      <c r="C29" s="17">
        <f>benzene_as!C29+toluene_as!C29+'o-xylene_as'!C29+'p-xylene_as'!C29+'m-xylene_as'!C29+'b,t,x_as'!C29</f>
        <v>0</v>
      </c>
      <c r="D29" s="17">
        <f>benzene_as!D29+toluene_as!D29+'o-xylene_as'!D29+'p-xylene_as'!D29+'m-xylene_as'!D29+'b,t,x_as'!D29</f>
        <v>0</v>
      </c>
      <c r="E29" s="17">
        <f>benzene_as!E29+toluene_as!E29+'o-xylene_as'!E29+'p-xylene_as'!E29+'m-xylene_as'!E29+'b,t,x_as'!E29</f>
        <v>0</v>
      </c>
      <c r="F29" s="17">
        <f>benzene_as!F29+toluene_as!F29+'o-xylene_as'!F29+'p-xylene_as'!F29+'m-xylene_as'!F29+'b,t,x_as'!F29</f>
        <v>0</v>
      </c>
      <c r="G29" s="17">
        <f>benzene_as!G29+toluene_as!G29+'o-xylene_as'!G29+'p-xylene_as'!G29+'m-xylene_as'!G29+'b,t,x_as'!G29</f>
        <v>0</v>
      </c>
      <c r="H29" s="17">
        <f>benzene_as!H29+toluene_as!H29+'o-xylene_as'!H29+'p-xylene_as'!H29+'m-xylene_as'!H29+'b,t,x_as'!H29</f>
        <v>0</v>
      </c>
      <c r="I29" s="17">
        <f>benzene_as!I29+toluene_as!I29+'o-xylene_as'!I29+'p-xylene_as'!I29+'m-xylene_as'!I29+'b,t,x_as'!I29</f>
        <v>0</v>
      </c>
      <c r="J29" s="17"/>
      <c r="K29" s="17"/>
      <c r="L29" s="17"/>
      <c r="M29" s="17"/>
      <c r="N29" s="17"/>
      <c r="O29" s="17">
        <f>benzene_as!O29+toluene_as!O29+'o-xylene_as'!O29+'p-xylene_as'!O29+'m-xylene_as'!O29+'b,t,x_as'!O29</f>
        <v>0</v>
      </c>
      <c r="P29" s="17">
        <f>benzene_as!P29+toluene_as!P29+'o-xylene_as'!P29+'p-xylene_as'!P29+'m-xylene_as'!P29+'b,t,x_as'!P29</f>
        <v>0</v>
      </c>
      <c r="Q29" s="17">
        <f>benzene_as!Q29+toluene_as!Q29+'o-xylene_as'!Q29+'p-xylene_as'!Q29+'m-xylene_as'!Q29+'b,t,x_as'!Q29</f>
        <v>0</v>
      </c>
      <c r="R29" s="17">
        <f>benzene_as!R29+toluene_as!R29+'o-xylene_as'!R29+'p-xylene_as'!R29+'m-xylene_as'!R29+'b,t,x_as'!R29</f>
        <v>6</v>
      </c>
      <c r="S29" s="17">
        <f>benzene_as!S29+toluene_as!S29+'o-xylene_as'!S29+'p-xylene_as'!S29+'m-xylene_as'!S29+'b,t,x_as'!S29</f>
        <v>0</v>
      </c>
      <c r="T29" s="17">
        <f>benzene_as!T29+toluene_as!T29+'o-xylene_as'!T29+'p-xylene_as'!T29+'m-xylene_as'!T29+'b,t,x_as'!T29</f>
        <v>0</v>
      </c>
      <c r="U29" s="17">
        <f>benzene_as!U29+toluene_as!U29+'o-xylene_as'!U29+'p-xylene_as'!U29+'m-xylene_as'!U29+'b,t,x_as'!U29</f>
        <v>0</v>
      </c>
      <c r="V29" s="17">
        <f>benzene_as!V29+toluene_as!V29+'o-xylene_as'!V29+'p-xylene_as'!V29+'m-xylene_as'!V29+'b,t,x_as'!V29</f>
        <v>0</v>
      </c>
      <c r="W29" s="17">
        <f>benzene_as!W29+toluene_as!W29+'o-xylene_as'!W29+'p-xylene_as'!W29+'m-xylene_as'!W29+'b,t,x_as'!W29</f>
        <v>12</v>
      </c>
      <c r="X29" s="17">
        <f>benzene_as!X29+toluene_as!X29+'o-xylene_as'!X29+'p-xylene_as'!X29+'m-xylene_as'!X29+'b,t,x_as'!X29</f>
        <v>0</v>
      </c>
      <c r="Y29" s="17">
        <f>benzene_as!Y29+toluene_as!Y29+'o-xylene_as'!Y29+'p-xylene_as'!Y29+'m-xylene_as'!Y29+'b,t,x_as'!Y29</f>
        <v>0</v>
      </c>
      <c r="Z29" s="17">
        <f>benzene_as!Z29+toluene_as!Z29+'o-xylene_as'!Z29+'p-xylene_as'!Z29+'m-xylene_as'!Z29+'b,t,x_as'!Z29</f>
        <v>0</v>
      </c>
      <c r="AA29" s="17">
        <f>benzene_as!AA29+toluene_as!AA29+'o-xylene_as'!AA29+'p-xylene_as'!AA29+'m-xylene_as'!AA29+'b,t,x_as'!AA29</f>
        <v>0</v>
      </c>
      <c r="AB29" s="17">
        <f>benzene_as!AB29+toluene_as!AB29+'o-xylene_as'!AB29+'p-xylene_as'!AB29+'m-xylene_as'!AB29+'b,t,x_as'!AB29</f>
        <v>0</v>
      </c>
      <c r="AC29" s="17">
        <f>benzene_as!AC29+toluene_as!AC29+'o-xylene_as'!AC29+'p-xylene_as'!AC29+'m-xylene_as'!AC29+'b,t,x_as'!AC29</f>
        <v>0</v>
      </c>
      <c r="AD29">
        <v>0</v>
      </c>
    </row>
    <row r="30" spans="1:30" x14ac:dyDescent="0.25">
      <c r="A30" s="7" t="s">
        <v>23</v>
      </c>
      <c r="B30" s="17"/>
      <c r="C30" s="17"/>
      <c r="D30" s="17"/>
      <c r="E30" s="17"/>
      <c r="F30" s="17"/>
      <c r="G30" s="17"/>
      <c r="H30" s="17"/>
      <c r="I30" s="17">
        <f>benzene_as!I30+toluene_as!I30+'o-xylene_as'!I30+'p-xylene_as'!I30+'m-xylene_as'!I30+'b,t,x_as'!I30</f>
        <v>430549000</v>
      </c>
      <c r="J30" s="17"/>
      <c r="K30" s="17"/>
      <c r="L30" s="17"/>
      <c r="M30" s="17"/>
      <c r="N30" s="17"/>
      <c r="O30" s="17">
        <f>benzene_as!O30+toluene_as!O30+'o-xylene_as'!O30+'p-xylene_as'!O30+'m-xylene_as'!O30+'b,t,x_as'!O30</f>
        <v>408565000</v>
      </c>
      <c r="P30" s="17">
        <f>benzene_as!P30+toluene_as!P30+'o-xylene_as'!P30+'p-xylene_as'!P30+'m-xylene_as'!P30+'b,t,x_as'!P30</f>
        <v>344072000</v>
      </c>
      <c r="Q30" s="17">
        <f>benzene_as!Q30+toluene_as!Q30+'o-xylene_as'!Q30+'p-xylene_as'!Q30+'m-xylene_as'!Q30+'b,t,x_as'!Q30</f>
        <v>357958000</v>
      </c>
      <c r="R30" s="17">
        <f>benzene_as!R30+toluene_as!R30+'o-xylene_as'!R30+'p-xylene_as'!R30+'m-xylene_as'!R30+'b,t,x_as'!R30</f>
        <v>809253500</v>
      </c>
      <c r="S30" s="17">
        <f>benzene_as!S30+toluene_as!S30+'o-xylene_as'!S30+'p-xylene_as'!S30+'m-xylene_as'!S30+'b,t,x_as'!S30</f>
        <v>749098000</v>
      </c>
      <c r="T30" s="17">
        <f>benzene_as!T30+toluene_as!T30+'o-xylene_as'!T30+'p-xylene_as'!T30+'m-xylene_as'!T30+'b,t,x_as'!T30</f>
        <v>791900000</v>
      </c>
      <c r="U30" s="17">
        <f>benzene_as!U30+toluene_as!U30+'o-xylene_as'!U30+'p-xylene_as'!U30+'m-xylene_as'!U30+'b,t,x_as'!U30</f>
        <v>780983500</v>
      </c>
      <c r="V30" s="17">
        <f>benzene_as!V30+toluene_as!V30+'o-xylene_as'!V30+'p-xylene_as'!V30+'m-xylene_as'!V30+'b,t,x_as'!V30</f>
        <v>811009000</v>
      </c>
      <c r="W30" s="17">
        <f>benzene_as!W30+toluene_as!W30+'o-xylene_as'!W30+'p-xylene_as'!W30+'m-xylene_as'!W30+'b,t,x_as'!W30</f>
        <v>776839000</v>
      </c>
      <c r="X30" s="17">
        <f>benzene_as!X30+toluene_as!X30+'o-xylene_as'!X30+'p-xylene_as'!X30+'m-xylene_as'!X30+'b,t,x_as'!X30</f>
        <v>695325000</v>
      </c>
      <c r="Y30" s="17">
        <f>benzene_as!Y30+toluene_as!Y30+'o-xylene_as'!Y30+'p-xylene_as'!Y30+'m-xylene_as'!Y30+'b,t,x_as'!Y30</f>
        <v>716182000</v>
      </c>
      <c r="Z30" s="17"/>
      <c r="AA30" s="17">
        <f>benzene_as!AA30+toluene_as!AA30+'o-xylene_as'!AA30+'p-xylene_as'!AA30+'m-xylene_as'!AA30+'b,t,x_as'!AA30</f>
        <v>714714000</v>
      </c>
      <c r="AB30" s="17">
        <f>benzene_as!AB30+toluene_as!AB30+'o-xylene_as'!AB30+'p-xylene_as'!AB30+'m-xylene_as'!AB30+'b,t,x_as'!AB30</f>
        <v>740811000</v>
      </c>
      <c r="AC30" s="17"/>
      <c r="AD30" s="17">
        <f t="shared" ref="AD30:AD34" si="4">AVERAGE(O30:AC30)</f>
        <v>668977692.30769229</v>
      </c>
    </row>
    <row r="31" spans="1:30" x14ac:dyDescent="0.25">
      <c r="A31" s="7" t="s">
        <v>24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>
        <f>benzene_as!O31+toluene_as!O31+'o-xylene_as'!O31+'p-xylene_as'!O31+'m-xylene_as'!O31+'b,t,x_as'!O31</f>
        <v>475839000</v>
      </c>
      <c r="P31" s="17">
        <f>benzene_as!P31+toluene_as!P31+'o-xylene_as'!P31+'p-xylene_as'!P31+'m-xylene_as'!P31+'b,t,x_as'!P31</f>
        <v>335495000</v>
      </c>
      <c r="Q31" s="17">
        <f>benzene_as!Q31+toluene_as!Q31+'o-xylene_as'!Q31+'p-xylene_as'!Q31+'m-xylene_as'!Q31+'b,t,x_as'!Q31</f>
        <v>484608000</v>
      </c>
      <c r="R31" s="17">
        <f>benzene_as!R31+toluene_as!R31+'o-xylene_as'!R31+'p-xylene_as'!R31+'m-xylene_as'!R31+'b,t,x_as'!R31</f>
        <v>489653000</v>
      </c>
      <c r="S31" s="17">
        <f>benzene_as!S31+toluene_as!S31+'o-xylene_as'!S31+'p-xylene_as'!S31+'m-xylene_as'!S31+'b,t,x_as'!S31</f>
        <v>455421000</v>
      </c>
      <c r="T31" s="18">
        <f>benzene_as!T31+toluene_as!T31+'o-xylene_as'!T31+'p-xylene_as'!T31+'m-xylene_as'!T31+'b,t,x_as'!T31</f>
        <v>172617000</v>
      </c>
      <c r="U31" s="18">
        <f>benzene_as!U31+toluene_as!U31+'o-xylene_as'!U31+'p-xylene_as'!U31+'m-xylene_as'!U31+'b,t,x_as'!U31</f>
        <v>144221000</v>
      </c>
      <c r="V31" s="18">
        <f>benzene_as!V31+toluene_as!V31+'o-xylene_as'!V31+'p-xylene_as'!V31+'m-xylene_as'!V31+'b,t,x_as'!V31</f>
        <v>147834000</v>
      </c>
      <c r="W31" s="18">
        <f>benzene_as!W31+toluene_as!W31+'o-xylene_as'!W31+'p-xylene_as'!W31+'m-xylene_as'!W31+'b,t,x_as'!W31</f>
        <v>154009000</v>
      </c>
      <c r="X31" s="18">
        <f>benzene_as!X31+toluene_as!X31+'o-xylene_as'!X31+'p-xylene_as'!X31+'m-xylene_as'!X31+'b,t,x_as'!X31</f>
        <v>177607000</v>
      </c>
      <c r="Y31" s="18"/>
      <c r="Z31" s="18">
        <f>benzene_as!Z31+toluene_as!Z31+'o-xylene_as'!Z31+'p-xylene_as'!Z31+'m-xylene_as'!Z31+'b,t,x_as'!Z31</f>
        <v>138519000</v>
      </c>
      <c r="AA31" s="18">
        <f>benzene_as!AA31+toluene_as!AA31+'o-xylene_as'!AA31+'p-xylene_as'!AA31+'m-xylene_as'!AA31+'b,t,x_as'!AA31</f>
        <v>127885000</v>
      </c>
      <c r="AB31" s="18">
        <f>benzene_as!AB31+toluene_as!AB31+'o-xylene_as'!AB31+'p-xylene_as'!AB31+'m-xylene_as'!AB31+'b,t,x_as'!AB31</f>
        <v>182032000</v>
      </c>
      <c r="AC31" s="18">
        <f>benzene_as!AC31+toluene_as!AC31+'o-xylene_as'!AC31+'p-xylene_as'!AC31+'m-xylene_as'!AC31+'b,t,x_as'!AC31</f>
        <v>84434000</v>
      </c>
      <c r="AD31" s="18">
        <f>AVERAGE(O31:S31)</f>
        <v>448203200</v>
      </c>
    </row>
    <row r="32" spans="1:30" x14ac:dyDescent="0.25">
      <c r="A32" s="7" t="s">
        <v>25</v>
      </c>
      <c r="B32" s="17">
        <f>benzene_as!B32+toluene_as!B32+'o-xylene_as'!B32+'p-xylene_as'!B32+'m-xylene_as'!B32+'b,t,x_as'!B32</f>
        <v>0</v>
      </c>
      <c r="C32" s="17">
        <f>benzene_as!C32+toluene_as!C32+'o-xylene_as'!C32+'p-xylene_as'!C32+'m-xylene_as'!C32+'b,t,x_as'!C32</f>
        <v>0</v>
      </c>
      <c r="D32" s="17">
        <f>benzene_as!D32+toluene_as!D32+'o-xylene_as'!D32+'p-xylene_as'!D32+'m-xylene_as'!D32+'b,t,x_as'!D32</f>
        <v>0</v>
      </c>
      <c r="E32" s="17">
        <f>benzene_as!E32+toluene_as!E32+'o-xylene_as'!E32+'p-xylene_as'!E32+'m-xylene_as'!E32+'b,t,x_as'!E32</f>
        <v>0</v>
      </c>
      <c r="F32" s="17">
        <f>benzene_as!F32+toluene_as!F32+'o-xylene_as'!F32+'p-xylene_as'!F32+'m-xylene_as'!F32+'b,t,x_as'!F32</f>
        <v>0</v>
      </c>
      <c r="G32" s="17">
        <f>benzene_as!G32+toluene_as!G32+'o-xylene_as'!G32+'p-xylene_as'!G32+'m-xylene_as'!G32+'b,t,x_as'!G32</f>
        <v>0</v>
      </c>
      <c r="H32" s="17">
        <f>benzene_as!H32+toluene_as!H32+'o-xylene_as'!H32+'p-xylene_as'!H32+'m-xylene_as'!H32+'b,t,x_as'!H32</f>
        <v>0</v>
      </c>
      <c r="I32" s="17">
        <f>benzene_as!I32+toluene_as!I32+'o-xylene_as'!I32+'p-xylene_as'!I32+'m-xylene_as'!I32+'b,t,x_as'!I32</f>
        <v>0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>
        <f>benzene_as!V32+toluene_as!V32+'o-xylene_as'!V32+'p-xylene_as'!V32+'m-xylene_as'!V32+'b,t,x_as'!V32</f>
        <v>146324868</v>
      </c>
      <c r="W32" s="17">
        <f>benzene_as!W32+toluene_as!W32+'o-xylene_as'!W32+'p-xylene_as'!W32+'m-xylene_as'!W32+'b,t,x_as'!W32</f>
        <v>133835537</v>
      </c>
      <c r="X32" s="17">
        <f>benzene_as!X32+toluene_as!X32+'o-xylene_as'!X32+'p-xylene_as'!X32+'m-xylene_as'!X32+'b,t,x_as'!X32</f>
        <v>121553816</v>
      </c>
      <c r="Y32" s="17">
        <f>benzene_as!Y32+toluene_as!Y32+'o-xylene_as'!Y32+'p-xylene_as'!Y32+'m-xylene_as'!Y32+'b,t,x_as'!Y32</f>
        <v>144177601</v>
      </c>
      <c r="Z32" s="17">
        <f>benzene_as!Z32+toluene_as!Z32+'o-xylene_as'!Z32+'p-xylene_as'!Z32+'m-xylene_as'!Z32+'b,t,x_as'!Z32</f>
        <v>143397637</v>
      </c>
      <c r="AA32" s="17">
        <f>benzene_as!AA32+toluene_as!AA32+'o-xylene_as'!AA32+'p-xylene_as'!AA32+'m-xylene_as'!AA32+'b,t,x_as'!AA32</f>
        <v>154681443</v>
      </c>
      <c r="AB32" s="17">
        <f>benzene_as!AB32+toluene_as!AB32+'o-xylene_as'!AB32+'p-xylene_as'!AB32+'m-xylene_as'!AB32+'b,t,x_as'!AB32</f>
        <v>165893868</v>
      </c>
      <c r="AC32" s="17">
        <f>benzene_as!AC32+toluene_as!AC32+'o-xylene_as'!AC32+'p-xylene_as'!AC32+'m-xylene_as'!AC32+'b,t,x_as'!AC32</f>
        <v>135834838</v>
      </c>
      <c r="AD32" s="17">
        <f t="shared" si="4"/>
        <v>143212451</v>
      </c>
    </row>
    <row r="33" spans="1:30" x14ac:dyDescent="0.25">
      <c r="A33" s="7" t="s">
        <v>26</v>
      </c>
      <c r="B33" s="17"/>
      <c r="C33" s="17"/>
      <c r="D33" s="17"/>
      <c r="E33" s="17"/>
      <c r="F33" s="17"/>
      <c r="G33" s="17"/>
      <c r="H33" s="17">
        <f>benzene_as!H33+toluene_as!H33+'o-xylene_as'!H33+'p-xylene_as'!H33+'m-xylene_as'!H33+'b,t,x_as'!H33</f>
        <v>211948000</v>
      </c>
      <c r="I33" s="17">
        <f>benzene_as!I33+toluene_as!I33+'o-xylene_as'!I33+'p-xylene_as'!I33+'m-xylene_as'!I33+'b,t,x_as'!I33</f>
        <v>186443000</v>
      </c>
      <c r="J33" s="17"/>
      <c r="K33" s="17"/>
      <c r="L33" s="17"/>
      <c r="M33" s="17"/>
      <c r="N33" s="17"/>
      <c r="O33" s="18">
        <f>benzene_as!O33+toluene_as!O33+'o-xylene_as'!O33+'p-xylene_as'!O33+'m-xylene_as'!O33+'b,t,x_as'!O33</f>
        <v>327892000</v>
      </c>
      <c r="P33" s="18">
        <f>benzene_as!P33+toluene_as!P33+'o-xylene_as'!P33+'p-xylene_as'!P33+'m-xylene_as'!P33+'b,t,x_as'!P33</f>
        <v>307415000</v>
      </c>
      <c r="Q33" s="18">
        <f>benzene_as!Q33+toluene_as!Q33+'o-xylene_as'!Q33+'p-xylene_as'!Q33+'m-xylene_as'!Q33+'b,t,x_as'!Q33</f>
        <v>330701000</v>
      </c>
      <c r="R33" s="18">
        <f>benzene_as!R33+toluene_as!R33+'o-xylene_as'!R33+'p-xylene_as'!R33+'m-xylene_as'!R33+'b,t,x_as'!R33</f>
        <v>330418000</v>
      </c>
      <c r="S33" s="18">
        <f>benzene_as!S33+toluene_as!S33+'o-xylene_as'!S33+'p-xylene_as'!S33+'m-xylene_as'!S33+'b,t,x_as'!S33</f>
        <v>282367000</v>
      </c>
      <c r="T33" s="18">
        <f>benzene_as!T33+toluene_as!T33+'o-xylene_as'!T33+'p-xylene_as'!T33+'m-xylene_as'!T33+'b,t,x_as'!T33</f>
        <v>292761000</v>
      </c>
      <c r="U33" s="18">
        <f>benzene_as!U33+toluene_as!U33+'o-xylene_as'!U33+'p-xylene_as'!U33+'m-xylene_as'!U33+'b,t,x_as'!U33</f>
        <v>291277000</v>
      </c>
      <c r="V33" s="17">
        <f>benzene_as!V33+toluene_as!V33+'o-xylene_as'!V33+'p-xylene_as'!V33+'m-xylene_as'!V33+'b,t,x_as'!V33</f>
        <v>416648000</v>
      </c>
      <c r="W33" s="17">
        <f>benzene_as!W33+toluene_as!W33+'o-xylene_as'!W33+'p-xylene_as'!W33+'m-xylene_as'!W33+'b,t,x_as'!W33</f>
        <v>390454000</v>
      </c>
      <c r="X33" s="17">
        <f>benzene_as!X33+toluene_as!X33+'o-xylene_as'!X33+'p-xylene_as'!X33+'m-xylene_as'!X33+'b,t,x_as'!X33</f>
        <v>612924000</v>
      </c>
      <c r="Y33" s="17">
        <f>benzene_as!Y33+toluene_as!Y33+'o-xylene_as'!Y33+'p-xylene_as'!Y33+'m-xylene_as'!Y33+'b,t,x_as'!Y33</f>
        <v>466173000</v>
      </c>
      <c r="Z33" s="17">
        <f>benzene_as!Z33+toluene_as!Z33+'o-xylene_as'!Z33+'p-xylene_as'!Z33+'m-xylene_as'!Z33+'b,t,x_as'!Z33</f>
        <v>472330000</v>
      </c>
      <c r="AA33" s="17">
        <f>benzene_as!AA33+toluene_as!AA33+'o-xylene_as'!AA33+'p-xylene_as'!AA33+'m-xylene_as'!AA33+'b,t,x_as'!AA33</f>
        <v>486324000</v>
      </c>
      <c r="AB33" s="17">
        <f>benzene_as!AB33+toluene_as!AB33+'o-xylene_as'!AB33+'p-xylene_as'!AB33+'m-xylene_as'!AB33+'b,t,x_as'!AB33</f>
        <v>600428000</v>
      </c>
      <c r="AC33" s="18">
        <f>benzene_as!AC33+toluene_as!AC33+'o-xylene_as'!AC33+'p-xylene_as'!AC33+'m-xylene_as'!AC33+'b,t,x_as'!AC33</f>
        <v>414510000</v>
      </c>
      <c r="AD33" s="17">
        <f>AVERAGE(V33:AB33)</f>
        <v>492183000</v>
      </c>
    </row>
    <row r="34" spans="1:30" x14ac:dyDescent="0.25">
      <c r="A34" s="7" t="s">
        <v>27</v>
      </c>
      <c r="B34" s="17"/>
      <c r="C34" s="17"/>
      <c r="D34" s="17"/>
      <c r="E34" s="17"/>
      <c r="F34" s="17"/>
      <c r="G34" s="17">
        <f>benzene_as!G34+toluene_as!G34+'o-xylene_as'!G34+'p-xylene_as'!G34+'m-xylene_as'!G34+'b,t,x_as'!G34</f>
        <v>10000</v>
      </c>
      <c r="H34" s="17"/>
      <c r="I34" s="17"/>
      <c r="J34" s="17"/>
      <c r="K34" s="17"/>
      <c r="L34" s="17"/>
      <c r="M34" s="17"/>
      <c r="N34" s="17"/>
      <c r="O34" s="17">
        <f>benzene_as!O34+toluene_as!O34+'o-xylene_as'!O34+'p-xylene_as'!O34+'m-xylene_as'!O34+'b,t,x_as'!O34</f>
        <v>42774075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>
        <f>benzene_as!AB34+toluene_as!AB34+'o-xylene_as'!AB34+'p-xylene_as'!AB34+'m-xylene_as'!AB34+'b,t,x_as'!AB34</f>
        <v>43917950</v>
      </c>
      <c r="AC34" s="17"/>
      <c r="AD34" s="17">
        <f t="shared" si="4"/>
        <v>43346012.5</v>
      </c>
    </row>
    <row r="35" spans="1:30" x14ac:dyDescent="0.25">
      <c r="A35" s="7" t="s">
        <v>28</v>
      </c>
      <c r="B35" s="17">
        <f>benzene_as!B35+toluene_as!B35+'o-xylene_as'!B35+'p-xylene_as'!B35+'m-xylene_as'!B35+'b,t,x_as'!B35</f>
        <v>0</v>
      </c>
      <c r="C35" s="17">
        <f>benzene_as!C35+toluene_as!C35+'o-xylene_as'!C35+'p-xylene_as'!C35+'m-xylene_as'!C35+'b,t,x_as'!C35</f>
        <v>0</v>
      </c>
      <c r="D35" s="17">
        <f>benzene_as!D35+toluene_as!D35+'o-xylene_as'!D35+'p-xylene_as'!D35+'m-xylene_as'!D35+'b,t,x_as'!D35</f>
        <v>0</v>
      </c>
      <c r="E35" s="17">
        <f>benzene_as!E35+toluene_as!E35+'o-xylene_as'!E35+'p-xylene_as'!E35+'m-xylene_as'!E35+'b,t,x_as'!E35</f>
        <v>0</v>
      </c>
      <c r="F35" s="17">
        <f>benzene_as!F35+toluene_as!F35+'o-xylene_as'!F35+'p-xylene_as'!F35+'m-xylene_as'!F35+'b,t,x_as'!F35</f>
        <v>0</v>
      </c>
      <c r="G35" s="17">
        <f>benzene_as!G35+toluene_as!G35+'o-xylene_as'!G35+'p-xylene_as'!G35+'m-xylene_as'!G35+'b,t,x_as'!G35</f>
        <v>0</v>
      </c>
      <c r="H35" s="17">
        <f>benzene_as!H35+toluene_as!H35+'o-xylene_as'!H35+'p-xylene_as'!H35+'m-xylene_as'!H35+'b,t,x_as'!H35</f>
        <v>0</v>
      </c>
      <c r="I35" s="17">
        <f>benzene_as!I35+toluene_as!I35+'o-xylene_as'!I35+'p-xylene_as'!I35+'m-xylene_as'!I35+'b,t,x_as'!I35</f>
        <v>0</v>
      </c>
      <c r="J35" s="17"/>
      <c r="K35" s="17"/>
      <c r="L35" s="17"/>
      <c r="M35" s="17"/>
      <c r="N35" s="17"/>
      <c r="O35" s="17">
        <f>benzene_as!O35+toluene_as!O35+'o-xylene_as'!O35+'p-xylene_as'!O35+'m-xylene_as'!O35+'b,t,x_as'!O35</f>
        <v>0</v>
      </c>
      <c r="P35" s="17">
        <f>benzene_as!P35+toluene_as!P35+'o-xylene_as'!P35+'p-xylene_as'!P35+'m-xylene_as'!P35+'b,t,x_as'!P35</f>
        <v>0</v>
      </c>
      <c r="Q35" s="17">
        <f>benzene_as!Q35+toluene_as!Q35+'o-xylene_as'!Q35+'p-xylene_as'!Q35+'m-xylene_as'!Q35+'b,t,x_as'!Q35</f>
        <v>0</v>
      </c>
      <c r="R35" s="17">
        <f>benzene_as!R35+toluene_as!R35+'o-xylene_as'!R35+'p-xylene_as'!R35+'m-xylene_as'!R35+'b,t,x_as'!R35</f>
        <v>0</v>
      </c>
      <c r="S35" s="17">
        <f>benzene_as!S35+toluene_as!S35+'o-xylene_as'!S35+'p-xylene_as'!S35+'m-xylene_as'!S35+'b,t,x_as'!S35</f>
        <v>0</v>
      </c>
      <c r="T35" s="17">
        <f>benzene_as!T35+toluene_as!T35+'o-xylene_as'!T35+'p-xylene_as'!T35+'m-xylene_as'!T35+'b,t,x_as'!T35</f>
        <v>0</v>
      </c>
      <c r="U35" s="17">
        <f>benzene_as!U35+toluene_as!U35+'o-xylene_as'!U35+'p-xylene_as'!U35+'m-xylene_as'!U35+'b,t,x_as'!U35</f>
        <v>0</v>
      </c>
      <c r="V35" s="17">
        <f>benzene_as!V35+toluene_as!V35+'o-xylene_as'!V35+'p-xylene_as'!V35+'m-xylene_as'!V35+'b,t,x_as'!V35</f>
        <v>0</v>
      </c>
      <c r="W35" s="17">
        <f>benzene_as!W35+toluene_as!W35+'o-xylene_as'!W35+'p-xylene_as'!W35+'m-xylene_as'!W35+'b,t,x_as'!W35</f>
        <v>0</v>
      </c>
      <c r="X35" s="17">
        <f>benzene_as!X35+toluene_as!X35+'o-xylene_as'!X35+'p-xylene_as'!X35+'m-xylene_as'!X35+'b,t,x_as'!X35</f>
        <v>0</v>
      </c>
      <c r="Y35" s="17">
        <f>benzene_as!Y35+toluene_as!Y35+'o-xylene_as'!Y35+'p-xylene_as'!Y35+'m-xylene_as'!Y35+'b,t,x_as'!Y35</f>
        <v>0</v>
      </c>
      <c r="Z35" s="17">
        <f>benzene_as!Z35+toluene_as!Z35+'o-xylene_as'!Z35+'p-xylene_as'!Z35+'m-xylene_as'!Z35+'b,t,x_as'!Z35</f>
        <v>0</v>
      </c>
      <c r="AA35" s="17">
        <f>benzene_as!AA35+toluene_as!AA35+'o-xylene_as'!AA35+'p-xylene_as'!AA35+'m-xylene_as'!AA35+'b,t,x_as'!AA35</f>
        <v>0</v>
      </c>
      <c r="AB35" s="17">
        <f>benzene_as!AB35+toluene_as!AB35+'o-xylene_as'!AB35+'p-xylene_as'!AB35+'m-xylene_as'!AB35+'b,t,x_as'!AB35</f>
        <v>0</v>
      </c>
      <c r="AC35" s="17">
        <f>benzene_as!AC35+toluene_as!AC35+'o-xylene_as'!AC35+'p-xylene_as'!AC35+'m-xylene_as'!AC35+'b,t,x_as'!AC35</f>
        <v>0</v>
      </c>
      <c r="AD35">
        <v>0</v>
      </c>
    </row>
    <row r="36" spans="1:30" x14ac:dyDescent="0.25">
      <c r="A36" s="7" t="s">
        <v>29</v>
      </c>
      <c r="B36" s="17">
        <f>benzene_as!B36+toluene_as!B36+'o-xylene_as'!B36+'p-xylene_as'!B36+'m-xylene_as'!B36+'b,t,x_as'!B36</f>
        <v>0</v>
      </c>
      <c r="C36" s="17">
        <f>benzene_as!C36+toluene_as!C36+'o-xylene_as'!C36+'p-xylene_as'!C36+'m-xylene_as'!C36+'b,t,x_as'!C36</f>
        <v>0</v>
      </c>
      <c r="D36" s="17">
        <f>benzene_as!D36+toluene_as!D36+'o-xylene_as'!D36+'p-xylene_as'!D36+'m-xylene_as'!D36+'b,t,x_as'!D36</f>
        <v>0</v>
      </c>
      <c r="E36" s="17">
        <f>benzene_as!E36+toluene_as!E36+'o-xylene_as'!E36+'p-xylene_as'!E36+'m-xylene_as'!E36+'b,t,x_as'!E36</f>
        <v>0</v>
      </c>
      <c r="F36" s="17">
        <f>benzene_as!F36+toluene_as!F36+'o-xylene_as'!F36+'p-xylene_as'!F36+'m-xylene_as'!F36+'b,t,x_as'!F36</f>
        <v>0</v>
      </c>
      <c r="G36" s="17">
        <f>benzene_as!G36+toluene_as!G36+'o-xylene_as'!G36+'p-xylene_as'!G36+'m-xylene_as'!G36+'b,t,x_as'!G36</f>
        <v>0</v>
      </c>
      <c r="H36" s="17">
        <f>benzene_as!H36+toluene_as!H36+'o-xylene_as'!H36+'p-xylene_as'!H36+'m-xylene_as'!H36+'b,t,x_as'!H36</f>
        <v>0</v>
      </c>
      <c r="I36" s="17">
        <f>benzene_as!I36+toluene_as!I36+'o-xylene_as'!I36+'p-xylene_as'!I36+'m-xylene_as'!I36+'b,t,x_as'!I36</f>
        <v>0</v>
      </c>
      <c r="J36" s="17"/>
      <c r="K36" s="17"/>
      <c r="L36" s="17"/>
      <c r="M36" s="17"/>
      <c r="N36" s="17"/>
      <c r="O36" s="17">
        <f>benzene_as!O36+toluene_as!O36+'o-xylene_as'!O36+'p-xylene_as'!O36+'m-xylene_as'!O36+'b,t,x_as'!O36</f>
        <v>0</v>
      </c>
      <c r="P36" s="17">
        <f>benzene_as!P36+toluene_as!P36+'o-xylene_as'!P36+'p-xylene_as'!P36+'m-xylene_as'!P36+'b,t,x_as'!P36</f>
        <v>0</v>
      </c>
      <c r="Q36" s="17">
        <f>benzene_as!Q36+toluene_as!Q36+'o-xylene_as'!Q36+'p-xylene_as'!Q36+'m-xylene_as'!Q36+'b,t,x_as'!Q36</f>
        <v>0</v>
      </c>
      <c r="R36" s="17">
        <f>benzene_as!R36+toluene_as!R36+'o-xylene_as'!R36+'p-xylene_as'!R36+'m-xylene_as'!R36+'b,t,x_as'!R36</f>
        <v>0</v>
      </c>
      <c r="S36" s="17">
        <f>benzene_as!S36+toluene_as!S36+'o-xylene_as'!S36+'p-xylene_as'!S36+'m-xylene_as'!S36+'b,t,x_as'!S36</f>
        <v>0</v>
      </c>
      <c r="T36" s="17">
        <f>benzene_as!T36+toluene_as!T36+'o-xylene_as'!T36+'p-xylene_as'!T36+'m-xylene_as'!T36+'b,t,x_as'!T36</f>
        <v>0</v>
      </c>
      <c r="U36" s="17">
        <f>benzene_as!U36+toluene_as!U36+'o-xylene_as'!U36+'p-xylene_as'!U36+'m-xylene_as'!U36+'b,t,x_as'!U36</f>
        <v>0</v>
      </c>
      <c r="V36" s="17">
        <f>benzene_as!V36+toluene_as!V36+'o-xylene_as'!V36+'p-xylene_as'!V36+'m-xylene_as'!V36+'b,t,x_as'!V36</f>
        <v>0</v>
      </c>
      <c r="W36" s="17">
        <f>benzene_as!W36+toluene_as!W36+'o-xylene_as'!W36+'p-xylene_as'!W36+'m-xylene_as'!W36+'b,t,x_as'!W36</f>
        <v>0</v>
      </c>
      <c r="X36" s="17">
        <f>benzene_as!X36+toluene_as!X36+'o-xylene_as'!X36+'p-xylene_as'!X36+'m-xylene_as'!X36+'b,t,x_as'!X36</f>
        <v>0</v>
      </c>
      <c r="Y36" s="17">
        <f>benzene_as!Y36+toluene_as!Y36+'o-xylene_as'!Y36+'p-xylene_as'!Y36+'m-xylene_as'!Y36+'b,t,x_as'!Y36</f>
        <v>0</v>
      </c>
      <c r="Z36" s="17">
        <f>benzene_as!Z36+toluene_as!Z36+'o-xylene_as'!Z36+'p-xylene_as'!Z36+'m-xylene_as'!Z36+'b,t,x_as'!Z36</f>
        <v>0</v>
      </c>
      <c r="AA36" s="17">
        <f>benzene_as!AA36+toluene_as!AA36+'o-xylene_as'!AA36+'p-xylene_as'!AA36+'m-xylene_as'!AA36+'b,t,x_as'!AA36</f>
        <v>0</v>
      </c>
      <c r="AB36" s="17">
        <f>benzene_as!AB36+toluene_as!AB36+'o-xylene_as'!AB36+'p-xylene_as'!AB36+'m-xylene_as'!AB36+'b,t,x_as'!AB36</f>
        <v>0</v>
      </c>
      <c r="AC36" s="17">
        <f>benzene_as!AC36+toluene_as!AC36+'o-xylene_as'!AC36+'p-xylene_as'!AC36+'m-xylene_as'!AC36+'b,t,x_as'!AC36</f>
        <v>0</v>
      </c>
      <c r="AD36">
        <v>0</v>
      </c>
    </row>
    <row r="37" spans="1:30" x14ac:dyDescent="0.25">
      <c r="A37" s="7" t="s">
        <v>30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>
        <f>benzene_as!O37+toluene_as!O37+'o-xylene_as'!O37+'p-xylene_as'!O37+'m-xylene_as'!O37+'b,t,x_as'!O37</f>
        <v>21739000</v>
      </c>
      <c r="P37" s="17">
        <f>benzene_as!P37+toluene_as!P37+'o-xylene_as'!P37+'p-xylene_as'!P37+'m-xylene_as'!P37+'b,t,x_as'!P37</f>
        <v>21511000</v>
      </c>
      <c r="Q37" s="17">
        <f>benzene_as!Q37+toluene_as!Q37+'o-xylene_as'!Q37+'p-xylene_as'!Q37+'m-xylene_as'!Q37+'b,t,x_as'!Q37</f>
        <v>25439000</v>
      </c>
      <c r="R37" s="17">
        <f>benzene_as!R37+toluene_as!R37+'o-xylene_as'!R37+'p-xylene_as'!R37+'m-xylene_as'!R37+'b,t,x_as'!R37</f>
        <v>14612000</v>
      </c>
      <c r="S37" s="17">
        <f>benzene_as!S37+toluene_as!S37+'o-xylene_as'!S37+'p-xylene_as'!S37+'m-xylene_as'!S37+'b,t,x_as'!S37</f>
        <v>15911000</v>
      </c>
      <c r="T37" s="17">
        <f>benzene_as!T37+toluene_as!T37+'o-xylene_as'!T37+'p-xylene_as'!T37+'m-xylene_as'!T37+'b,t,x_as'!T37</f>
        <v>11944000</v>
      </c>
      <c r="U37" s="17">
        <f>benzene_as!U37+toluene_as!U37+'o-xylene_as'!U37+'p-xylene_as'!U37+'m-xylene_as'!U37+'b,t,x_as'!U37</f>
        <v>8826000</v>
      </c>
      <c r="V37" s="17">
        <f>benzene_as!V37+toluene_as!V37+'o-xylene_as'!V37+'p-xylene_as'!V37+'m-xylene_as'!V37+'b,t,x_as'!V37</f>
        <v>17422000</v>
      </c>
      <c r="W37" s="17">
        <f>benzene_as!W37+toluene_as!W37+'o-xylene_as'!W37+'p-xylene_as'!W37+'m-xylene_as'!W37+'b,t,x_as'!W37</f>
        <v>14152000</v>
      </c>
      <c r="X37" s="17">
        <f>benzene_as!X37+toluene_as!X37+'o-xylene_as'!X37+'p-xylene_as'!X37+'m-xylene_as'!X37+'b,t,x_as'!X37</f>
        <v>6928000</v>
      </c>
      <c r="Y37" s="17">
        <f>benzene_as!Y37+toluene_as!Y37+'o-xylene_as'!Y37+'p-xylene_as'!Y37+'m-xylene_as'!Y37+'b,t,x_as'!Y37</f>
        <v>17566000</v>
      </c>
      <c r="Z37" s="17">
        <f>benzene_as!Z37+toluene_as!Z37+'o-xylene_as'!Z37+'p-xylene_as'!Z37+'m-xylene_as'!Z37+'b,t,x_as'!Z37</f>
        <v>14362000</v>
      </c>
      <c r="AA37" s="17">
        <f>benzene_as!AA37+toluene_as!AA37+'o-xylene_as'!AA37+'p-xylene_as'!AA37+'m-xylene_as'!AA37+'b,t,x_as'!AA37</f>
        <v>1991000</v>
      </c>
      <c r="AB37" s="17">
        <f>benzene_as!AB37+toluene_as!AB37+'o-xylene_as'!AB37+'p-xylene_as'!AB37+'m-xylene_as'!AB37+'b,t,x_as'!AB37</f>
        <v>16008000</v>
      </c>
      <c r="AC37" s="17">
        <f>benzene_as!AC37+toluene_as!AC37+'o-xylene_as'!AC37+'p-xylene_as'!AC37+'m-xylene_as'!AC37+'b,t,x_as'!AC37</f>
        <v>12060635</v>
      </c>
      <c r="AD37" s="17">
        <f t="shared" ref="AD37:AD38" si="5">AVERAGE(O37:AC37)</f>
        <v>14698109</v>
      </c>
    </row>
    <row r="38" spans="1:30" x14ac:dyDescent="0.25">
      <c r="A38" s="7" t="s">
        <v>31</v>
      </c>
      <c r="B38" s="17">
        <f>benzene_as!B38+toluene_as!B38+'o-xylene_as'!B38+'p-xylene_as'!B38+'m-xylene_as'!B38+'b,t,x_as'!B38</f>
        <v>0</v>
      </c>
      <c r="C38" s="17">
        <f>benzene_as!C38+toluene_as!C38+'o-xylene_as'!C38+'p-xylene_as'!C38+'m-xylene_as'!C38+'b,t,x_as'!C38</f>
        <v>0</v>
      </c>
      <c r="D38" s="17">
        <f>benzene_as!D38+toluene_as!D38+'o-xylene_as'!D38+'p-xylene_as'!D38+'m-xylene_as'!D38+'b,t,x_as'!D38</f>
        <v>0</v>
      </c>
      <c r="E38" s="17">
        <f>benzene_as!E38+toluene_as!E38+'o-xylene_as'!E38+'p-xylene_as'!E38+'m-xylene_as'!E38+'b,t,x_as'!E38</f>
        <v>0</v>
      </c>
      <c r="F38" s="17">
        <f>benzene_as!F38+toluene_as!F38+'o-xylene_as'!F38+'p-xylene_as'!F38+'m-xylene_as'!F38+'b,t,x_as'!F38</f>
        <v>0</v>
      </c>
      <c r="G38" s="17">
        <f>benzene_as!G38+toluene_as!G38+'o-xylene_as'!G38+'p-xylene_as'!G38+'m-xylene_as'!G38+'b,t,x_as'!G38</f>
        <v>0</v>
      </c>
      <c r="H38" s="17">
        <f>benzene_as!H38+toluene_as!H38+'o-xylene_as'!H38+'p-xylene_as'!H38+'m-xylene_as'!H38+'b,t,x_as'!H38</f>
        <v>0</v>
      </c>
      <c r="I38" s="17">
        <f>benzene_as!I38+toluene_as!I38+'o-xylene_as'!I38+'p-xylene_as'!I38+'m-xylene_as'!I38+'b,t,x_as'!I38</f>
        <v>0</v>
      </c>
      <c r="J38" s="17"/>
      <c r="K38" s="17"/>
      <c r="L38" s="17"/>
      <c r="M38" s="17"/>
      <c r="N38" s="17"/>
      <c r="O38" s="17">
        <f>benzene_as!O38+toluene_as!O38+'o-xylene_as'!O38+'p-xylene_as'!O38+'m-xylene_as'!O38+'b,t,x_as'!O38</f>
        <v>0</v>
      </c>
      <c r="P38" s="17">
        <f>benzene_as!P38+toluene_as!P38+'o-xylene_as'!P38+'p-xylene_as'!P38+'m-xylene_as'!P38+'b,t,x_as'!P38</f>
        <v>0</v>
      </c>
      <c r="Q38" s="17">
        <f>benzene_as!Q38+toluene_as!Q38+'o-xylene_as'!Q38+'p-xylene_as'!Q38+'m-xylene_as'!Q38+'b,t,x_as'!Q38</f>
        <v>0</v>
      </c>
      <c r="R38" s="17">
        <f>benzene_as!R38+toluene_as!R38+'o-xylene_as'!R38+'p-xylene_as'!R38+'m-xylene_as'!R38+'b,t,x_as'!R38</f>
        <v>0</v>
      </c>
      <c r="S38" s="17">
        <f>benzene_as!S38+toluene_as!S38+'o-xylene_as'!S38+'p-xylene_as'!S38+'m-xylene_as'!S38+'b,t,x_as'!S38</f>
        <v>0</v>
      </c>
      <c r="T38" s="17">
        <f>benzene_as!T38+toluene_as!T38+'o-xylene_as'!T38+'p-xylene_as'!T38+'m-xylene_as'!T38+'b,t,x_as'!T38</f>
        <v>0</v>
      </c>
      <c r="U38" s="17">
        <f>benzene_as!U38+toluene_as!U38+'o-xylene_as'!U38+'p-xylene_as'!U38+'m-xylene_as'!U38+'b,t,x_as'!U38</f>
        <v>0</v>
      </c>
      <c r="V38" s="17">
        <f>benzene_as!V38+toluene_as!V38+'o-xylene_as'!V38+'p-xylene_as'!V38+'m-xylene_as'!V38+'b,t,x_as'!V38</f>
        <v>0</v>
      </c>
      <c r="W38" s="17">
        <f>benzene_as!W38+toluene_as!W38+'o-xylene_as'!W38+'p-xylene_as'!W38+'m-xylene_as'!W38+'b,t,x_as'!W38</f>
        <v>0</v>
      </c>
      <c r="X38" s="17">
        <f>benzene_as!X38+toluene_as!X38+'o-xylene_as'!X38+'p-xylene_as'!X38+'m-xylene_as'!X38+'b,t,x_as'!X38</f>
        <v>0</v>
      </c>
      <c r="Y38" s="27">
        <f>benzene_as!Y38+toluene_as!Y38+'o-xylene_as'!Y38+'p-xylene_as'!Y38+'m-xylene_as'!Y38+'b,t,x_as'!Y38</f>
        <v>0</v>
      </c>
      <c r="Z38" s="17">
        <f>benzene_as!Z38+toluene_as!Z38+'o-xylene_as'!Z38+'p-xylene_as'!Z38+'m-xylene_as'!Z38+'b,t,x_as'!Z38</f>
        <v>0</v>
      </c>
      <c r="AA38" s="17">
        <f>benzene_as!AA38+toluene_as!AA38+'o-xylene_as'!AA38+'p-xylene_as'!AA38+'m-xylene_as'!AA38+'b,t,x_as'!AA38</f>
        <v>0</v>
      </c>
      <c r="AB38" s="17">
        <f>benzene_as!AB38+toluene_as!AB38+'o-xylene_as'!AB38+'p-xylene_as'!AB38+'m-xylene_as'!AB38+'b,t,x_as'!AB38</f>
        <v>5347000</v>
      </c>
      <c r="AC38" s="17">
        <f>benzene_as!AC38+toluene_as!AC38+'o-xylene_as'!AC38+'p-xylene_as'!AC38+'m-xylene_as'!AC38+'b,t,x_as'!AC38</f>
        <v>4301000</v>
      </c>
      <c r="AD38" s="27">
        <f t="shared" si="5"/>
        <v>643200</v>
      </c>
    </row>
    <row r="39" spans="1:30" x14ac:dyDescent="0.25">
      <c r="A39" s="7" t="s">
        <v>32</v>
      </c>
      <c r="B39" s="17">
        <f>benzene_as!B39+toluene_as!B39+'o-xylene_as'!B39+'p-xylene_as'!B39+'m-xylene_as'!B39+'b,t,x_as'!B39</f>
        <v>0</v>
      </c>
      <c r="C39" s="17">
        <f>benzene_as!C39+toluene_as!C39+'o-xylene_as'!C39+'p-xylene_as'!C39+'m-xylene_as'!C39+'b,t,x_as'!C39</f>
        <v>0</v>
      </c>
      <c r="D39" s="17">
        <f>benzene_as!D39+toluene_as!D39+'o-xylene_as'!D39+'p-xylene_as'!D39+'m-xylene_as'!D39+'b,t,x_as'!D39</f>
        <v>0</v>
      </c>
      <c r="E39" s="17">
        <f>benzene_as!E39+toluene_as!E39+'o-xylene_as'!E39+'p-xylene_as'!E39+'m-xylene_as'!E39+'b,t,x_as'!E39</f>
        <v>0</v>
      </c>
      <c r="F39" s="17">
        <f>benzene_as!F39+toluene_as!F39+'o-xylene_as'!F39+'p-xylene_as'!F39+'m-xylene_as'!F39+'b,t,x_as'!F39</f>
        <v>0</v>
      </c>
      <c r="G39" s="17">
        <f>benzene_as!G39+toluene_as!G39+'o-xylene_as'!G39+'p-xylene_as'!G39+'m-xylene_as'!G39+'b,t,x_as'!G39</f>
        <v>0</v>
      </c>
      <c r="H39" s="17">
        <f>benzene_as!H39+toluene_as!H39+'o-xylene_as'!H39+'p-xylene_as'!H39+'m-xylene_as'!H39+'b,t,x_as'!H39</f>
        <v>0</v>
      </c>
      <c r="I39" s="17">
        <f>benzene_as!I39+toluene_as!I39+'o-xylene_as'!I39+'p-xylene_as'!I39+'m-xylene_as'!I39+'b,t,x_as'!I39</f>
        <v>0</v>
      </c>
      <c r="J39" s="17"/>
      <c r="K39" s="17"/>
      <c r="L39" s="17"/>
      <c r="M39" s="17"/>
      <c r="N39" s="17"/>
      <c r="O39" s="17">
        <f>benzene_as!O39+toluene_as!O39+'o-xylene_as'!O39+'p-xylene_as'!O39+'m-xylene_as'!O39+'b,t,x_as'!O39</f>
        <v>0</v>
      </c>
      <c r="P39" s="17">
        <f>benzene_as!P39+toluene_as!P39+'o-xylene_as'!P39+'p-xylene_as'!P39+'m-xylene_as'!P39+'b,t,x_as'!P39</f>
        <v>0</v>
      </c>
      <c r="Q39" s="17">
        <f>benzene_as!Q39+toluene_as!Q39+'o-xylene_as'!Q39+'p-xylene_as'!Q39+'m-xylene_as'!Q39+'b,t,x_as'!Q39</f>
        <v>0</v>
      </c>
      <c r="R39" s="17">
        <f>benzene_as!R39+toluene_as!R39+'o-xylene_as'!R39+'p-xylene_as'!R39+'m-xylene_as'!R39+'b,t,x_as'!R39</f>
        <v>0</v>
      </c>
      <c r="S39" s="17">
        <f>benzene_as!S39+toluene_as!S39+'o-xylene_as'!S39+'p-xylene_as'!S39+'m-xylene_as'!S39+'b,t,x_as'!S39</f>
        <v>0</v>
      </c>
      <c r="T39" s="17">
        <f>benzene_as!T39+toluene_as!T39+'o-xylene_as'!T39+'p-xylene_as'!T39+'m-xylene_as'!T39+'b,t,x_as'!T39</f>
        <v>0</v>
      </c>
      <c r="U39" s="17">
        <f>benzene_as!U39+toluene_as!U39+'o-xylene_as'!U39+'p-xylene_as'!U39+'m-xylene_as'!U39+'b,t,x_as'!U39</f>
        <v>0</v>
      </c>
      <c r="V39" s="17">
        <f>benzene_as!V39+toluene_as!V39+'o-xylene_as'!V39+'p-xylene_as'!V39+'m-xylene_as'!V39+'b,t,x_as'!V39</f>
        <v>0</v>
      </c>
      <c r="W39" s="17">
        <f>benzene_as!W39+toluene_as!W39+'o-xylene_as'!W39+'p-xylene_as'!W39+'m-xylene_as'!W39+'b,t,x_as'!W39</f>
        <v>0</v>
      </c>
      <c r="X39" s="17">
        <f>benzene_as!X39+toluene_as!X39+'o-xylene_as'!X39+'p-xylene_as'!X39+'m-xylene_as'!X39+'b,t,x_as'!X39</f>
        <v>0</v>
      </c>
      <c r="Y39" s="17">
        <f>benzene_as!Y39+toluene_as!Y39+'o-xylene_as'!Y39+'p-xylene_as'!Y39+'m-xylene_as'!Y39+'b,t,x_as'!Y39</f>
        <v>0</v>
      </c>
      <c r="Z39" s="17">
        <f>benzene_as!Z39+toluene_as!Z39+'o-xylene_as'!Z39+'p-xylene_as'!Z39+'m-xylene_as'!Z39+'b,t,x_as'!Z39</f>
        <v>0</v>
      </c>
      <c r="AA39" s="17">
        <f>benzene_as!AA39+toluene_as!AA39+'o-xylene_as'!AA39+'p-xylene_as'!AA39+'m-xylene_as'!AA39+'b,t,x_as'!AA39</f>
        <v>0</v>
      </c>
      <c r="AB39" s="17">
        <f>benzene_as!AB39+toluene_as!AB39+'o-xylene_as'!AB39+'p-xylene_as'!AB39+'m-xylene_as'!AB39+'b,t,x_as'!AB39</f>
        <v>0</v>
      </c>
      <c r="AC39" s="17">
        <f>benzene_as!AC39+toluene_as!AC39+'o-xylene_as'!AC39+'p-xylene_as'!AC39+'m-xylene_as'!AC39+'b,t,x_as'!AC39</f>
        <v>0</v>
      </c>
      <c r="AD39">
        <v>0</v>
      </c>
    </row>
    <row r="40" spans="1:30" x14ac:dyDescent="0.25">
      <c r="A40" s="7" t="s">
        <v>33</v>
      </c>
      <c r="B40" s="17">
        <f>benzene_as!B40+toluene_as!B40+'o-xylene_as'!B40+'p-xylene_as'!B40+'m-xylene_as'!B40+'b,t,x_as'!B40</f>
        <v>0</v>
      </c>
      <c r="C40" s="17">
        <f>benzene_as!C40+toluene_as!C40+'o-xylene_as'!C40+'p-xylene_as'!C40+'m-xylene_as'!C40+'b,t,x_as'!C40</f>
        <v>0</v>
      </c>
      <c r="D40" s="17">
        <f>benzene_as!D40+toluene_as!D40+'o-xylene_as'!D40+'p-xylene_as'!D40+'m-xylene_as'!D40+'b,t,x_as'!D40</f>
        <v>0</v>
      </c>
      <c r="E40" s="17">
        <f>benzene_as!E40+toluene_as!E40+'o-xylene_as'!E40+'p-xylene_as'!E40+'m-xylene_as'!E40+'b,t,x_as'!E40</f>
        <v>0</v>
      </c>
      <c r="F40" s="17">
        <f>benzene_as!F40+toluene_as!F40+'o-xylene_as'!F40+'p-xylene_as'!F40+'m-xylene_as'!F40+'b,t,x_as'!F40</f>
        <v>0</v>
      </c>
      <c r="G40" s="17">
        <f>benzene_as!G40+toluene_as!G40+'o-xylene_as'!G40+'p-xylene_as'!G40+'m-xylene_as'!G40+'b,t,x_as'!G40</f>
        <v>0</v>
      </c>
      <c r="H40" s="17">
        <f>benzene_as!H40+toluene_as!H40+'o-xylene_as'!H40+'p-xylene_as'!H40+'m-xylene_as'!H40+'b,t,x_as'!H40</f>
        <v>0</v>
      </c>
      <c r="I40" s="17">
        <f>benzene_as!I40+toluene_as!I40+'o-xylene_as'!I40+'p-xylene_as'!I40+'m-xylene_as'!I40+'b,t,x_as'!I40</f>
        <v>0</v>
      </c>
      <c r="J40" s="17"/>
      <c r="K40" s="17"/>
      <c r="L40" s="17"/>
      <c r="M40" s="17"/>
      <c r="N40" s="17"/>
      <c r="O40" s="17">
        <f>benzene_as!O40+toluene_as!O40+'o-xylene_as'!O40+'p-xylene_as'!O40+'m-xylene_as'!O40+'b,t,x_as'!O40</f>
        <v>0</v>
      </c>
      <c r="P40" s="17">
        <f>benzene_as!P40+toluene_as!P40+'o-xylene_as'!P40+'p-xylene_as'!P40+'m-xylene_as'!P40+'b,t,x_as'!P40</f>
        <v>0</v>
      </c>
      <c r="Q40" s="17">
        <f>benzene_as!Q40+toluene_as!Q40+'o-xylene_as'!Q40+'p-xylene_as'!Q40+'m-xylene_as'!Q40+'b,t,x_as'!Q40</f>
        <v>0</v>
      </c>
      <c r="R40" s="17">
        <f>benzene_as!R40+toluene_as!R40+'o-xylene_as'!R40+'p-xylene_as'!R40+'m-xylene_as'!R40+'b,t,x_as'!R40</f>
        <v>0</v>
      </c>
      <c r="S40" s="17">
        <f>benzene_as!S40+toluene_as!S40+'o-xylene_as'!S40+'p-xylene_as'!S40+'m-xylene_as'!S40+'b,t,x_as'!S40</f>
        <v>0</v>
      </c>
      <c r="T40" s="17">
        <f>benzene_as!T40+toluene_as!T40+'o-xylene_as'!T40+'p-xylene_as'!T40+'m-xylene_as'!T40+'b,t,x_as'!T40</f>
        <v>0</v>
      </c>
      <c r="U40" s="17">
        <f>benzene_as!U40+toluene_as!U40+'o-xylene_as'!U40+'p-xylene_as'!U40+'m-xylene_as'!U40+'b,t,x_as'!U40</f>
        <v>0</v>
      </c>
      <c r="V40" s="17">
        <f>benzene_as!V40+toluene_as!V40+'o-xylene_as'!V40+'p-xylene_as'!V40+'m-xylene_as'!V40+'b,t,x_as'!V40</f>
        <v>0</v>
      </c>
      <c r="W40" s="17">
        <f>benzene_as!W40+toluene_as!W40+'o-xylene_as'!W40+'p-xylene_as'!W40+'m-xylene_as'!W40+'b,t,x_as'!W40</f>
        <v>0</v>
      </c>
      <c r="X40" s="17">
        <f>benzene_as!X40+toluene_as!X40+'o-xylene_as'!X40+'p-xylene_as'!X40+'m-xylene_as'!X40+'b,t,x_as'!X40</f>
        <v>0</v>
      </c>
      <c r="Y40" s="17">
        <f>benzene_as!Y40+toluene_as!Y40+'o-xylene_as'!Y40+'p-xylene_as'!Y40+'m-xylene_as'!Y40+'b,t,x_as'!Y40</f>
        <v>0</v>
      </c>
      <c r="Z40" s="17">
        <f>benzene_as!Z40+toluene_as!Z40+'o-xylene_as'!Z40+'p-xylene_as'!Z40+'m-xylene_as'!Z40+'b,t,x_as'!Z40</f>
        <v>0</v>
      </c>
      <c r="AA40" s="17">
        <f>benzene_as!AA40+toluene_as!AA40+'o-xylene_as'!AA40+'p-xylene_as'!AA40+'m-xylene_as'!AA40+'b,t,x_as'!AA40</f>
        <v>0</v>
      </c>
      <c r="AB40" s="17">
        <f>benzene_as!AB40+toluene_as!AB40+'o-xylene_as'!AB40+'p-xylene_as'!AB40+'m-xylene_as'!AB40+'b,t,x_as'!AB40</f>
        <v>0</v>
      </c>
      <c r="AC40" s="17">
        <f>benzene_as!AC40+toluene_as!AC40+'o-xylene_as'!AC40+'p-xylene_as'!AC40+'m-xylene_as'!AC40+'b,t,x_as'!AC40</f>
        <v>0</v>
      </c>
      <c r="AD40">
        <v>0</v>
      </c>
    </row>
    <row r="41" spans="1:30" x14ac:dyDescent="0.25">
      <c r="A41" s="7" t="s">
        <v>34</v>
      </c>
      <c r="B41" s="17">
        <f>benzene_as!B41+toluene_as!B41+'o-xylene_as'!B41+'p-xylene_as'!B41+'m-xylene_as'!B41+'b,t,x_as'!B41</f>
        <v>0</v>
      </c>
      <c r="C41" s="17">
        <f>benzene_as!C41+toluene_as!C41+'o-xylene_as'!C41+'p-xylene_as'!C41+'m-xylene_as'!C41+'b,t,x_as'!C41</f>
        <v>0</v>
      </c>
      <c r="D41" s="17">
        <f>benzene_as!D41+toluene_as!D41+'o-xylene_as'!D41+'p-xylene_as'!D41+'m-xylene_as'!D41+'b,t,x_as'!D41</f>
        <v>0</v>
      </c>
      <c r="E41" s="17">
        <f>benzene_as!E41+toluene_as!E41+'o-xylene_as'!E41+'p-xylene_as'!E41+'m-xylene_as'!E41+'b,t,x_as'!E41</f>
        <v>0</v>
      </c>
      <c r="F41" s="17">
        <f>benzene_as!F41+toluene_as!F41+'o-xylene_as'!F41+'p-xylene_as'!F41+'m-xylene_as'!F41+'b,t,x_as'!F41</f>
        <v>0</v>
      </c>
      <c r="G41" s="17">
        <f>benzene_as!G41+toluene_as!G41+'o-xylene_as'!G41+'p-xylene_as'!G41+'m-xylene_as'!G41+'b,t,x_as'!G41</f>
        <v>0</v>
      </c>
      <c r="H41" s="17">
        <f>benzene_as!H41+toluene_as!H41+'o-xylene_as'!H41+'p-xylene_as'!H41+'m-xylene_as'!H41+'b,t,x_as'!H41</f>
        <v>0</v>
      </c>
      <c r="I41" s="17">
        <f>benzene_as!I41+toluene_as!I41+'o-xylene_as'!I41+'p-xylene_as'!I41+'m-xylene_as'!I41+'b,t,x_as'!I41</f>
        <v>0</v>
      </c>
      <c r="J41" s="17"/>
      <c r="K41" s="17"/>
      <c r="L41" s="17"/>
      <c r="M41" s="17"/>
      <c r="N41" s="17"/>
      <c r="O41" s="17">
        <f>benzene_as!O41+toluene_as!O41+'o-xylene_as'!O41+'p-xylene_as'!O41+'m-xylene_as'!O41+'b,t,x_as'!O41</f>
        <v>0</v>
      </c>
      <c r="P41" s="17">
        <f>benzene_as!P41+toluene_as!P41+'o-xylene_as'!P41+'p-xylene_as'!P41+'m-xylene_as'!P41+'b,t,x_as'!P41</f>
        <v>0</v>
      </c>
      <c r="Q41" s="17">
        <f>benzene_as!Q41+toluene_as!Q41+'o-xylene_as'!Q41+'p-xylene_as'!Q41+'m-xylene_as'!Q41+'b,t,x_as'!Q41</f>
        <v>0</v>
      </c>
      <c r="R41" s="17">
        <f>benzene_as!R41+toluene_as!R41+'o-xylene_as'!R41+'p-xylene_as'!R41+'m-xylene_as'!R41+'b,t,x_as'!R41</f>
        <v>0</v>
      </c>
      <c r="S41" s="17">
        <f>benzene_as!S41+toluene_as!S41+'o-xylene_as'!S41+'p-xylene_as'!S41+'m-xylene_as'!S41+'b,t,x_as'!S41</f>
        <v>0</v>
      </c>
      <c r="T41" s="17">
        <f>benzene_as!T41+toluene_as!T41+'o-xylene_as'!T41+'p-xylene_as'!T41+'m-xylene_as'!T41+'b,t,x_as'!T41</f>
        <v>0</v>
      </c>
      <c r="U41" s="17">
        <f>benzene_as!U41+toluene_as!U41+'o-xylene_as'!U41+'p-xylene_as'!U41+'m-xylene_as'!U41+'b,t,x_as'!U41</f>
        <v>0</v>
      </c>
      <c r="V41" s="17">
        <f>benzene_as!V41+toluene_as!V41+'o-xylene_as'!V41+'p-xylene_as'!V41+'m-xylene_as'!V41+'b,t,x_as'!V41</f>
        <v>0</v>
      </c>
      <c r="W41" s="17">
        <f>benzene_as!W41+toluene_as!W41+'o-xylene_as'!W41+'p-xylene_as'!W41+'m-xylene_as'!W41+'b,t,x_as'!W41</f>
        <v>0</v>
      </c>
      <c r="X41" s="17">
        <f>benzene_as!X41+toluene_as!X41+'o-xylene_as'!X41+'p-xylene_as'!X41+'m-xylene_as'!X41+'b,t,x_as'!X41</f>
        <v>0</v>
      </c>
      <c r="Y41" s="17">
        <f>benzene_as!Y41+toluene_as!Y41+'o-xylene_as'!Y41+'p-xylene_as'!Y41+'m-xylene_as'!Y41+'b,t,x_as'!Y41</f>
        <v>0</v>
      </c>
      <c r="Z41" s="17">
        <f>benzene_as!Z41+toluene_as!Z41+'o-xylene_as'!Z41+'p-xylene_as'!Z41+'m-xylene_as'!Z41+'b,t,x_as'!Z41</f>
        <v>0</v>
      </c>
      <c r="AA41" s="17">
        <f>benzene_as!AA41+toluene_as!AA41+'o-xylene_as'!AA41+'p-xylene_as'!AA41+'m-xylene_as'!AA41+'b,t,x_as'!AA41</f>
        <v>0</v>
      </c>
      <c r="AB41" s="17">
        <f>benzene_as!AB41+toluene_as!AB41+'o-xylene_as'!AB41+'p-xylene_as'!AB41+'m-xylene_as'!AB41+'b,t,x_as'!AB41</f>
        <v>0</v>
      </c>
      <c r="AC41" s="17">
        <f>benzene_as!AC41+toluene_as!AC41+'o-xylene_as'!AC41+'p-xylene_as'!AC41+'m-xylene_as'!AC41+'b,t,x_as'!AC41</f>
        <v>0</v>
      </c>
      <c r="AD41">
        <v>0</v>
      </c>
    </row>
    <row r="42" spans="1:30" x14ac:dyDescent="0.25">
      <c r="A42" s="7" t="s">
        <v>37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>
        <f>benzene_as!O42+toluene_as!O42+'o-xylene_as'!O42+'p-xylene_as'!O42+'m-xylene_as'!O42+'b,t,x_as'!O42</f>
        <v>12531401634</v>
      </c>
      <c r="P42" s="17">
        <f>benzene_as!P42+toluene_as!P42+'o-xylene_as'!P42+'p-xylene_as'!P42+'m-xylene_as'!P42+'b,t,x_as'!P42</f>
        <v>13196808848</v>
      </c>
      <c r="Q42" s="17">
        <f>benzene_as!Q42+toluene_as!Q42+'o-xylene_as'!Q42+'p-xylene_as'!Q42+'m-xylene_as'!Q42+'b,t,x_as'!Q42</f>
        <v>12395655828</v>
      </c>
      <c r="R42" s="17">
        <f>benzene_as!R42+toluene_as!R42+'o-xylene_as'!R42+'p-xylene_as'!R42+'m-xylene_as'!R42+'b,t,x_as'!R42</f>
        <v>13491898060</v>
      </c>
      <c r="S42" s="17">
        <f>benzene_as!S42+toluene_as!S42+'o-xylene_as'!S42+'p-xylene_as'!S42+'m-xylene_as'!S42+'b,t,x_as'!S42</f>
        <v>12520337042</v>
      </c>
      <c r="T42" s="17">
        <f>benzene_as!T42+toluene_as!T42+'o-xylene_as'!T42+'p-xylene_as'!T42+'m-xylene_as'!T42+'b,t,x_as'!T42</f>
        <v>12625467331</v>
      </c>
      <c r="U42" s="17">
        <f>benzene_as!U42+toluene_as!U42+'o-xylene_as'!U42+'p-xylene_as'!U42+'m-xylene_as'!U42+'b,t,x_as'!U42</f>
        <v>12585374759</v>
      </c>
      <c r="V42" s="17">
        <f>benzene_as!V42+toluene_as!V42+'o-xylene_as'!V42+'p-xylene_as'!V42+'m-xylene_as'!V42+'b,t,x_as'!V42</f>
        <v>12373500889</v>
      </c>
      <c r="W42" s="17">
        <f>benzene_as!W42+toluene_as!W42+'o-xylene_as'!W42+'p-xylene_as'!W42+'m-xylene_as'!W42+'b,t,x_as'!W42</f>
        <v>11427169717</v>
      </c>
      <c r="X42" s="17">
        <f>benzene_as!X42+toluene_as!X42+'o-xylene_as'!X42+'p-xylene_as'!X42+'m-xylene_as'!X42+'b,t,x_as'!X42</f>
        <v>12778286950</v>
      </c>
      <c r="Y42" s="17">
        <f>benzene_as!Y42+toluene_as!Y42+'o-xylene_as'!Y42+'p-xylene_as'!Y42+'m-xylene_as'!Y42+'b,t,x_as'!Y42</f>
        <v>11320842886</v>
      </c>
      <c r="Z42" s="17">
        <f>benzene_as!Z42+toluene_as!Z42+'o-xylene_as'!Z42+'p-xylene_as'!Z42+'m-xylene_as'!Z42+'b,t,x_as'!Z42</f>
        <v>11613895788</v>
      </c>
      <c r="AA42" s="17">
        <f>benzene_as!AA42+toluene_as!AA42+'o-xylene_as'!AA42+'p-xylene_as'!AA42+'m-xylene_as'!AA42+'b,t,x_as'!AA42</f>
        <v>11174012690</v>
      </c>
      <c r="AB42" s="17">
        <f>benzene_as!AB42+toluene_as!AB42+'o-xylene_as'!AB42+'p-xylene_as'!AB42+'m-xylene_as'!AB42+'b,t,x_as'!AB42</f>
        <v>12136097705</v>
      </c>
      <c r="AC42" s="17">
        <f>benzene_as!AC42+toluene_as!AC42+'o-xylene_as'!AC42+'p-xylene_as'!AC42+'m-xylene_as'!AC42+'b,t,x_as'!AC42</f>
        <v>10364225173</v>
      </c>
      <c r="AD42" s="17">
        <f t="shared" ref="AD42:AD43" si="6">AVERAGE(O42:AC42)</f>
        <v>12168998353.333334</v>
      </c>
    </row>
    <row r="43" spans="1:30" x14ac:dyDescent="0.25">
      <c r="A43" s="7" t="s">
        <v>36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>
        <f>benzene_as!O43+toluene_as!O43+'o-xylene_as'!O43+'p-xylene_as'!O43+'m-xylene_as'!O43+'b,t,x_as'!O43</f>
        <v>12812901639</v>
      </c>
      <c r="P43" s="17">
        <f>benzene_as!P43+toluene_as!P43+'o-xylene_as'!P43+'p-xylene_as'!P43+'m-xylene_as'!P43+'b,t,x_as'!P43</f>
        <v>13393107501</v>
      </c>
      <c r="Q43" s="17">
        <f>benzene_as!Q43+toluene_as!Q43+'o-xylene_as'!Q43+'p-xylene_as'!Q43+'m-xylene_as'!Q43+'b,t,x_as'!Q43</f>
        <v>12522360738</v>
      </c>
      <c r="R43" s="17">
        <f>benzene_as!R43+toluene_as!R43+'o-xylene_as'!R43+'p-xylene_as'!R43+'m-xylene_as'!R43+'b,t,x_as'!R43</f>
        <v>13554445094</v>
      </c>
      <c r="S43" s="17">
        <f>benzene_as!S43+toluene_as!S43+'o-xylene_as'!S43+'p-xylene_as'!S43+'m-xylene_as'!S43+'b,t,x_as'!S43</f>
        <v>12523017042</v>
      </c>
      <c r="T43" s="17">
        <f>benzene_as!T43+toluene_as!T43+'o-xylene_as'!T43+'p-xylene_as'!T43+'m-xylene_as'!T43+'b,t,x_as'!T43</f>
        <v>12629038231</v>
      </c>
      <c r="U43" s="17">
        <f>benzene_as!U43+toluene_as!U43+'o-xylene_as'!U43+'p-xylene_as'!U43+'m-xylene_as'!U43+'b,t,x_as'!U43</f>
        <v>12588102173</v>
      </c>
      <c r="V43" s="17">
        <f>benzene_as!V43+toluene_as!V43+'o-xylene_as'!V43+'p-xylene_as'!V43+'m-xylene_as'!V43+'b,t,x_as'!V43</f>
        <v>12373961109</v>
      </c>
      <c r="W43" s="17">
        <f>benzene_as!W43+toluene_as!W43+'o-xylene_as'!W43+'p-xylene_as'!W43+'m-xylene_as'!W43+'b,t,x_as'!W43</f>
        <v>11427580576</v>
      </c>
      <c r="X43" s="17">
        <f>benzene_as!X43+toluene_as!X43+'o-xylene_as'!X43+'p-xylene_as'!X43+'m-xylene_as'!X43+'b,t,x_as'!X43</f>
        <v>12803826459</v>
      </c>
      <c r="Y43" s="17">
        <f>benzene_as!Y43+toluene_as!Y43+'o-xylene_as'!Y43+'p-xylene_as'!Y43+'m-xylene_as'!Y43+'b,t,x_as'!Y43</f>
        <v>11457375308</v>
      </c>
      <c r="Z43" s="17">
        <f>benzene_as!Z43+toluene_as!Z43+'o-xylene_as'!Z43+'p-xylene_as'!Z43+'m-xylene_as'!Z43+'b,t,x_as'!Z43</f>
        <v>11614611155</v>
      </c>
      <c r="AA43" s="17">
        <f>benzene_as!AA43+toluene_as!AA43+'o-xylene_as'!AA43+'p-xylene_as'!AA43+'m-xylene_as'!AA43+'b,t,x_as'!AA43</f>
        <v>0</v>
      </c>
      <c r="AB43" s="17">
        <f>benzene_as!AB43+toluene_as!AB43+'o-xylene_as'!AB43+'p-xylene_as'!AB43+'m-xylene_as'!AB43+'b,t,x_as'!AB43</f>
        <v>0</v>
      </c>
      <c r="AC43" s="17">
        <f>benzene_as!AC43+toluene_as!AC43+'o-xylene_as'!AC43+'p-xylene_as'!AC43+'m-xylene_as'!AC43+'b,t,x_as'!AC43</f>
        <v>0</v>
      </c>
      <c r="AD43" s="17">
        <f t="shared" si="6"/>
        <v>9980021801.666666</v>
      </c>
    </row>
    <row r="44" spans="1:30" x14ac:dyDescent="0.25">
      <c r="A44" s="7" t="s">
        <v>35</v>
      </c>
      <c r="B44" s="17">
        <f>benzene_as!B44+toluene_as!B44+'o-xylene_as'!B44+'p-xylene_as'!B44+'m-xylene_as'!B44+'b,t,x_as'!B44</f>
        <v>0</v>
      </c>
      <c r="C44" s="17">
        <f>benzene_as!C44+toluene_as!C44+'o-xylene_as'!C44+'p-xylene_as'!C44+'m-xylene_as'!C44+'b,t,x_as'!C44</f>
        <v>0</v>
      </c>
      <c r="D44" s="17">
        <f>benzene_as!D44+toluene_as!D44+'o-xylene_as'!D44+'p-xylene_as'!D44+'m-xylene_as'!D44+'b,t,x_as'!D44</f>
        <v>0</v>
      </c>
      <c r="E44" s="17">
        <f>benzene_as!E44+toluene_as!E44+'o-xylene_as'!E44+'p-xylene_as'!E44+'m-xylene_as'!E44+'b,t,x_as'!E44</f>
        <v>0</v>
      </c>
      <c r="F44" s="17">
        <f>benzene_as!F44+toluene_as!F44+'o-xylene_as'!F44+'p-xylene_as'!F44+'m-xylene_as'!F44+'b,t,x_as'!F44</f>
        <v>0</v>
      </c>
      <c r="G44" s="17">
        <f>benzene_as!G44+toluene_as!G44+'o-xylene_as'!G44+'p-xylene_as'!G44+'m-xylene_as'!G44+'b,t,x_as'!G44</f>
        <v>0</v>
      </c>
      <c r="H44" s="17">
        <f>benzene_as!H44+toluene_as!H44+'o-xylene_as'!H44+'p-xylene_as'!H44+'m-xylene_as'!H44+'b,t,x_as'!H44</f>
        <v>0</v>
      </c>
      <c r="I44" s="17">
        <f>benzene_as!I44+toluene_as!I44+'o-xylene_as'!I44+'p-xylene_as'!I44+'m-xylene_as'!I44+'b,t,x_as'!I44</f>
        <v>0</v>
      </c>
      <c r="J44" s="17"/>
      <c r="K44" s="17"/>
      <c r="L44" s="17"/>
      <c r="M44" s="17"/>
      <c r="N44" s="17"/>
      <c r="O44" s="17">
        <f>benzene_as!O44+toluene_as!O44+'o-xylene_as'!O44+'p-xylene_as'!O44+'m-xylene_as'!O44+'b,t,x_as'!O44</f>
        <v>0</v>
      </c>
      <c r="P44" s="17">
        <f>benzene_as!P44+toluene_as!P44+'o-xylene_as'!P44+'p-xylene_as'!P44+'m-xylene_as'!P44+'b,t,x_as'!P44</f>
        <v>0</v>
      </c>
      <c r="Q44" s="17">
        <f>benzene_as!Q44+toluene_as!Q44+'o-xylene_as'!Q44+'p-xylene_as'!Q44+'m-xylene_as'!Q44+'b,t,x_as'!Q44</f>
        <v>0</v>
      </c>
      <c r="R44" s="17">
        <f>benzene_as!R44+toluene_as!R44+'o-xylene_as'!R44+'p-xylene_as'!R44+'m-xylene_as'!R44+'b,t,x_as'!R44</f>
        <v>0</v>
      </c>
      <c r="S44" s="17">
        <f>benzene_as!S44+toluene_as!S44+'o-xylene_as'!S44+'p-xylene_as'!S44+'m-xylene_as'!S44+'b,t,x_as'!S44</f>
        <v>0</v>
      </c>
      <c r="T44" s="17">
        <f>benzene_as!T44+toluene_as!T44+'o-xylene_as'!T44+'p-xylene_as'!T44+'m-xylene_as'!T44+'b,t,x_as'!T44</f>
        <v>0</v>
      </c>
      <c r="U44" s="17">
        <f>benzene_as!U44+toluene_as!U44+'o-xylene_as'!U44+'p-xylene_as'!U44+'m-xylene_as'!U44+'b,t,x_as'!U44</f>
        <v>0</v>
      </c>
      <c r="V44" s="17">
        <f>benzene_as!V44+toluene_as!V44+'o-xylene_as'!V44+'p-xylene_as'!V44+'m-xylene_as'!V44+'b,t,x_as'!V44</f>
        <v>0</v>
      </c>
      <c r="W44" s="17">
        <f>benzene_as!W44+toluene_as!W44+'o-xylene_as'!W44+'p-xylene_as'!W44+'m-xylene_as'!W44+'b,t,x_as'!W44</f>
        <v>0</v>
      </c>
      <c r="X44" s="17">
        <f>benzene_as!X44+toluene_as!X44+'o-xylene_as'!X44+'p-xylene_as'!X44+'m-xylene_as'!X44+'b,t,x_as'!X44</f>
        <v>0</v>
      </c>
      <c r="Y44" s="17">
        <f>benzene_as!Y44+toluene_as!Y44+'o-xylene_as'!Y44+'p-xylene_as'!Y44+'m-xylene_as'!Y44+'b,t,x_as'!Y44</f>
        <v>0</v>
      </c>
      <c r="Z44" s="17">
        <f>benzene_as!Z44+toluene_as!Z44+'o-xylene_as'!Z44+'p-xylene_as'!Z44+'m-xylene_as'!Z44+'b,t,x_as'!Z44</f>
        <v>0</v>
      </c>
      <c r="AA44" s="17">
        <f>benzene_as!AA44+toluene_as!AA44+'o-xylene_as'!AA44+'p-xylene_as'!AA44+'m-xylene_as'!AA44+'b,t,x_as'!AA44</f>
        <v>0</v>
      </c>
      <c r="AB44" s="17">
        <f>benzene_as!AB44+toluene_as!AB44+'o-xylene_as'!AB44+'p-xylene_as'!AB44+'m-xylene_as'!AB44+'b,t,x_as'!AB44</f>
        <v>0</v>
      </c>
      <c r="AC44" s="17">
        <f>benzene_as!AC44+toluene_as!AC44+'o-xylene_as'!AC44+'p-xylene_as'!AC44+'m-xylene_as'!AC44+'b,t,x_as'!AC44</f>
        <v>0</v>
      </c>
      <c r="AD44">
        <v>0</v>
      </c>
    </row>
    <row r="45" spans="1:30" x14ac:dyDescent="0.25">
      <c r="A45" s="3" t="s">
        <v>43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>
        <f>benzene_as!P45+toluene_as!P45+'o-xylene_as'!P45+'p-xylene_as'!P45+'m-xylene_as'!P45+'b,t,x_as'!P45</f>
        <v>1116.7939999999999</v>
      </c>
      <c r="Q45" s="17">
        <f>benzene_as!Q45+toluene_as!Q45+'o-xylene_as'!Q45+'p-xylene_as'!Q45+'m-xylene_as'!Q45+'b,t,x_as'!Q45</f>
        <v>1489.1619999999998</v>
      </c>
      <c r="R45" s="17">
        <f>benzene_as!R45+toluene_as!R45+'o-xylene_as'!R45+'p-xylene_as'!R45+'m-xylene_as'!R45+'b,t,x_as'!R45</f>
        <v>1668.386</v>
      </c>
      <c r="S45" s="17">
        <f>benzene_as!S45+toluene_as!S45+'o-xylene_as'!S45+'p-xylene_as'!S45+'m-xylene_as'!S45+'b,t,x_as'!S45</f>
        <v>522.08000000000004</v>
      </c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>
        <f>AVERAGE(R45:S45)</f>
        <v>1095.2329999999999</v>
      </c>
    </row>
    <row r="46" spans="1:30" x14ac:dyDescent="0.25">
      <c r="A46" s="11" t="s">
        <v>45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>
        <f>benzene_as!N46+toluene_as!N46+'o-xylene_as'!N46+'p-xylene_as'!N46+'m-xylene_as'!N46+'b,t,x_as'!N46</f>
        <v>158.19999999999999</v>
      </c>
      <c r="O46" s="17" t="e">
        <f>benzene_as!O46+toluene_as!O46+'o-xylene_as'!O46+'p-xylene_as'!O46+'m-xylene_as'!O46+'b,t,x_as'!O46</f>
        <v>#VALUE!</v>
      </c>
      <c r="P46" s="18">
        <f>benzene_as!P46+toluene_as!P46+'o-xylene_as'!P46+'p-xylene_as'!P46+'m-xylene_as'!P46+'b,t,x_as'!P46</f>
        <v>189.60000000000002</v>
      </c>
      <c r="Q46" s="18">
        <f>benzene_as!Q46+toluene_as!Q46+'o-xylene_as'!Q46+'p-xylene_as'!Q46+'m-xylene_as'!Q46+'b,t,x_as'!Q46</f>
        <v>237.4</v>
      </c>
      <c r="R46" s="18">
        <f>benzene_as!R46+toluene_as!R46+'o-xylene_as'!R46+'p-xylene_as'!R46+'m-xylene_as'!R46+'b,t,x_as'!R46</f>
        <v>277.3</v>
      </c>
      <c r="S46" s="18">
        <f>benzene_as!S46+toluene_as!S46+'o-xylene_as'!S46+'p-xylene_as'!S46+'m-xylene_as'!S46+'b,t,x_as'!S46</f>
        <v>196.29999999999998</v>
      </c>
      <c r="T46" s="18">
        <f>benzene_as!T46+toluene_as!T46+'o-xylene_as'!T46+'p-xylene_as'!T46+'m-xylene_as'!T46+'b,t,x_as'!T46</f>
        <v>136.79999999999998</v>
      </c>
      <c r="U46" s="18">
        <f>benzene_as!U46+toluene_as!U46+'o-xylene_as'!U46+'p-xylene_as'!U46+'m-xylene_as'!U46+'b,t,x_as'!U46</f>
        <v>88.6</v>
      </c>
      <c r="V46" s="17">
        <f>benzene_as!V46+toluene_as!V46+'o-xylene_as'!V46+'p-xylene_as'!V46+'m-xylene_as'!V46+'b,t,x_as'!V46</f>
        <v>196.1</v>
      </c>
      <c r="W46" s="17"/>
      <c r="X46" s="17"/>
      <c r="Y46" s="17"/>
      <c r="Z46" s="17"/>
      <c r="AA46" s="17"/>
      <c r="AB46" s="17"/>
      <c r="AC46" s="17"/>
      <c r="AD46" s="17">
        <f>AVERAGE(N46,V46)</f>
        <v>177.14999999999998</v>
      </c>
    </row>
    <row r="47" spans="1:30" x14ac:dyDescent="0.25">
      <c r="A47" s="11" t="s">
        <v>48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>
        <f>benzene_as!N47+toluene_as!N47+'o-xylene_as'!N47+'p-xylene_as'!N47+'m-xylene_as'!N47+'b,t,x_as'!N47</f>
        <v>399.5</v>
      </c>
      <c r="O47" s="17">
        <f>benzene_as!O47+toluene_as!O47+'o-xylene_as'!O47+'p-xylene_as'!O47+'m-xylene_as'!O47+'b,t,x_as'!O47</f>
        <v>476.9</v>
      </c>
      <c r="P47" s="17">
        <f>benzene_as!P47+toluene_as!P47+'o-xylene_as'!P47+'p-xylene_as'!P47+'m-xylene_as'!P47+'b,t,x_as'!P47</f>
        <v>274.79999999999995</v>
      </c>
      <c r="Q47" s="17">
        <f>benzene_as!Q47+toluene_as!Q47+'o-xylene_as'!Q47+'p-xylene_as'!Q47+'m-xylene_as'!Q47+'b,t,x_as'!Q47</f>
        <v>242.4</v>
      </c>
      <c r="R47" s="17">
        <f>benzene_as!R47+toluene_as!R47+'o-xylene_as'!R47+'p-xylene_as'!R47+'m-xylene_as'!R47+'b,t,x_as'!R47</f>
        <v>247.79999999999998</v>
      </c>
      <c r="S47" s="17">
        <f>benzene_as!S47+toluene_as!S47+'o-xylene_as'!S47+'p-xylene_as'!S47+'m-xylene_as'!S47+'b,t,x_as'!S47</f>
        <v>237.29999999999998</v>
      </c>
      <c r="T47" s="17">
        <f>benzene_as!T47+toluene_as!T47+'o-xylene_as'!T47+'p-xylene_as'!T47+'m-xylene_as'!T47+'b,t,x_as'!T47</f>
        <v>128.70000000000002</v>
      </c>
      <c r="U47" s="17">
        <f>benzene_as!U47+toluene_as!U47+'o-xylene_as'!U47+'p-xylene_as'!U47+'m-xylene_as'!U47+'b,t,x_as'!U47</f>
        <v>141.9</v>
      </c>
      <c r="V47" s="17">
        <f>benzene_as!V47+toluene_as!V47+'o-xylene_as'!V47+'p-xylene_as'!V47+'m-xylene_as'!V47+'b,t,x_as'!V47</f>
        <v>129.19999999999999</v>
      </c>
      <c r="W47" s="17"/>
      <c r="X47" s="17"/>
      <c r="Y47" s="17"/>
      <c r="Z47" s="17"/>
      <c r="AA47" s="17"/>
      <c r="AB47" s="17"/>
      <c r="AC47" s="17"/>
      <c r="AD47" s="17">
        <f>AVERAGE(T47:V47)</f>
        <v>133.26666666666668</v>
      </c>
    </row>
    <row r="48" spans="1:30" x14ac:dyDescent="0.25">
      <c r="A48" t="s">
        <v>47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>
        <f>benzene_as!N48+toluene_as!N48+'o-xylene_as'!N48+'p-xylene_as'!N48+'m-xylene_as'!N48+'b,t,x_as'!N48</f>
        <v>284.14</v>
      </c>
      <c r="O48" s="17">
        <f>benzene_as!O48+toluene_as!O48+'o-xylene_as'!O48+'p-xylene_as'!O48+'m-xylene_as'!O48+'b,t,x_as'!O48</f>
        <v>295.2</v>
      </c>
      <c r="P48" s="17">
        <f>benzene_as!P48+toluene_as!P48+'o-xylene_as'!P48+'p-xylene_as'!P48+'m-xylene_as'!P48+'b,t,x_as'!P48</f>
        <v>234.32999999999998</v>
      </c>
      <c r="Q48" s="17">
        <f>benzene_as!Q48+toluene_as!Q48+'o-xylene_as'!Q48+'p-xylene_as'!Q48+'m-xylene_as'!Q48+'b,t,x_as'!Q48</f>
        <v>252.5</v>
      </c>
      <c r="R48" s="17">
        <f>benzene_as!R48+toluene_as!R48+'o-xylene_as'!R48+'p-xylene_as'!R48+'m-xylene_as'!R48+'b,t,x_as'!R48</f>
        <v>271</v>
      </c>
      <c r="S48" s="17">
        <f>benzene_as!S48+toluene_as!S48+'o-xylene_as'!S48+'p-xylene_as'!S48+'m-xylene_as'!S48+'b,t,x_as'!S48</f>
        <v>188.99</v>
      </c>
      <c r="T48" s="17">
        <f>benzene_as!T48+toluene_as!T48+'o-xylene_as'!T48+'p-xylene_as'!T48+'m-xylene_as'!T48+'b,t,x_as'!T48</f>
        <v>130.9</v>
      </c>
      <c r="U48" s="17">
        <f>benzene_as!U48+toluene_as!U48+'o-xylene_as'!U48+'p-xylene_as'!U48+'m-xylene_as'!U48+'b,t,x_as'!U48</f>
        <v>76.990000000000009</v>
      </c>
      <c r="V48" s="17">
        <f>benzene_as!V48+toluene_as!V48+'o-xylene_as'!V48+'p-xylene_as'!V48+'m-xylene_as'!V48+'b,t,x_as'!V48</f>
        <v>83.75</v>
      </c>
      <c r="W48" s="17"/>
      <c r="X48" s="17"/>
      <c r="Y48" s="17"/>
      <c r="Z48" s="17"/>
      <c r="AA48" s="17"/>
      <c r="AB48" s="17"/>
      <c r="AC48" s="17"/>
      <c r="AD48" s="17">
        <f>AVERAGE(T48:V48)</f>
        <v>97.213333333333324</v>
      </c>
    </row>
    <row r="49" spans="1:30" x14ac:dyDescent="0.25">
      <c r="A49" s="3" t="s">
        <v>49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>
        <f>benzene_as!N49+toluene_as!N49+'o-xylene_as'!N49+'p-xylene_as'!N49+'m-xylene_as'!N49+'b,t,x_as'!N49</f>
        <v>696.69999999999993</v>
      </c>
      <c r="O49" s="17">
        <f>benzene_as!O49+toluene_as!O49+'o-xylene_as'!O49+'p-xylene_as'!O49+'m-xylene_as'!O49+'b,t,x_as'!O49</f>
        <v>713.8</v>
      </c>
      <c r="P49" s="17">
        <f>benzene_as!P49+toluene_as!P49+'o-xylene_as'!P49+'p-xylene_as'!P49+'m-xylene_as'!P49+'b,t,x_as'!P49</f>
        <v>472.3</v>
      </c>
      <c r="Q49" s="17">
        <f>benzene_as!Q49+toluene_as!Q49+'o-xylene_as'!Q49+'p-xylene_as'!Q49+'m-xylene_as'!Q49+'b,t,x_as'!Q49</f>
        <v>523.80000000000007</v>
      </c>
      <c r="R49" s="17">
        <f>benzene_as!R49+toluene_as!R49+'o-xylene_as'!R49+'p-xylene_as'!R49+'m-xylene_as'!R49+'b,t,x_as'!R49</f>
        <v>401.9</v>
      </c>
      <c r="S49" s="17">
        <f>benzene_as!S49+toluene_as!S49+'o-xylene_as'!S49+'p-xylene_as'!S49+'m-xylene_as'!S49+'b,t,x_as'!S49</f>
        <v>330.7</v>
      </c>
      <c r="T49" s="17">
        <f>benzene_as!T49+toluene_as!T49+'o-xylene_as'!T49+'p-xylene_as'!T49+'m-xylene_as'!T49+'b,t,x_as'!T49</f>
        <v>228.79999999999998</v>
      </c>
      <c r="U49" s="17">
        <f>benzene_as!U49+toluene_as!U49+'o-xylene_as'!U49+'p-xylene_as'!U49+'m-xylene_as'!U49+'b,t,x_as'!U49</f>
        <v>154.4</v>
      </c>
      <c r="V49" s="17">
        <f>benzene_as!V49+toluene_as!V49+'o-xylene_as'!V49+'p-xylene_as'!V49+'m-xylene_as'!V49+'b,t,x_as'!V49</f>
        <v>103.6</v>
      </c>
      <c r="W49" s="17"/>
      <c r="X49" s="17"/>
      <c r="Y49" s="17"/>
      <c r="Z49" s="17"/>
      <c r="AA49" s="17"/>
      <c r="AB49" s="17"/>
      <c r="AC49" s="17"/>
      <c r="AD49" s="17">
        <f>AVERAGE(T49:V49)</f>
        <v>162.26666666666665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F12" sqref="F12"/>
    </sheetView>
  </sheetViews>
  <sheetFormatPr baseColWidth="10" defaultRowHeight="15" x14ac:dyDescent="0.25"/>
  <cols>
    <col min="1" max="1" width="16.28515625" bestFit="1" customWidth="1"/>
    <col min="3" max="3" width="21.42578125" bestFit="1" customWidth="1"/>
    <col min="4" max="4" width="67.42578125" customWidth="1"/>
  </cols>
  <sheetData>
    <row r="1" spans="1:6" x14ac:dyDescent="0.25">
      <c r="A1" t="s">
        <v>80</v>
      </c>
      <c r="B1" t="s">
        <v>50</v>
      </c>
    </row>
    <row r="3" spans="1:6" x14ac:dyDescent="0.25">
      <c r="A3" t="s">
        <v>81</v>
      </c>
      <c r="B3" t="s">
        <v>51</v>
      </c>
      <c r="C3" t="s">
        <v>52</v>
      </c>
      <c r="D3" s="14" t="s">
        <v>106</v>
      </c>
      <c r="E3" t="s">
        <v>42</v>
      </c>
      <c r="F3" t="s">
        <v>107</v>
      </c>
    </row>
    <row r="4" spans="1:6" x14ac:dyDescent="0.25">
      <c r="B4" t="s">
        <v>53</v>
      </c>
      <c r="C4" t="s">
        <v>73</v>
      </c>
      <c r="E4" t="s">
        <v>82</v>
      </c>
    </row>
    <row r="5" spans="1:6" ht="15.75" x14ac:dyDescent="0.25">
      <c r="B5" t="s">
        <v>54</v>
      </c>
      <c r="C5" t="s">
        <v>92</v>
      </c>
      <c r="E5" s="25" t="s">
        <v>93</v>
      </c>
    </row>
    <row r="6" spans="1:6" x14ac:dyDescent="0.25">
      <c r="B6" t="s">
        <v>65</v>
      </c>
      <c r="C6" t="s">
        <v>99</v>
      </c>
      <c r="E6" s="13" t="s">
        <v>96</v>
      </c>
    </row>
    <row r="7" spans="1:6" x14ac:dyDescent="0.25">
      <c r="B7" t="s">
        <v>91</v>
      </c>
      <c r="C7" t="s">
        <v>100</v>
      </c>
      <c r="E7" s="13" t="s">
        <v>102</v>
      </c>
    </row>
    <row r="8" spans="1:6" x14ac:dyDescent="0.25">
      <c r="B8" t="s">
        <v>97</v>
      </c>
      <c r="C8" t="s">
        <v>43</v>
      </c>
      <c r="E8" s="13" t="s">
        <v>83</v>
      </c>
    </row>
    <row r="9" spans="1:6" x14ac:dyDescent="0.25">
      <c r="B9" t="s">
        <v>98</v>
      </c>
      <c r="C9" t="s">
        <v>55</v>
      </c>
      <c r="E9" s="13" t="s">
        <v>84</v>
      </c>
    </row>
    <row r="11" spans="1:6" ht="30" x14ac:dyDescent="0.25">
      <c r="A11" t="s">
        <v>85</v>
      </c>
      <c r="B11" t="s">
        <v>56</v>
      </c>
      <c r="C11" t="s">
        <v>63</v>
      </c>
      <c r="D11" s="14" t="s">
        <v>64</v>
      </c>
      <c r="F11" t="s">
        <v>108</v>
      </c>
    </row>
    <row r="12" spans="1:6" x14ac:dyDescent="0.25">
      <c r="B12" t="s">
        <v>58</v>
      </c>
      <c r="D12" t="s">
        <v>67</v>
      </c>
      <c r="E12" t="s">
        <v>68</v>
      </c>
    </row>
    <row r="13" spans="1:6" x14ac:dyDescent="0.25">
      <c r="B13" t="s">
        <v>62</v>
      </c>
      <c r="D13" t="s">
        <v>104</v>
      </c>
    </row>
    <row r="14" spans="1:6" x14ac:dyDescent="0.25">
      <c r="B14" t="s">
        <v>66</v>
      </c>
      <c r="C14" t="s">
        <v>55</v>
      </c>
      <c r="D14" t="s">
        <v>57</v>
      </c>
    </row>
    <row r="15" spans="1:6" x14ac:dyDescent="0.25">
      <c r="B15" t="s">
        <v>103</v>
      </c>
      <c r="C15" t="s">
        <v>44</v>
      </c>
    </row>
    <row r="17" spans="1:6" x14ac:dyDescent="0.25">
      <c r="A17" t="s">
        <v>59</v>
      </c>
      <c r="B17" t="s">
        <v>60</v>
      </c>
      <c r="C17" s="3" t="s">
        <v>43</v>
      </c>
      <c r="D17" s="3" t="s">
        <v>86</v>
      </c>
      <c r="E17" s="13" t="s">
        <v>87</v>
      </c>
      <c r="F17" t="s">
        <v>61</v>
      </c>
    </row>
  </sheetData>
  <phoneticPr fontId="10" type="noConversion"/>
  <hyperlinks>
    <hyperlink ref="E8" r:id="rId1" display="https://s3-us-west-2.amazonaws.com/okchem-o/image/201810/af95dc78-926f-43f5-a1ef-e5b3cb058c9b.pdf" xr:uid="{BC20224F-AE7E-4D3A-8074-55A779A4F297}"/>
    <hyperlink ref="E17" r:id="rId2" display="https://documents1.worldbank.org/curated/en/218651468749800678/pdf/multi-page.pdf" xr:uid="{828ECDA0-5A06-4754-B18F-0A357862EABE}"/>
    <hyperlink ref="E9" r:id="rId3" display="https://app.indexbox.io/analyze/270710h270720h270730/764/" xr:uid="{566E92B1-126A-4C1F-9C26-069894ABDAA8}"/>
    <hyperlink ref="E6" r:id="rId4" xr:uid="{4E25CE79-48FA-411D-BE76-41C60B2A3481}"/>
    <hyperlink ref="E7" r:id="rId5" xr:uid="{087E9E44-0F26-49F1-B7CD-AB634614DAAB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7"/>
  <sheetViews>
    <sheetView zoomScale="85" zoomScaleNormal="85" workbookViewId="0">
      <selection activeCell="B2" sqref="B2"/>
    </sheetView>
  </sheetViews>
  <sheetFormatPr baseColWidth="10" defaultColWidth="10.28515625" defaultRowHeight="14.25" x14ac:dyDescent="0.2"/>
  <cols>
    <col min="1" max="1" width="17" style="3" customWidth="1"/>
    <col min="2" max="2" width="10.28515625" style="3"/>
    <col min="3" max="3" width="11.140625" style="3" bestFit="1" customWidth="1"/>
    <col min="4" max="14" width="10.28515625" style="3"/>
    <col min="15" max="15" width="11.140625" style="3" bestFit="1" customWidth="1"/>
    <col min="16" max="16384" width="10.28515625" style="3"/>
  </cols>
  <sheetData>
    <row r="1" spans="1:29" ht="15" x14ac:dyDescent="0.25">
      <c r="A1" s="15" t="s">
        <v>71</v>
      </c>
      <c r="B1"/>
      <c r="C1"/>
      <c r="D1"/>
    </row>
    <row r="2" spans="1:29" ht="15" x14ac:dyDescent="0.25">
      <c r="A2" s="15" t="s">
        <v>88</v>
      </c>
      <c r="B2" s="16" t="s">
        <v>72</v>
      </c>
      <c r="C2"/>
      <c r="D2"/>
    </row>
    <row r="3" spans="1:29" ht="15" x14ac:dyDescent="0.25">
      <c r="A3" s="15" t="s">
        <v>89</v>
      </c>
      <c r="B3" s="15" t="s">
        <v>90</v>
      </c>
      <c r="C3"/>
      <c r="D3"/>
    </row>
    <row r="4" spans="1:29" ht="15" x14ac:dyDescent="0.25">
      <c r="A4"/>
      <c r="B4"/>
      <c r="C4"/>
      <c r="D4"/>
    </row>
    <row r="5" spans="1:29" ht="15" x14ac:dyDescent="0.25">
      <c r="A5" s="16" t="s">
        <v>41</v>
      </c>
      <c r="B5"/>
      <c r="C5" s="15" t="s">
        <v>73</v>
      </c>
      <c r="D5"/>
    </row>
    <row r="6" spans="1:29" ht="15" x14ac:dyDescent="0.25">
      <c r="A6" s="16" t="s">
        <v>40</v>
      </c>
      <c r="B6"/>
      <c r="C6" s="15" t="s">
        <v>39</v>
      </c>
      <c r="D6"/>
    </row>
    <row r="7" spans="1:29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</row>
    <row r="8" spans="1:29" x14ac:dyDescent="0.2">
      <c r="A8" s="7" t="s">
        <v>1</v>
      </c>
      <c r="B8" s="6"/>
      <c r="C8" s="5">
        <v>895342000</v>
      </c>
      <c r="D8" s="5">
        <v>884378000</v>
      </c>
      <c r="E8" s="5">
        <v>917483000</v>
      </c>
      <c r="F8" s="5">
        <v>939086000</v>
      </c>
      <c r="G8" s="5">
        <v>947559000</v>
      </c>
      <c r="H8" s="5">
        <v>919777000</v>
      </c>
      <c r="I8" s="5">
        <v>946269000</v>
      </c>
      <c r="J8" s="6"/>
      <c r="K8" s="6"/>
      <c r="L8" s="6"/>
      <c r="M8" s="6"/>
      <c r="N8" s="6"/>
      <c r="O8" s="5">
        <v>1034988180</v>
      </c>
      <c r="P8" s="5">
        <v>1135845000</v>
      </c>
      <c r="Q8" s="5">
        <v>969314000</v>
      </c>
      <c r="R8" s="5">
        <v>1133415000</v>
      </c>
      <c r="S8" s="5">
        <v>841271000</v>
      </c>
      <c r="T8" s="5">
        <v>1022348000</v>
      </c>
      <c r="U8" s="5">
        <v>1139067000</v>
      </c>
      <c r="V8" s="5">
        <v>817970000</v>
      </c>
      <c r="W8" s="5">
        <v>726597952</v>
      </c>
      <c r="X8" s="5">
        <v>856389375</v>
      </c>
      <c r="Y8" s="5">
        <v>658615000</v>
      </c>
      <c r="Z8" s="5">
        <v>749861000</v>
      </c>
      <c r="AA8" s="5">
        <v>771345250</v>
      </c>
      <c r="AB8" s="5">
        <v>873261733</v>
      </c>
      <c r="AC8" s="5">
        <v>943105669</v>
      </c>
    </row>
    <row r="9" spans="1:29" x14ac:dyDescent="0.2">
      <c r="A9" s="7" t="s">
        <v>2</v>
      </c>
      <c r="B9" s="5">
        <v>1114000000</v>
      </c>
      <c r="C9" s="5">
        <v>1012000000</v>
      </c>
      <c r="D9" s="5">
        <v>637949000</v>
      </c>
      <c r="E9" s="5">
        <v>703647000</v>
      </c>
      <c r="F9" s="5">
        <v>718382000</v>
      </c>
      <c r="G9" s="5">
        <v>915223000</v>
      </c>
      <c r="H9" s="5">
        <v>983904000</v>
      </c>
      <c r="I9" s="6"/>
      <c r="J9" s="6"/>
      <c r="K9" s="6"/>
      <c r="L9" s="6"/>
      <c r="M9" s="6"/>
      <c r="N9" s="6"/>
      <c r="O9" s="5">
        <v>647173000</v>
      </c>
      <c r="P9" s="5">
        <v>773977000</v>
      </c>
      <c r="Q9" s="5">
        <v>1188372000</v>
      </c>
      <c r="R9" s="6"/>
      <c r="S9" s="5">
        <v>955024000</v>
      </c>
      <c r="T9" s="5">
        <v>793071000</v>
      </c>
      <c r="U9" s="5">
        <v>739634000</v>
      </c>
      <c r="V9" s="5">
        <v>1171366000</v>
      </c>
      <c r="W9" s="5">
        <v>974617000</v>
      </c>
      <c r="X9" s="5">
        <v>1267968000</v>
      </c>
      <c r="Y9" s="5">
        <v>1256967000</v>
      </c>
      <c r="Z9" s="5">
        <v>1102299000</v>
      </c>
      <c r="AA9" s="5">
        <v>1219556000</v>
      </c>
      <c r="AB9" s="5">
        <v>1878968000</v>
      </c>
      <c r="AC9" s="5">
        <v>1062796000</v>
      </c>
    </row>
    <row r="10" spans="1:29" x14ac:dyDescent="0.2">
      <c r="A10" s="7" t="s">
        <v>3</v>
      </c>
      <c r="B10" s="5">
        <v>2546437000</v>
      </c>
      <c r="C10" s="5">
        <v>2574509000</v>
      </c>
      <c r="D10" s="5">
        <v>2671114000</v>
      </c>
      <c r="E10" s="5">
        <v>2349865000</v>
      </c>
      <c r="F10" s="5">
        <v>2282254000</v>
      </c>
      <c r="G10" s="5">
        <v>2767081000</v>
      </c>
      <c r="H10" s="5">
        <v>2600199000</v>
      </c>
      <c r="I10" s="5">
        <v>2105507000</v>
      </c>
      <c r="J10" s="6"/>
      <c r="K10" s="6"/>
      <c r="L10" s="6"/>
      <c r="M10" s="6"/>
      <c r="N10" s="6"/>
      <c r="O10" s="5">
        <v>2017951000</v>
      </c>
      <c r="P10" s="5">
        <v>1658578000</v>
      </c>
      <c r="Q10" s="5">
        <v>1874266000</v>
      </c>
      <c r="R10" s="5">
        <v>1804584000</v>
      </c>
      <c r="S10" s="5">
        <v>1774264000</v>
      </c>
      <c r="T10" s="5">
        <v>1962624000</v>
      </c>
      <c r="U10" s="5">
        <v>2150061000</v>
      </c>
      <c r="V10" s="5">
        <v>1968893000</v>
      </c>
      <c r="W10" s="5">
        <v>1887665000</v>
      </c>
      <c r="X10" s="5">
        <v>1799216000</v>
      </c>
      <c r="Y10" s="5">
        <v>1514480000</v>
      </c>
      <c r="Z10" s="5">
        <v>1514568000</v>
      </c>
      <c r="AA10" s="5">
        <v>1527703000</v>
      </c>
      <c r="AB10" s="5">
        <v>1577905000</v>
      </c>
      <c r="AC10" s="5">
        <v>1422518000</v>
      </c>
    </row>
    <row r="11" spans="1:29" x14ac:dyDescent="0.2">
      <c r="A11" s="7" t="s">
        <v>4</v>
      </c>
      <c r="B11" s="6"/>
      <c r="C11" s="5">
        <v>0</v>
      </c>
      <c r="D11" s="5">
        <v>0</v>
      </c>
      <c r="E11" s="6"/>
      <c r="F11" s="6"/>
      <c r="G11" s="6"/>
      <c r="H11" s="5">
        <v>0</v>
      </c>
      <c r="I11" s="5">
        <v>0</v>
      </c>
      <c r="J11" s="6"/>
      <c r="K11" s="6"/>
      <c r="L11" s="6"/>
      <c r="M11" s="6"/>
      <c r="N11" s="6"/>
      <c r="O11" s="5">
        <v>570705000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5"/>
      <c r="AA11" s="5"/>
      <c r="AB11" s="5"/>
      <c r="AC11" s="5"/>
    </row>
    <row r="12" spans="1:29" x14ac:dyDescent="0.2">
      <c r="A12" s="7" t="s">
        <v>5</v>
      </c>
      <c r="B12" s="5">
        <v>597251971</v>
      </c>
      <c r="C12" s="5">
        <v>526591739</v>
      </c>
      <c r="D12" s="5">
        <v>503406462</v>
      </c>
      <c r="E12" s="5">
        <v>680037213</v>
      </c>
      <c r="F12" s="5">
        <v>1205256143</v>
      </c>
      <c r="G12" s="5">
        <v>1435716128</v>
      </c>
      <c r="H12" s="6"/>
      <c r="I12" s="5">
        <v>1360021078</v>
      </c>
      <c r="J12" s="6"/>
      <c r="K12" s="6"/>
      <c r="L12" s="6"/>
      <c r="M12" s="6"/>
      <c r="N12" s="6"/>
      <c r="O12" s="6"/>
      <c r="P12" s="5">
        <v>156200653</v>
      </c>
      <c r="Q12" s="5">
        <v>123841443</v>
      </c>
      <c r="R12" s="6"/>
      <c r="S12" s="6"/>
      <c r="T12" s="6"/>
      <c r="U12" s="6"/>
      <c r="V12" s="6"/>
      <c r="W12" s="6"/>
      <c r="X12" s="5">
        <v>0</v>
      </c>
      <c r="Y12" s="6"/>
      <c r="Z12" s="5">
        <v>0</v>
      </c>
      <c r="AA12" s="5"/>
      <c r="AB12" s="5"/>
      <c r="AC12" s="5"/>
    </row>
    <row r="13" spans="1:29" x14ac:dyDescent="0.2">
      <c r="A13" s="7" t="s">
        <v>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/>
      <c r="AC13" s="5"/>
    </row>
    <row r="14" spans="1:29" x14ac:dyDescent="0.2">
      <c r="A14" s="7" t="s">
        <v>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6"/>
      <c r="K14" s="6"/>
      <c r="L14" s="6"/>
      <c r="M14" s="6"/>
      <c r="N14" s="6"/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/>
      <c r="AC14" s="5"/>
    </row>
    <row r="15" spans="1:29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</row>
    <row r="16" spans="1:29" x14ac:dyDescent="0.2">
      <c r="A16" s="7" t="s">
        <v>9</v>
      </c>
      <c r="B16" s="6"/>
      <c r="C16" s="6"/>
      <c r="D16" s="6"/>
      <c r="E16" s="6"/>
      <c r="F16" s="6"/>
      <c r="G16" s="5">
        <v>64043836</v>
      </c>
      <c r="H16" s="5">
        <v>46822239</v>
      </c>
      <c r="I16" s="5">
        <v>54284200</v>
      </c>
      <c r="J16" s="6"/>
      <c r="K16" s="6"/>
      <c r="L16" s="6"/>
      <c r="M16" s="6"/>
      <c r="N16" s="6"/>
      <c r="O16" s="5">
        <v>53404978</v>
      </c>
      <c r="P16" s="5">
        <v>47771655</v>
      </c>
      <c r="Q16" s="5">
        <v>35753764</v>
      </c>
      <c r="R16" s="5">
        <v>37568889</v>
      </c>
      <c r="S16" s="5">
        <v>36752008</v>
      </c>
      <c r="T16" s="5">
        <v>47730760</v>
      </c>
      <c r="U16" s="5">
        <v>36074600</v>
      </c>
      <c r="V16" s="5">
        <v>41181000</v>
      </c>
      <c r="W16" s="5">
        <v>41017984</v>
      </c>
      <c r="X16" s="6"/>
      <c r="Y16" s="6"/>
      <c r="Z16" s="5"/>
      <c r="AA16" s="5">
        <v>38572060</v>
      </c>
      <c r="AB16" s="5"/>
      <c r="AC16" s="5"/>
    </row>
    <row r="17" spans="1:29" x14ac:dyDescent="0.2">
      <c r="A17" s="7" t="s">
        <v>10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5"/>
      <c r="AA17" s="5"/>
      <c r="AB17" s="5"/>
      <c r="AC17" s="5"/>
    </row>
    <row r="18" spans="1:29" x14ac:dyDescent="0.2">
      <c r="A18" s="7" t="s">
        <v>11</v>
      </c>
      <c r="B18" s="6"/>
      <c r="C18" s="6"/>
      <c r="D18" s="6"/>
      <c r="E18" s="6"/>
      <c r="F18" s="6"/>
      <c r="G18" s="5">
        <v>817291289</v>
      </c>
      <c r="H18" s="5">
        <v>809407070</v>
      </c>
      <c r="I18" s="5">
        <v>616436000</v>
      </c>
      <c r="J18" s="6"/>
      <c r="K18" s="6"/>
      <c r="L18" s="6"/>
      <c r="M18" s="6"/>
      <c r="N18" s="6"/>
      <c r="O18" s="5">
        <v>477337942</v>
      </c>
      <c r="P18" s="5">
        <v>493456512</v>
      </c>
      <c r="Q18" s="5">
        <v>569884075</v>
      </c>
      <c r="R18" s="5">
        <v>568495258</v>
      </c>
      <c r="S18" s="5">
        <v>543381586</v>
      </c>
      <c r="T18" s="5">
        <v>477889971</v>
      </c>
      <c r="U18" s="5">
        <v>513372023</v>
      </c>
      <c r="V18" s="5">
        <v>426228110</v>
      </c>
      <c r="W18" s="5">
        <v>488954705</v>
      </c>
      <c r="X18" s="5">
        <v>558171658</v>
      </c>
      <c r="Y18" s="5">
        <v>435976348</v>
      </c>
      <c r="Z18" s="5">
        <v>481314932</v>
      </c>
      <c r="AA18" s="5"/>
      <c r="AB18" s="5">
        <v>660996467</v>
      </c>
      <c r="AC18" s="5">
        <v>542846095</v>
      </c>
    </row>
    <row r="19" spans="1:29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</row>
    <row r="20" spans="1:29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</row>
    <row r="21" spans="1:29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/>
      <c r="AC21" s="5"/>
    </row>
    <row r="22" spans="1:29" x14ac:dyDescent="0.2">
      <c r="A22" s="7" t="s">
        <v>15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/>
      <c r="K22" s="6"/>
      <c r="L22" s="6"/>
      <c r="M22" s="6"/>
      <c r="N22" s="6"/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</row>
    <row r="23" spans="1:29" x14ac:dyDescent="0.2">
      <c r="A23" s="7" t="s">
        <v>16</v>
      </c>
      <c r="B23" s="5">
        <v>0</v>
      </c>
      <c r="C23" s="5"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5"/>
      <c r="AA23" s="5"/>
      <c r="AB23" s="5"/>
      <c r="AC23" s="5"/>
    </row>
    <row r="24" spans="1:29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/>
      <c r="AC24" s="5"/>
    </row>
    <row r="25" spans="1:29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</row>
    <row r="26" spans="1:29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">
        <v>0</v>
      </c>
      <c r="S26" s="6"/>
      <c r="T26" s="6"/>
      <c r="U26" s="6"/>
      <c r="V26" s="6"/>
      <c r="W26" s="6"/>
      <c r="X26" s="6"/>
      <c r="Y26" s="6"/>
      <c r="Z26" s="5"/>
      <c r="AA26" s="5"/>
      <c r="AB26" s="5"/>
      <c r="AC26" s="5"/>
    </row>
    <row r="27" spans="1:29" x14ac:dyDescent="0.2">
      <c r="A27" s="7" t="s">
        <v>20</v>
      </c>
      <c r="B27" s="6"/>
      <c r="C27" s="6"/>
      <c r="D27" s="6"/>
      <c r="E27" s="6"/>
      <c r="F27" s="6"/>
      <c r="G27" s="6"/>
      <c r="H27" s="6"/>
      <c r="I27" s="5">
        <v>0</v>
      </c>
      <c r="J27" s="6"/>
      <c r="K27" s="6"/>
      <c r="L27" s="6"/>
      <c r="M27" s="6"/>
      <c r="N27" s="6"/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/>
      <c r="AB27" s="5"/>
      <c r="AC27" s="5"/>
    </row>
    <row r="28" spans="1:29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/>
      <c r="AC28" s="5"/>
    </row>
    <row r="29" spans="1:29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6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/>
      <c r="AC29" s="5">
        <v>0</v>
      </c>
    </row>
    <row r="30" spans="1:29" x14ac:dyDescent="0.2">
      <c r="A30" s="7" t="s">
        <v>23</v>
      </c>
      <c r="B30" s="6"/>
      <c r="C30" s="6"/>
      <c r="D30" s="6"/>
      <c r="E30" s="6"/>
      <c r="F30" s="6"/>
      <c r="G30" s="6"/>
      <c r="H30" s="6"/>
      <c r="I30" s="5">
        <v>175785000</v>
      </c>
      <c r="J30" s="6"/>
      <c r="K30" s="6"/>
      <c r="L30" s="6"/>
      <c r="M30" s="6"/>
      <c r="N30" s="6"/>
      <c r="O30" s="5">
        <v>165156000</v>
      </c>
      <c r="P30" s="5">
        <v>138138000</v>
      </c>
      <c r="Q30" s="5">
        <v>135266000</v>
      </c>
      <c r="R30" s="5">
        <v>236727000</v>
      </c>
      <c r="S30" s="5">
        <v>222992000</v>
      </c>
      <c r="T30" s="5">
        <v>260008000</v>
      </c>
      <c r="U30" s="5">
        <v>252318000</v>
      </c>
      <c r="V30" s="5">
        <v>283038000</v>
      </c>
      <c r="W30" s="6"/>
      <c r="X30" s="6"/>
      <c r="Y30" s="5">
        <v>227214000</v>
      </c>
      <c r="Z30" s="5"/>
      <c r="AA30" s="5"/>
      <c r="AB30" s="5">
        <v>193176000</v>
      </c>
      <c r="AC30" s="5"/>
    </row>
    <row r="31" spans="1:29" x14ac:dyDescent="0.2">
      <c r="A31" s="7" t="s">
        <v>24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5">
        <v>274459000</v>
      </c>
      <c r="P31" s="5">
        <v>227755000</v>
      </c>
      <c r="Q31" s="5">
        <v>304460000</v>
      </c>
      <c r="R31" s="5">
        <v>295829000</v>
      </c>
      <c r="S31" s="5">
        <v>287433000</v>
      </c>
      <c r="T31" s="6"/>
      <c r="U31" s="6"/>
      <c r="V31" s="6"/>
      <c r="W31" s="6"/>
      <c r="X31" s="6"/>
      <c r="Y31" s="6"/>
      <c r="Z31" s="5"/>
      <c r="AA31" s="5"/>
      <c r="AB31" s="5"/>
      <c r="AC31" s="5"/>
    </row>
    <row r="32" spans="1:29" x14ac:dyDescent="0.2">
      <c r="A32" s="7" t="s">
        <v>25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5">
        <v>0</v>
      </c>
      <c r="Q32" s="5">
        <v>0</v>
      </c>
      <c r="R32" s="6"/>
      <c r="S32" s="6"/>
      <c r="T32" s="6"/>
      <c r="U32" s="6"/>
      <c r="V32" s="5">
        <v>34238630</v>
      </c>
      <c r="W32" s="5">
        <v>40479423</v>
      </c>
      <c r="X32" s="5">
        <v>40177420</v>
      </c>
      <c r="Y32" s="5">
        <v>45978121</v>
      </c>
      <c r="Z32" s="5">
        <v>44805300</v>
      </c>
      <c r="AA32" s="5">
        <v>50935790</v>
      </c>
      <c r="AB32" s="5">
        <v>53455970</v>
      </c>
      <c r="AC32" s="5">
        <v>45292000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5">
        <v>211948000</v>
      </c>
      <c r="I33" s="5">
        <v>186443000</v>
      </c>
      <c r="J33" s="6"/>
      <c r="K33" s="6"/>
      <c r="L33" s="6"/>
      <c r="M33" s="6"/>
      <c r="N33" s="6"/>
      <c r="O33" s="5">
        <v>327892000</v>
      </c>
      <c r="P33" s="5">
        <v>307415000</v>
      </c>
      <c r="Q33" s="5">
        <v>330701000</v>
      </c>
      <c r="R33" s="5">
        <v>330418000</v>
      </c>
      <c r="S33" s="5">
        <v>282367000</v>
      </c>
      <c r="T33" s="5">
        <v>292761000</v>
      </c>
      <c r="U33" s="5">
        <v>291277000</v>
      </c>
      <c r="V33" s="5">
        <v>310786000</v>
      </c>
      <c r="W33" s="5">
        <v>283384000</v>
      </c>
      <c r="X33" s="5">
        <v>423253000</v>
      </c>
      <c r="Y33" s="5">
        <v>336811000</v>
      </c>
      <c r="Z33" s="5">
        <v>342416000</v>
      </c>
      <c r="AA33" s="5">
        <v>392654000</v>
      </c>
      <c r="AB33" s="5">
        <v>474702000</v>
      </c>
      <c r="AC33" s="5">
        <v>414510000</v>
      </c>
    </row>
    <row r="34" spans="1:29" x14ac:dyDescent="0.2">
      <c r="A34" s="7" t="s">
        <v>27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5">
        <v>42774075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5"/>
      <c r="AA34" s="5"/>
      <c r="AB34" s="5">
        <v>31277606</v>
      </c>
      <c r="AC34" s="5"/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/>
      <c r="AC35" s="5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5">
        <v>0</v>
      </c>
      <c r="I37" s="6"/>
      <c r="J37" s="6"/>
      <c r="K37" s="6"/>
      <c r="L37" s="6"/>
      <c r="M37" s="6"/>
      <c r="N37" s="6"/>
      <c r="O37" s="5">
        <v>21737000</v>
      </c>
      <c r="P37" s="5">
        <v>21508000</v>
      </c>
      <c r="Q37" s="5">
        <v>25437000</v>
      </c>
      <c r="R37" s="5">
        <v>14610000</v>
      </c>
      <c r="S37" s="5">
        <v>15909000</v>
      </c>
      <c r="T37" s="5">
        <v>11943000</v>
      </c>
      <c r="U37" s="5">
        <v>8824000</v>
      </c>
      <c r="V37" s="5">
        <v>17421000</v>
      </c>
      <c r="W37" s="5">
        <v>14152000</v>
      </c>
      <c r="X37" s="5">
        <v>6928000</v>
      </c>
      <c r="Y37" s="5">
        <v>17566000</v>
      </c>
      <c r="Z37" s="5">
        <v>14362000</v>
      </c>
      <c r="AA37" s="5">
        <v>1991000</v>
      </c>
      <c r="AB37" s="5">
        <v>15990000</v>
      </c>
      <c r="AC37" s="5">
        <v>12027000</v>
      </c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5">
        <v>0</v>
      </c>
      <c r="AA38" s="5">
        <v>0</v>
      </c>
      <c r="AB38" s="5"/>
      <c r="AC38" s="5"/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6"/>
      <c r="T41" s="6"/>
      <c r="U41" s="6"/>
      <c r="V41" s="6"/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/>
      <c r="AC41" s="5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6352939248</v>
      </c>
      <c r="P42" s="5">
        <v>5926684447</v>
      </c>
      <c r="Q42" s="5">
        <v>6407451839</v>
      </c>
      <c r="R42" s="5">
        <v>7117561638</v>
      </c>
      <c r="S42" s="5">
        <v>6334035664</v>
      </c>
      <c r="T42" s="5">
        <v>6468277540</v>
      </c>
      <c r="U42" s="5">
        <v>6577442453</v>
      </c>
      <c r="V42" s="5">
        <v>6549807671</v>
      </c>
      <c r="W42" s="5">
        <v>6144249790</v>
      </c>
      <c r="X42" s="5">
        <v>6919179030</v>
      </c>
      <c r="Y42" s="5">
        <v>6000000000</v>
      </c>
      <c r="Z42" s="5">
        <v>5981353040</v>
      </c>
      <c r="AA42" s="5">
        <v>6153625486</v>
      </c>
      <c r="AB42" s="5">
        <v>7308150656</v>
      </c>
      <c r="AC42" s="5">
        <v>6085901895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6552939248</v>
      </c>
      <c r="P43" s="5">
        <v>6082885100</v>
      </c>
      <c r="Q43" s="5">
        <v>6531293282</v>
      </c>
      <c r="R43" s="5">
        <v>7177561638</v>
      </c>
      <c r="S43" s="5">
        <v>6334195664</v>
      </c>
      <c r="T43" s="5">
        <v>6468278440</v>
      </c>
      <c r="U43" s="5">
        <v>6577447453</v>
      </c>
      <c r="V43" s="5">
        <v>6549819671</v>
      </c>
      <c r="W43" s="5">
        <v>6144269790</v>
      </c>
      <c r="X43" s="5">
        <v>6919179030</v>
      </c>
      <c r="Y43" s="5">
        <v>6136170545</v>
      </c>
      <c r="Z43" s="5">
        <v>5981353040</v>
      </c>
      <c r="AA43" s="5"/>
      <c r="AB43" s="5"/>
      <c r="AC43" s="5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</row>
    <row r="45" spans="1:29" x14ac:dyDescent="0.2">
      <c r="A45" s="3" t="s">
        <v>43</v>
      </c>
      <c r="P45" s="10">
        <v>299.14699999999999</v>
      </c>
      <c r="Q45" s="3">
        <v>381.32100000000003</v>
      </c>
      <c r="R45" s="3">
        <v>484.19299999999998</v>
      </c>
      <c r="S45" s="3">
        <v>124.79</v>
      </c>
    </row>
    <row r="46" spans="1:29" x14ac:dyDescent="0.2">
      <c r="A46" s="11"/>
    </row>
    <row r="47" spans="1:29" x14ac:dyDescent="0.2">
      <c r="A47" s="4"/>
      <c r="B47" s="4"/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1D08-9708-43A5-A321-C485C457C96C}">
  <dimension ref="A1:AD47"/>
  <sheetViews>
    <sheetView zoomScale="85" zoomScaleNormal="85" workbookViewId="0">
      <selection activeCell="A38" sqref="A38:XFD38"/>
    </sheetView>
  </sheetViews>
  <sheetFormatPr baseColWidth="10" defaultColWidth="10.28515625" defaultRowHeight="14.25" x14ac:dyDescent="0.2"/>
  <cols>
    <col min="1" max="1" width="17" style="3" customWidth="1"/>
    <col min="2" max="2" width="11.28515625" style="3" bestFit="1" customWidth="1"/>
    <col min="3" max="3" width="11.140625" style="3" bestFit="1" customWidth="1"/>
    <col min="4" max="7" width="10.28515625" style="3"/>
    <col min="8" max="8" width="12.7109375" style="3" bestFit="1" customWidth="1"/>
    <col min="9" max="9" width="11.140625" style="3" bestFit="1" customWidth="1"/>
    <col min="10" max="14" width="10.28515625" style="3"/>
    <col min="15" max="15" width="11.140625" style="3" bestFit="1" customWidth="1"/>
    <col min="16" max="16" width="10.28515625" style="3"/>
    <col min="17" max="18" width="11.28515625" style="3" bestFit="1" customWidth="1"/>
    <col min="19" max="22" width="10.28515625" style="3"/>
    <col min="23" max="23" width="11.28515625" style="3" bestFit="1" customWidth="1"/>
    <col min="24" max="26" width="10.28515625" style="3"/>
    <col min="27" max="27" width="11.28515625" style="3" bestFit="1" customWidth="1"/>
    <col min="28" max="16384" width="10.28515625" style="3"/>
  </cols>
  <sheetData>
    <row r="1" spans="1:30" ht="15" x14ac:dyDescent="0.25">
      <c r="A1" s="15" t="s">
        <v>71</v>
      </c>
      <c r="B1"/>
      <c r="C1"/>
      <c r="D1"/>
    </row>
    <row r="2" spans="1:30" ht="15" x14ac:dyDescent="0.25">
      <c r="A2" s="15" t="s">
        <v>88</v>
      </c>
      <c r="B2" s="16" t="s">
        <v>72</v>
      </c>
      <c r="C2"/>
      <c r="D2"/>
    </row>
    <row r="3" spans="1:30" ht="15" x14ac:dyDescent="0.25">
      <c r="A3" s="15" t="s">
        <v>89</v>
      </c>
      <c r="B3" s="15" t="s">
        <v>90</v>
      </c>
      <c r="C3"/>
      <c r="D3"/>
    </row>
    <row r="4" spans="1:30" ht="15" x14ac:dyDescent="0.25">
      <c r="A4"/>
      <c r="B4"/>
      <c r="C4"/>
      <c r="D4"/>
    </row>
    <row r="5" spans="1:30" ht="15" x14ac:dyDescent="0.25">
      <c r="A5" s="16" t="s">
        <v>41</v>
      </c>
      <c r="B5"/>
      <c r="C5" s="15" t="s">
        <v>73</v>
      </c>
      <c r="D5"/>
    </row>
    <row r="6" spans="1:30" ht="15" x14ac:dyDescent="0.25">
      <c r="A6" s="16" t="s">
        <v>40</v>
      </c>
      <c r="B6"/>
      <c r="C6" s="15" t="s">
        <v>39</v>
      </c>
      <c r="D6"/>
    </row>
    <row r="7" spans="1:30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  <c r="AD7" s="3" t="s">
        <v>81</v>
      </c>
    </row>
    <row r="8" spans="1:30" x14ac:dyDescent="0.2">
      <c r="A8" s="7" t="s">
        <v>1</v>
      </c>
      <c r="B8" s="19">
        <f>C8</f>
        <v>895342000</v>
      </c>
      <c r="C8" s="5">
        <v>895342000</v>
      </c>
      <c r="D8" s="5">
        <v>884378000</v>
      </c>
      <c r="E8" s="5">
        <v>917483000</v>
      </c>
      <c r="F8" s="5">
        <v>939086000</v>
      </c>
      <c r="G8" s="5">
        <v>947559000</v>
      </c>
      <c r="H8" s="5">
        <v>919777000</v>
      </c>
      <c r="I8" s="5">
        <v>946269000</v>
      </c>
      <c r="J8" s="6"/>
      <c r="K8" s="6"/>
      <c r="L8" s="6"/>
      <c r="M8" s="6"/>
      <c r="N8" s="6"/>
      <c r="O8" s="5">
        <v>1034988180</v>
      </c>
      <c r="P8" s="5">
        <v>1135845000</v>
      </c>
      <c r="Q8" s="5">
        <v>969314000</v>
      </c>
      <c r="R8" s="5">
        <v>1133415000</v>
      </c>
      <c r="S8" s="5">
        <v>841271000</v>
      </c>
      <c r="T8" s="5">
        <v>1022348000</v>
      </c>
      <c r="U8" s="5">
        <v>1139067000</v>
      </c>
      <c r="V8" s="5">
        <v>817970000</v>
      </c>
      <c r="W8" s="5">
        <v>726597952</v>
      </c>
      <c r="X8" s="5">
        <v>856389375</v>
      </c>
      <c r="Y8" s="5">
        <v>658615000</v>
      </c>
      <c r="Z8" s="5">
        <v>749861000</v>
      </c>
      <c r="AA8" s="5">
        <v>771345250</v>
      </c>
      <c r="AB8" s="5">
        <v>873261733</v>
      </c>
      <c r="AC8" s="5">
        <v>943105669</v>
      </c>
    </row>
    <row r="9" spans="1:30" x14ac:dyDescent="0.2">
      <c r="A9" s="7" t="s">
        <v>2</v>
      </c>
      <c r="B9" s="5">
        <v>1114000000</v>
      </c>
      <c r="C9" s="5">
        <v>1012000000</v>
      </c>
      <c r="D9" s="5">
        <v>637949000</v>
      </c>
      <c r="E9" s="5">
        <v>703647000</v>
      </c>
      <c r="F9" s="5">
        <v>718382000</v>
      </c>
      <c r="G9" s="5">
        <v>915223000</v>
      </c>
      <c r="H9" s="5">
        <v>983904000</v>
      </c>
      <c r="I9" s="5"/>
      <c r="J9" s="6"/>
      <c r="K9" s="6"/>
      <c r="L9" s="6"/>
      <c r="M9" s="6"/>
      <c r="N9" s="6"/>
      <c r="O9" s="5">
        <v>647173000</v>
      </c>
      <c r="P9" s="5">
        <v>773977000</v>
      </c>
      <c r="Q9" s="5">
        <v>1188372000</v>
      </c>
      <c r="R9" s="6"/>
      <c r="S9" s="5">
        <v>955024000</v>
      </c>
      <c r="T9" s="5">
        <v>793071000</v>
      </c>
      <c r="U9" s="5">
        <v>739634000</v>
      </c>
      <c r="V9" s="5">
        <v>1171366000</v>
      </c>
      <c r="W9" s="5">
        <v>974617000</v>
      </c>
      <c r="X9" s="5">
        <v>1267968000</v>
      </c>
      <c r="Y9" s="5">
        <v>1256967000</v>
      </c>
      <c r="Z9" s="5">
        <v>1102299000</v>
      </c>
      <c r="AA9" s="5">
        <v>1219556000</v>
      </c>
      <c r="AB9" s="5">
        <v>1878968000</v>
      </c>
      <c r="AC9" s="5">
        <v>1062796000</v>
      </c>
    </row>
    <row r="10" spans="1:30" x14ac:dyDescent="0.2">
      <c r="A10" s="7" t="s">
        <v>3</v>
      </c>
      <c r="B10" s="5">
        <v>2546437000</v>
      </c>
      <c r="C10" s="5">
        <v>2574509000</v>
      </c>
      <c r="D10" s="5">
        <v>2671114000</v>
      </c>
      <c r="E10" s="5">
        <v>2349865000</v>
      </c>
      <c r="F10" s="5">
        <v>2282254000</v>
      </c>
      <c r="G10" s="5">
        <v>2767081000</v>
      </c>
      <c r="H10" s="5">
        <v>2600199000</v>
      </c>
      <c r="I10" s="5">
        <v>2105507000</v>
      </c>
      <c r="J10" s="6"/>
      <c r="K10" s="6"/>
      <c r="L10" s="6"/>
      <c r="M10" s="6"/>
      <c r="N10" s="6"/>
      <c r="O10" s="5">
        <v>2017951000</v>
      </c>
      <c r="P10" s="5">
        <v>1658578000</v>
      </c>
      <c r="Q10" s="5">
        <v>1874266000</v>
      </c>
      <c r="R10" s="5">
        <v>1804584000</v>
      </c>
      <c r="S10" s="5">
        <v>1774264000</v>
      </c>
      <c r="T10" s="5">
        <v>1962624000</v>
      </c>
      <c r="U10" s="5">
        <v>2150061000</v>
      </c>
      <c r="V10" s="5">
        <v>1968893000</v>
      </c>
      <c r="W10" s="5">
        <v>1887665000</v>
      </c>
      <c r="X10" s="5">
        <v>1799216000</v>
      </c>
      <c r="Y10" s="5">
        <v>1514480000</v>
      </c>
      <c r="Z10" s="5">
        <v>1514568000</v>
      </c>
      <c r="AA10" s="5">
        <v>1527703000</v>
      </c>
      <c r="AB10" s="5">
        <v>1577905000</v>
      </c>
      <c r="AC10" s="5">
        <v>1422518000</v>
      </c>
    </row>
    <row r="11" spans="1:30" x14ac:dyDescent="0.2">
      <c r="A11" s="7" t="s">
        <v>4</v>
      </c>
      <c r="B11" s="6"/>
      <c r="C11" s="5">
        <v>0</v>
      </c>
      <c r="D11" s="5">
        <v>0</v>
      </c>
      <c r="E11" s="6"/>
      <c r="F11" s="6"/>
      <c r="G11" s="6"/>
      <c r="H11" s="5">
        <v>0</v>
      </c>
      <c r="I11" s="5">
        <v>0</v>
      </c>
      <c r="J11" s="6"/>
      <c r="K11" s="6"/>
      <c r="L11" s="6"/>
      <c r="M11" s="6"/>
      <c r="N11" s="6"/>
      <c r="O11" s="5">
        <v>570705000</v>
      </c>
      <c r="P11" s="6"/>
      <c r="Q11" s="19">
        <f>O11</f>
        <v>570705000</v>
      </c>
      <c r="R11" s="6"/>
      <c r="S11" s="6"/>
      <c r="T11" s="6"/>
      <c r="U11" s="6"/>
      <c r="V11" s="6"/>
      <c r="W11" s="6"/>
      <c r="X11" s="6"/>
      <c r="Y11" s="6"/>
      <c r="Z11" s="5"/>
      <c r="AA11" s="5"/>
      <c r="AB11" s="5"/>
      <c r="AC11" s="5"/>
    </row>
    <row r="12" spans="1:30" x14ac:dyDescent="0.2">
      <c r="A12" s="7" t="s">
        <v>5</v>
      </c>
      <c r="B12" s="5">
        <v>597251971</v>
      </c>
      <c r="C12" s="5">
        <v>526591739</v>
      </c>
      <c r="D12" s="5">
        <v>503406462</v>
      </c>
      <c r="E12" s="5">
        <v>680037213</v>
      </c>
      <c r="F12" s="5">
        <v>1205256143</v>
      </c>
      <c r="G12" s="5">
        <v>1435716128</v>
      </c>
      <c r="H12" s="5"/>
      <c r="I12" s="5">
        <v>1360021078</v>
      </c>
      <c r="J12" s="6"/>
      <c r="K12" s="6"/>
      <c r="L12" s="6"/>
      <c r="M12" s="6"/>
      <c r="N12" s="6"/>
      <c r="O12" s="6"/>
      <c r="P12" s="5">
        <v>156200653</v>
      </c>
      <c r="Q12" s="5">
        <v>123841443</v>
      </c>
      <c r="R12" s="19">
        <f>Q12</f>
        <v>123841443</v>
      </c>
      <c r="S12" s="6"/>
      <c r="T12" s="6"/>
      <c r="U12" s="6"/>
      <c r="V12" s="6"/>
      <c r="W12" s="6"/>
      <c r="X12" s="5">
        <v>0</v>
      </c>
      <c r="Y12" s="6"/>
      <c r="Z12" s="5">
        <v>0</v>
      </c>
      <c r="AA12" s="5"/>
      <c r="AB12" s="5"/>
      <c r="AC12" s="5"/>
    </row>
    <row r="13" spans="1:30" x14ac:dyDescent="0.2">
      <c r="A13" s="7" t="s">
        <v>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/>
      <c r="AC13" s="5"/>
    </row>
    <row r="14" spans="1:30" x14ac:dyDescent="0.2">
      <c r="A14" s="7" t="s">
        <v>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6"/>
      <c r="K14" s="6"/>
      <c r="L14" s="6"/>
      <c r="M14" s="6"/>
      <c r="N14" s="6"/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/>
      <c r="AC14" s="5"/>
    </row>
    <row r="15" spans="1:30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</row>
    <row r="16" spans="1:30" x14ac:dyDescent="0.2">
      <c r="A16" s="7" t="s">
        <v>9</v>
      </c>
      <c r="B16" s="6"/>
      <c r="C16" s="6"/>
      <c r="D16" s="6"/>
      <c r="E16" s="6"/>
      <c r="F16" s="6"/>
      <c r="G16" s="5">
        <v>64043836</v>
      </c>
      <c r="H16" s="5">
        <v>46822239</v>
      </c>
      <c r="I16" s="5">
        <v>54284200</v>
      </c>
      <c r="J16" s="6"/>
      <c r="K16" s="6"/>
      <c r="L16" s="6"/>
      <c r="M16" s="6"/>
      <c r="N16" s="6"/>
      <c r="O16" s="5">
        <v>53404978</v>
      </c>
      <c r="P16" s="5">
        <v>47771655</v>
      </c>
      <c r="Q16" s="5">
        <v>35753764</v>
      </c>
      <c r="R16" s="5">
        <v>37568889</v>
      </c>
      <c r="S16" s="5">
        <v>36752008</v>
      </c>
      <c r="T16" s="5">
        <v>47730760</v>
      </c>
      <c r="U16" s="5">
        <v>36074600</v>
      </c>
      <c r="V16" s="5">
        <v>41181000</v>
      </c>
      <c r="W16" s="5">
        <v>41017984</v>
      </c>
      <c r="X16" s="6"/>
      <c r="Y16" s="6"/>
      <c r="Z16" s="5"/>
      <c r="AA16" s="5">
        <v>38572060</v>
      </c>
      <c r="AB16" s="5"/>
      <c r="AC16" s="5"/>
    </row>
    <row r="17" spans="1:30" ht="15" x14ac:dyDescent="0.25">
      <c r="A17" s="7" t="s">
        <v>10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23">
        <f>0.5*(245+400+125+190)*1000000</f>
        <v>480000000</v>
      </c>
      <c r="U17" s="23">
        <f t="shared" ref="U17:W17" si="0">0.5*(245+400+125+190)*1000000</f>
        <v>480000000</v>
      </c>
      <c r="V17" s="23">
        <f t="shared" si="0"/>
        <v>480000000</v>
      </c>
      <c r="W17" s="23">
        <f t="shared" si="0"/>
        <v>480000000</v>
      </c>
      <c r="X17" s="6"/>
      <c r="Y17" s="6"/>
      <c r="Z17" s="5"/>
      <c r="AA17" s="5"/>
      <c r="AB17" s="23">
        <f t="shared" ref="AB17" si="1">0.5*(245+400+125+190)*1000000</f>
        <v>480000000</v>
      </c>
      <c r="AC17" s="5"/>
      <c r="AD17" t="s">
        <v>95</v>
      </c>
    </row>
    <row r="18" spans="1:30" x14ac:dyDescent="0.2">
      <c r="A18" s="7" t="s">
        <v>11</v>
      </c>
      <c r="B18" s="6"/>
      <c r="C18" s="6"/>
      <c r="D18" s="6"/>
      <c r="E18" s="6"/>
      <c r="F18" s="6"/>
      <c r="G18" s="5">
        <v>817291289</v>
      </c>
      <c r="H18" s="5">
        <v>809407070</v>
      </c>
      <c r="I18" s="5">
        <v>616436000</v>
      </c>
      <c r="J18" s="6"/>
      <c r="K18" s="6"/>
      <c r="L18" s="6"/>
      <c r="M18" s="6"/>
      <c r="N18" s="6"/>
      <c r="O18" s="5">
        <v>477337942</v>
      </c>
      <c r="P18" s="5">
        <v>493456512</v>
      </c>
      <c r="Q18" s="5">
        <v>569884075</v>
      </c>
      <c r="R18" s="5">
        <v>568495258</v>
      </c>
      <c r="S18" s="5">
        <v>543381586</v>
      </c>
      <c r="T18" s="5">
        <v>477889971</v>
      </c>
      <c r="U18" s="5">
        <v>513372023</v>
      </c>
      <c r="V18" s="5">
        <v>426228110</v>
      </c>
      <c r="W18" s="5">
        <v>488954705</v>
      </c>
      <c r="X18" s="5">
        <v>558171658</v>
      </c>
      <c r="Y18" s="5">
        <v>435976348</v>
      </c>
      <c r="Z18" s="5">
        <v>481314932</v>
      </c>
      <c r="AA18" s="19"/>
      <c r="AB18" s="5">
        <v>660996467</v>
      </c>
      <c r="AC18" s="5">
        <v>542846095</v>
      </c>
    </row>
    <row r="19" spans="1:30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</row>
    <row r="20" spans="1:30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</row>
    <row r="21" spans="1:30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/>
      <c r="AC21" s="5"/>
    </row>
    <row r="22" spans="1:30" x14ac:dyDescent="0.2">
      <c r="A22" s="7" t="s">
        <v>15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/>
      <c r="K22" s="6"/>
      <c r="L22" s="6"/>
      <c r="M22" s="6"/>
      <c r="N22" s="6"/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</row>
    <row r="23" spans="1:30" ht="15" x14ac:dyDescent="0.25">
      <c r="A23" s="7" t="s">
        <v>16</v>
      </c>
      <c r="B23" s="5">
        <v>0</v>
      </c>
      <c r="C23" s="5"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23">
        <f>0.5*150000000</f>
        <v>75000000</v>
      </c>
      <c r="P23" s="23">
        <f t="shared" ref="P23:AC23" si="2">0.5*150000000</f>
        <v>75000000</v>
      </c>
      <c r="Q23" s="23">
        <f t="shared" si="2"/>
        <v>75000000</v>
      </c>
      <c r="R23" s="23">
        <f t="shared" si="2"/>
        <v>75000000</v>
      </c>
      <c r="S23" s="23">
        <f t="shared" si="2"/>
        <v>75000000</v>
      </c>
      <c r="T23" s="23">
        <f t="shared" si="2"/>
        <v>75000000</v>
      </c>
      <c r="U23" s="23">
        <f t="shared" si="2"/>
        <v>75000000</v>
      </c>
      <c r="V23" s="23">
        <f t="shared" si="2"/>
        <v>75000000</v>
      </c>
      <c r="W23" s="23">
        <f t="shared" si="2"/>
        <v>75000000</v>
      </c>
      <c r="X23" s="23">
        <f t="shared" si="2"/>
        <v>75000000</v>
      </c>
      <c r="Y23" s="23">
        <f t="shared" si="2"/>
        <v>75000000</v>
      </c>
      <c r="Z23" s="23">
        <f t="shared" si="2"/>
        <v>75000000</v>
      </c>
      <c r="AA23" s="23">
        <f t="shared" si="2"/>
        <v>75000000</v>
      </c>
      <c r="AB23" s="23">
        <f t="shared" si="2"/>
        <v>75000000</v>
      </c>
      <c r="AC23" s="23">
        <f t="shared" si="2"/>
        <v>75000000</v>
      </c>
      <c r="AD23" t="s">
        <v>94</v>
      </c>
    </row>
    <row r="24" spans="1:30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/>
      <c r="AC24" s="5"/>
    </row>
    <row r="25" spans="1:30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</row>
    <row r="26" spans="1:30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">
        <v>0</v>
      </c>
      <c r="S26" s="6"/>
      <c r="T26" s="6"/>
      <c r="U26" s="6"/>
      <c r="V26" s="6"/>
      <c r="W26" s="6"/>
      <c r="X26" s="6"/>
      <c r="Y26" s="6"/>
      <c r="Z26" s="5"/>
      <c r="AA26" s="5"/>
      <c r="AB26" s="5"/>
      <c r="AC26" s="5"/>
    </row>
    <row r="27" spans="1:30" x14ac:dyDescent="0.2">
      <c r="A27" s="7" t="s">
        <v>20</v>
      </c>
      <c r="B27" s="6"/>
      <c r="C27" s="6"/>
      <c r="D27" s="6"/>
      <c r="E27" s="6"/>
      <c r="F27" s="6"/>
      <c r="G27" s="6"/>
      <c r="H27" s="6"/>
      <c r="I27" s="5">
        <v>0</v>
      </c>
      <c r="J27" s="6"/>
      <c r="K27" s="6"/>
      <c r="L27" s="6"/>
      <c r="M27" s="6"/>
      <c r="N27" s="6"/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/>
      <c r="AB27" s="5"/>
      <c r="AC27" s="5"/>
    </row>
    <row r="28" spans="1:30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/>
      <c r="AC28" s="5"/>
    </row>
    <row r="29" spans="1:30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6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/>
      <c r="AC29" s="5">
        <v>0</v>
      </c>
    </row>
    <row r="30" spans="1:30" x14ac:dyDescent="0.2">
      <c r="A30" s="7" t="s">
        <v>23</v>
      </c>
      <c r="B30" s="6"/>
      <c r="C30" s="6"/>
      <c r="D30" s="6"/>
      <c r="E30" s="6"/>
      <c r="F30" s="6"/>
      <c r="G30" s="6"/>
      <c r="H30" s="6"/>
      <c r="I30" s="5">
        <v>175785000</v>
      </c>
      <c r="J30" s="6"/>
      <c r="K30" s="6"/>
      <c r="L30" s="6"/>
      <c r="M30" s="6"/>
      <c r="N30" s="6"/>
      <c r="O30" s="5">
        <v>165156000</v>
      </c>
      <c r="P30" s="5">
        <v>138138000</v>
      </c>
      <c r="Q30" s="5">
        <v>135266000</v>
      </c>
      <c r="R30" s="5">
        <v>236727000</v>
      </c>
      <c r="S30" s="5">
        <v>222992000</v>
      </c>
      <c r="T30" s="5">
        <v>260008000</v>
      </c>
      <c r="U30" s="5">
        <v>252318000</v>
      </c>
      <c r="V30" s="5">
        <v>283038000</v>
      </c>
      <c r="W30" s="19">
        <f>AVERAGE(U30,V30,Y30)</f>
        <v>254190000</v>
      </c>
      <c r="X30" s="21">
        <f>W30</f>
        <v>254190000</v>
      </c>
      <c r="Y30" s="5">
        <v>227214000</v>
      </c>
      <c r="Z30" s="5"/>
      <c r="AA30" s="19">
        <f>AB30</f>
        <v>193176000</v>
      </c>
      <c r="AB30" s="5">
        <v>193176000</v>
      </c>
      <c r="AC30" s="5"/>
    </row>
    <row r="31" spans="1:30" x14ac:dyDescent="0.2">
      <c r="A31" s="7" t="s">
        <v>24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5">
        <v>274459000</v>
      </c>
      <c r="P31" s="5">
        <v>227755000</v>
      </c>
      <c r="Q31" s="5">
        <v>304460000</v>
      </c>
      <c r="R31" s="5">
        <v>295829000</v>
      </c>
      <c r="S31" s="5">
        <v>287433000</v>
      </c>
      <c r="T31" s="6"/>
      <c r="U31" s="6"/>
      <c r="V31" s="6"/>
      <c r="W31" s="6"/>
      <c r="X31" s="6"/>
      <c r="Y31" s="6"/>
      <c r="Z31" s="5"/>
      <c r="AA31" s="5"/>
      <c r="AB31" s="5"/>
      <c r="AC31" s="5"/>
    </row>
    <row r="32" spans="1:30" x14ac:dyDescent="0.2">
      <c r="A32" s="7" t="s">
        <v>25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5">
        <v>0</v>
      </c>
      <c r="Q32" s="5">
        <v>0</v>
      </c>
      <c r="R32" s="6"/>
      <c r="S32" s="6"/>
      <c r="T32" s="6"/>
      <c r="U32" s="6"/>
      <c r="V32" s="5">
        <v>34238630</v>
      </c>
      <c r="W32" s="5">
        <v>40479423</v>
      </c>
      <c r="X32" s="5">
        <v>40177420</v>
      </c>
      <c r="Y32" s="5">
        <v>45978121</v>
      </c>
      <c r="Z32" s="5">
        <v>44805300</v>
      </c>
      <c r="AA32" s="5">
        <v>50935790</v>
      </c>
      <c r="AB32" s="5">
        <v>53455970</v>
      </c>
      <c r="AC32" s="5">
        <v>45292000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5">
        <v>211948000</v>
      </c>
      <c r="I33" s="5">
        <v>186443000</v>
      </c>
      <c r="J33" s="6"/>
      <c r="K33" s="6"/>
      <c r="L33" s="6"/>
      <c r="M33" s="6"/>
      <c r="N33" s="6"/>
      <c r="O33" s="5">
        <v>327892000</v>
      </c>
      <c r="P33" s="5">
        <v>307415000</v>
      </c>
      <c r="Q33" s="5">
        <v>330701000</v>
      </c>
      <c r="R33" s="5">
        <v>330418000</v>
      </c>
      <c r="S33" s="5">
        <v>282367000</v>
      </c>
      <c r="T33" s="5">
        <v>292761000</v>
      </c>
      <c r="U33" s="5">
        <v>291277000</v>
      </c>
      <c r="V33" s="5">
        <v>310786000</v>
      </c>
      <c r="W33" s="5">
        <v>283384000</v>
      </c>
      <c r="X33" s="5">
        <v>423253000</v>
      </c>
      <c r="Y33" s="5">
        <v>336811000</v>
      </c>
      <c r="Z33" s="5">
        <v>342416000</v>
      </c>
      <c r="AA33" s="5">
        <v>392654000</v>
      </c>
      <c r="AB33" s="5">
        <v>474702000</v>
      </c>
      <c r="AC33" s="5">
        <v>414510000</v>
      </c>
    </row>
    <row r="34" spans="1:29" x14ac:dyDescent="0.2">
      <c r="A34" s="7" t="s">
        <v>27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5">
        <v>42774075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5"/>
      <c r="AA34" s="5"/>
      <c r="AB34" s="5">
        <v>31277606</v>
      </c>
      <c r="AC34" s="5"/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/>
      <c r="AC35" s="5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5">
        <v>0</v>
      </c>
      <c r="I37" s="6"/>
      <c r="J37" s="6"/>
      <c r="K37" s="6"/>
      <c r="L37" s="6"/>
      <c r="M37" s="6"/>
      <c r="N37" s="6"/>
      <c r="O37" s="5">
        <v>21737000</v>
      </c>
      <c r="P37" s="5">
        <v>21508000</v>
      </c>
      <c r="Q37" s="5">
        <v>25437000</v>
      </c>
      <c r="R37" s="5">
        <v>14610000</v>
      </c>
      <c r="S37" s="5">
        <v>15909000</v>
      </c>
      <c r="T37" s="5">
        <v>11943000</v>
      </c>
      <c r="U37" s="5">
        <v>8824000</v>
      </c>
      <c r="V37" s="5">
        <v>17421000</v>
      </c>
      <c r="W37" s="5">
        <v>14152000</v>
      </c>
      <c r="X37" s="5">
        <v>6928000</v>
      </c>
      <c r="Y37" s="5">
        <v>17566000</v>
      </c>
      <c r="Z37" s="5">
        <v>14362000</v>
      </c>
      <c r="AA37" s="5">
        <v>1991000</v>
      </c>
      <c r="AB37" s="5">
        <v>15990000</v>
      </c>
      <c r="AC37" s="5">
        <v>12027000</v>
      </c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5">
        <v>0</v>
      </c>
      <c r="AA38" s="5">
        <v>0</v>
      </c>
      <c r="AB38" s="5"/>
      <c r="AC38" s="5"/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6"/>
      <c r="T41" s="6"/>
      <c r="U41" s="6"/>
      <c r="V41" s="6"/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/>
      <c r="AC41" s="5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6352939248</v>
      </c>
      <c r="P42" s="5">
        <v>5926684447</v>
      </c>
      <c r="Q42" s="5">
        <v>6407451839</v>
      </c>
      <c r="R42" s="5">
        <v>7117561638</v>
      </c>
      <c r="S42" s="5">
        <v>6334035664</v>
      </c>
      <c r="T42" s="5">
        <v>6468277540</v>
      </c>
      <c r="U42" s="5">
        <v>6577442453</v>
      </c>
      <c r="V42" s="5">
        <v>6549807671</v>
      </c>
      <c r="W42" s="5">
        <v>6144249790</v>
      </c>
      <c r="X42" s="5">
        <v>6919179030</v>
      </c>
      <c r="Y42" s="5">
        <v>6000000000</v>
      </c>
      <c r="Z42" s="5">
        <v>5981353040</v>
      </c>
      <c r="AA42" s="5">
        <v>6153625486</v>
      </c>
      <c r="AB42" s="5">
        <v>7308150656</v>
      </c>
      <c r="AC42" s="5">
        <v>6085901895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6552939248</v>
      </c>
      <c r="P43" s="5">
        <v>6082885100</v>
      </c>
      <c r="Q43" s="5">
        <v>6531293282</v>
      </c>
      <c r="R43" s="5">
        <v>7177561638</v>
      </c>
      <c r="S43" s="5">
        <v>6334195664</v>
      </c>
      <c r="T43" s="5">
        <v>6468278440</v>
      </c>
      <c r="U43" s="5">
        <v>6577447453</v>
      </c>
      <c r="V43" s="5">
        <v>6549819671</v>
      </c>
      <c r="W43" s="5">
        <v>6144269790</v>
      </c>
      <c r="X43" s="5">
        <v>6919179030</v>
      </c>
      <c r="Y43" s="5">
        <v>6136170545</v>
      </c>
      <c r="Z43" s="5">
        <v>5981353040</v>
      </c>
      <c r="AA43" s="5"/>
      <c r="AB43" s="5"/>
      <c r="AC43" s="5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</row>
    <row r="45" spans="1:29" x14ac:dyDescent="0.2">
      <c r="A45" s="3" t="s">
        <v>43</v>
      </c>
      <c r="P45" s="10">
        <v>299.14699999999999</v>
      </c>
      <c r="Q45" s="3">
        <v>381.32100000000003</v>
      </c>
      <c r="R45" s="3">
        <v>484.19299999999998</v>
      </c>
      <c r="S45" s="3">
        <v>124.79</v>
      </c>
    </row>
    <row r="46" spans="1:29" x14ac:dyDescent="0.2">
      <c r="A46" s="11"/>
    </row>
    <row r="47" spans="1:29" x14ac:dyDescent="0.2">
      <c r="A47" s="4"/>
      <c r="B47" s="4"/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7"/>
  <sheetViews>
    <sheetView zoomScale="85" zoomScaleNormal="85" workbookViewId="0">
      <selection activeCell="O34" sqref="O34"/>
    </sheetView>
  </sheetViews>
  <sheetFormatPr baseColWidth="10" defaultColWidth="10.28515625" defaultRowHeight="14.25" x14ac:dyDescent="0.2"/>
  <cols>
    <col min="1" max="19" width="10.28515625" style="3"/>
    <col min="20" max="22" width="11.140625" style="3" bestFit="1" customWidth="1"/>
    <col min="23" max="28" width="10.28515625" style="3"/>
    <col min="29" max="29" width="11.28515625" style="3" bestFit="1" customWidth="1"/>
    <col min="30" max="16384" width="10.28515625" style="3"/>
  </cols>
  <sheetData>
    <row r="1" spans="1:29" ht="15" x14ac:dyDescent="0.25">
      <c r="A1" s="15" t="s">
        <v>71</v>
      </c>
      <c r="B1"/>
      <c r="C1"/>
    </row>
    <row r="2" spans="1:29" ht="15" x14ac:dyDescent="0.25">
      <c r="A2" s="15" t="s">
        <v>88</v>
      </c>
      <c r="B2" s="16" t="s">
        <v>72</v>
      </c>
      <c r="C2"/>
    </row>
    <row r="3" spans="1:29" ht="15" x14ac:dyDescent="0.25">
      <c r="A3" s="15" t="s">
        <v>89</v>
      </c>
      <c r="B3" s="15" t="s">
        <v>90</v>
      </c>
      <c r="C3"/>
    </row>
    <row r="4" spans="1:29" ht="15" x14ac:dyDescent="0.25">
      <c r="A4"/>
      <c r="B4"/>
      <c r="C4"/>
    </row>
    <row r="5" spans="1:29" ht="15" x14ac:dyDescent="0.25">
      <c r="A5" s="16" t="s">
        <v>41</v>
      </c>
      <c r="B5"/>
      <c r="C5" s="15" t="s">
        <v>74</v>
      </c>
    </row>
    <row r="6" spans="1:29" ht="15" x14ac:dyDescent="0.25">
      <c r="A6" s="16" t="s">
        <v>40</v>
      </c>
      <c r="B6"/>
      <c r="C6" s="15" t="s">
        <v>39</v>
      </c>
    </row>
    <row r="7" spans="1:29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</row>
    <row r="8" spans="1:29" x14ac:dyDescent="0.2">
      <c r="A8" s="7" t="s">
        <v>1</v>
      </c>
      <c r="B8" s="5">
        <v>58202000</v>
      </c>
      <c r="C8" s="5">
        <v>55435000</v>
      </c>
      <c r="D8" s="5">
        <v>54832000</v>
      </c>
      <c r="E8" s="5">
        <v>78857000</v>
      </c>
      <c r="F8" s="5">
        <v>89007000</v>
      </c>
      <c r="G8" s="5">
        <v>98141000</v>
      </c>
      <c r="H8" s="5">
        <v>134085000</v>
      </c>
      <c r="I8" s="5">
        <v>123195000</v>
      </c>
      <c r="J8" s="6"/>
      <c r="K8" s="6"/>
      <c r="L8" s="6"/>
      <c r="M8" s="6"/>
      <c r="N8" s="6"/>
      <c r="O8" s="5">
        <v>116308000</v>
      </c>
      <c r="P8" s="5">
        <v>112097000</v>
      </c>
      <c r="Q8" s="5">
        <v>107724000</v>
      </c>
      <c r="R8" s="5">
        <v>133700000</v>
      </c>
      <c r="S8" s="5">
        <v>132588000</v>
      </c>
      <c r="T8" s="5">
        <v>126030928</v>
      </c>
      <c r="U8" s="5">
        <v>160631000</v>
      </c>
      <c r="V8" s="5">
        <v>128341000</v>
      </c>
      <c r="W8" s="5">
        <v>95136326</v>
      </c>
      <c r="X8" s="5">
        <v>133212365</v>
      </c>
      <c r="Y8" s="5">
        <v>160873410</v>
      </c>
      <c r="Z8" s="5">
        <v>104432332</v>
      </c>
      <c r="AA8" s="5">
        <v>117825412</v>
      </c>
      <c r="AB8" s="5">
        <v>149548825</v>
      </c>
      <c r="AC8" s="5">
        <v>103547606</v>
      </c>
    </row>
    <row r="9" spans="1:29" x14ac:dyDescent="0.2">
      <c r="A9" s="7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5"/>
      <c r="AA9" s="5"/>
      <c r="AB9" s="5"/>
      <c r="AC9" s="5"/>
    </row>
    <row r="10" spans="1:29" x14ac:dyDescent="0.2">
      <c r="A10" s="7" t="s">
        <v>3</v>
      </c>
      <c r="B10" s="5">
        <v>538884000</v>
      </c>
      <c r="C10" s="5">
        <v>702986000</v>
      </c>
      <c r="D10" s="5">
        <v>723580000</v>
      </c>
      <c r="E10" s="5">
        <v>736231000</v>
      </c>
      <c r="F10" s="5">
        <v>643546000</v>
      </c>
      <c r="G10" s="5">
        <v>651185000</v>
      </c>
      <c r="H10" s="5">
        <v>631976000</v>
      </c>
      <c r="I10" s="5">
        <v>654333000</v>
      </c>
      <c r="J10" s="6"/>
      <c r="K10" s="6"/>
      <c r="L10" s="6"/>
      <c r="M10" s="6"/>
      <c r="N10" s="6"/>
      <c r="O10" s="5">
        <v>763107000</v>
      </c>
      <c r="P10" s="6"/>
      <c r="Q10" s="5">
        <v>662403000</v>
      </c>
      <c r="R10" s="5">
        <v>666318000</v>
      </c>
      <c r="S10" s="5">
        <v>696997000</v>
      </c>
      <c r="T10" s="5">
        <v>706041000</v>
      </c>
      <c r="U10" s="5">
        <v>636322000</v>
      </c>
      <c r="V10" s="5">
        <v>591337000</v>
      </c>
      <c r="W10" s="5">
        <v>593775000</v>
      </c>
      <c r="X10" s="5">
        <v>597208000</v>
      </c>
      <c r="Y10" s="5">
        <v>546630000</v>
      </c>
      <c r="Z10" s="5">
        <v>547256000</v>
      </c>
      <c r="AA10" s="5">
        <v>571290000</v>
      </c>
      <c r="AB10" s="5">
        <v>566647000</v>
      </c>
      <c r="AC10" s="5">
        <v>564302000</v>
      </c>
    </row>
    <row r="11" spans="1:29" x14ac:dyDescent="0.2">
      <c r="A11" s="7" t="s">
        <v>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5">
        <v>149323000</v>
      </c>
      <c r="Z11" s="5">
        <v>126304000</v>
      </c>
      <c r="AA11" s="5">
        <v>143251000</v>
      </c>
      <c r="AB11" s="5">
        <v>145298000</v>
      </c>
      <c r="AC11" s="5">
        <v>128825000</v>
      </c>
    </row>
    <row r="12" spans="1:29" x14ac:dyDescent="0.2">
      <c r="A12" s="7" t="s">
        <v>5</v>
      </c>
      <c r="B12" s="6"/>
      <c r="C12" s="6"/>
      <c r="D12" s="5">
        <v>24996899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5">
        <v>23467</v>
      </c>
      <c r="R12" s="5">
        <v>35963</v>
      </c>
      <c r="S12" s="6"/>
      <c r="T12" s="6"/>
      <c r="U12" s="6"/>
      <c r="V12" s="6"/>
      <c r="W12" s="6"/>
      <c r="X12" s="5">
        <v>0</v>
      </c>
      <c r="Y12" s="6"/>
      <c r="Z12" s="5"/>
      <c r="AA12" s="5"/>
      <c r="AB12" s="5"/>
      <c r="AC12" s="5"/>
    </row>
    <row r="13" spans="1:29" x14ac:dyDescent="0.2">
      <c r="A13" s="7" t="s">
        <v>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6"/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/>
      <c r="AC13" s="5"/>
    </row>
    <row r="14" spans="1:29" x14ac:dyDescent="0.2">
      <c r="A14" s="7" t="s">
        <v>7</v>
      </c>
      <c r="B14" s="6"/>
      <c r="C14" s="6"/>
      <c r="D14" s="6"/>
      <c r="E14" s="6"/>
      <c r="F14" s="5">
        <v>0</v>
      </c>
      <c r="G14" s="5">
        <v>0</v>
      </c>
      <c r="H14" s="5">
        <v>0</v>
      </c>
      <c r="I14" s="5">
        <v>0</v>
      </c>
      <c r="J14" s="6"/>
      <c r="K14" s="6"/>
      <c r="L14" s="6"/>
      <c r="M14" s="6"/>
      <c r="N14" s="6"/>
      <c r="O14" s="6"/>
      <c r="P14" s="6"/>
      <c r="Q14" s="6"/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/>
      <c r="AC14" s="5"/>
    </row>
    <row r="15" spans="1:29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6"/>
      <c r="T15" s="6"/>
      <c r="U15" s="6"/>
      <c r="V15" s="6"/>
      <c r="W15" s="6"/>
      <c r="X15" s="6"/>
      <c r="Y15" s="6"/>
      <c r="Z15" s="5">
        <v>0</v>
      </c>
      <c r="AA15" s="5">
        <v>0</v>
      </c>
      <c r="AB15" s="5">
        <v>0</v>
      </c>
      <c r="AC15" s="5">
        <v>0</v>
      </c>
    </row>
    <row r="16" spans="1:29" x14ac:dyDescent="0.2">
      <c r="A16" s="7" t="s">
        <v>9</v>
      </c>
      <c r="B16" s="6"/>
      <c r="C16" s="6"/>
      <c r="D16" s="6"/>
      <c r="E16" s="6"/>
      <c r="F16" s="6"/>
      <c r="G16" s="5">
        <v>144479017</v>
      </c>
      <c r="H16" s="5">
        <v>110406616</v>
      </c>
      <c r="I16" s="5">
        <v>139748736</v>
      </c>
      <c r="J16" s="6"/>
      <c r="K16" s="6"/>
      <c r="L16" s="6"/>
      <c r="M16" s="6"/>
      <c r="N16" s="6"/>
      <c r="O16" s="5">
        <v>140608151</v>
      </c>
      <c r="P16" s="5">
        <v>119728528</v>
      </c>
      <c r="Q16" s="5">
        <v>98809184</v>
      </c>
      <c r="R16" s="5">
        <v>116987901</v>
      </c>
      <c r="S16" s="5">
        <v>114255989</v>
      </c>
      <c r="T16" s="5">
        <v>154253961</v>
      </c>
      <c r="U16" s="5">
        <v>121282857</v>
      </c>
      <c r="V16" s="5">
        <v>125323000</v>
      </c>
      <c r="W16" s="5">
        <v>100199417</v>
      </c>
      <c r="X16" s="6"/>
      <c r="Y16" s="6"/>
      <c r="Z16" s="5"/>
      <c r="AA16" s="5">
        <v>124344442</v>
      </c>
      <c r="AB16" s="5"/>
      <c r="AC16" s="5"/>
    </row>
    <row r="17" spans="1:29" x14ac:dyDescent="0.2">
      <c r="A17" s="7" t="s">
        <v>10</v>
      </c>
      <c r="B17" s="6"/>
      <c r="C17" s="5">
        <v>99815000</v>
      </c>
      <c r="D17" s="5">
        <v>109305000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5">
        <v>138977000</v>
      </c>
      <c r="U17" s="5">
        <v>109107000</v>
      </c>
      <c r="V17" s="5">
        <v>139454000</v>
      </c>
      <c r="W17" s="5">
        <v>1843000</v>
      </c>
      <c r="X17" s="6"/>
      <c r="Y17" s="6"/>
      <c r="Z17" s="5"/>
      <c r="AA17" s="5"/>
      <c r="AB17" s="5">
        <v>949000</v>
      </c>
      <c r="AC17" s="5"/>
    </row>
    <row r="18" spans="1:29" x14ac:dyDescent="0.2">
      <c r="A18" s="7" t="s">
        <v>11</v>
      </c>
      <c r="B18" s="6"/>
      <c r="C18" s="6"/>
      <c r="D18" s="6"/>
      <c r="E18" s="6"/>
      <c r="F18" s="6"/>
      <c r="G18" s="6"/>
      <c r="H18" s="6"/>
      <c r="I18" s="5">
        <v>39664914</v>
      </c>
      <c r="J18" s="6"/>
      <c r="K18" s="6"/>
      <c r="L18" s="6"/>
      <c r="M18" s="6"/>
      <c r="N18" s="6"/>
      <c r="O18" s="6"/>
      <c r="P18" s="5">
        <v>57760259</v>
      </c>
      <c r="Q18" s="5">
        <v>66743928</v>
      </c>
      <c r="R18" s="5">
        <v>57185459</v>
      </c>
      <c r="S18" s="5">
        <v>57822469</v>
      </c>
      <c r="T18" s="5">
        <v>72222629</v>
      </c>
      <c r="U18" s="5">
        <v>57763414</v>
      </c>
      <c r="V18" s="5">
        <v>25269909</v>
      </c>
      <c r="W18" s="5">
        <v>26582409</v>
      </c>
      <c r="X18" s="6"/>
      <c r="Y18" s="6"/>
      <c r="Z18" s="5"/>
      <c r="AA18" s="5"/>
      <c r="AB18" s="5"/>
      <c r="AC18" s="5">
        <v>123602654</v>
      </c>
    </row>
    <row r="19" spans="1:29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</row>
    <row r="20" spans="1:29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</row>
    <row r="21" spans="1:29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/>
      <c r="AC21" s="5"/>
    </row>
    <row r="22" spans="1:29" x14ac:dyDescent="0.2">
      <c r="A22" s="7" t="s">
        <v>15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/>
      <c r="K22" s="6"/>
      <c r="L22" s="6"/>
      <c r="M22" s="6"/>
      <c r="N22" s="6"/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</row>
    <row r="23" spans="1:29" x14ac:dyDescent="0.2">
      <c r="A23" s="7" t="s">
        <v>16</v>
      </c>
      <c r="B23" s="5">
        <v>0</v>
      </c>
      <c r="C23" s="5"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5">
        <v>0</v>
      </c>
      <c r="X23" s="6"/>
      <c r="Y23" s="6"/>
      <c r="Z23" s="5"/>
      <c r="AA23" s="5"/>
      <c r="AB23" s="5">
        <v>0</v>
      </c>
      <c r="AC23" s="5">
        <v>0</v>
      </c>
    </row>
    <row r="24" spans="1:29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/>
      <c r="AC24" s="5"/>
    </row>
    <row r="25" spans="1:29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</row>
    <row r="26" spans="1:29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">
        <v>0</v>
      </c>
      <c r="S26" s="6"/>
      <c r="T26" s="6"/>
      <c r="U26" s="6"/>
      <c r="V26" s="6"/>
      <c r="W26" s="6"/>
      <c r="X26" s="6"/>
      <c r="Y26" s="6"/>
      <c r="Z26" s="5"/>
      <c r="AA26" s="5"/>
      <c r="AB26" s="5"/>
      <c r="AC26" s="5"/>
    </row>
    <row r="27" spans="1:29" x14ac:dyDescent="0.2">
      <c r="A27" s="7" t="s">
        <v>20</v>
      </c>
      <c r="B27" s="6"/>
      <c r="C27" s="6"/>
      <c r="D27" s="6"/>
      <c r="E27" s="6"/>
      <c r="F27" s="6"/>
      <c r="G27" s="6"/>
      <c r="H27" s="6"/>
      <c r="I27" s="5">
        <v>0</v>
      </c>
      <c r="J27" s="6"/>
      <c r="K27" s="6"/>
      <c r="L27" s="6"/>
      <c r="M27" s="6"/>
      <c r="N27" s="6"/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/>
      <c r="AB27" s="5"/>
      <c r="AC27" s="5"/>
    </row>
    <row r="28" spans="1:29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/>
      <c r="AC28" s="5"/>
    </row>
    <row r="29" spans="1:29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/>
      <c r="AC29" s="5">
        <v>0</v>
      </c>
    </row>
    <row r="30" spans="1:29" x14ac:dyDescent="0.2">
      <c r="A30" s="7" t="s">
        <v>23</v>
      </c>
      <c r="B30" s="6"/>
      <c r="C30" s="6"/>
      <c r="D30" s="6"/>
      <c r="E30" s="6"/>
      <c r="F30" s="6"/>
      <c r="G30" s="6"/>
      <c r="H30" s="6"/>
      <c r="I30" s="5">
        <v>101851000</v>
      </c>
      <c r="J30" s="6"/>
      <c r="K30" s="6"/>
      <c r="L30" s="6"/>
      <c r="M30" s="6"/>
      <c r="N30" s="6"/>
      <c r="O30" s="6"/>
      <c r="P30" s="5">
        <v>100726000</v>
      </c>
      <c r="Q30" s="5">
        <v>97874000</v>
      </c>
      <c r="R30" s="6"/>
      <c r="S30" s="5">
        <v>24629000</v>
      </c>
      <c r="T30" s="6"/>
      <c r="U30" s="6"/>
      <c r="V30" s="6"/>
      <c r="W30" s="5">
        <v>15970000</v>
      </c>
      <c r="X30" s="5">
        <v>19269000</v>
      </c>
      <c r="Y30" s="5">
        <v>13016000</v>
      </c>
      <c r="Z30" s="5">
        <v>12138000</v>
      </c>
      <c r="AA30" s="5">
        <v>10874000</v>
      </c>
      <c r="AB30" s="5">
        <v>11370000</v>
      </c>
      <c r="AC30" s="5">
        <v>9665000</v>
      </c>
    </row>
    <row r="31" spans="1:29" x14ac:dyDescent="0.2">
      <c r="A31" s="7" t="s">
        <v>24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5">
        <v>21533000</v>
      </c>
      <c r="P31" s="5">
        <v>12432000</v>
      </c>
      <c r="Q31" s="5">
        <v>19624000</v>
      </c>
      <c r="R31" s="5">
        <v>22351000</v>
      </c>
      <c r="S31" s="5">
        <v>18712000</v>
      </c>
      <c r="T31" s="6"/>
      <c r="U31" s="6"/>
      <c r="V31" s="6"/>
      <c r="W31" s="6"/>
      <c r="X31" s="6"/>
      <c r="Y31" s="6"/>
      <c r="Z31" s="5"/>
      <c r="AA31" s="5"/>
      <c r="AB31" s="5"/>
      <c r="AC31" s="5"/>
    </row>
    <row r="32" spans="1:29" x14ac:dyDescent="0.2">
      <c r="A32" s="7" t="s">
        <v>25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5">
        <v>41934407</v>
      </c>
      <c r="W32" s="5">
        <v>34941523</v>
      </c>
      <c r="X32" s="5">
        <v>30192804</v>
      </c>
      <c r="Y32" s="5">
        <v>38417519</v>
      </c>
      <c r="Z32" s="5">
        <v>38110195</v>
      </c>
      <c r="AA32" s="5">
        <v>40952742</v>
      </c>
      <c r="AB32" s="5">
        <v>41551574</v>
      </c>
      <c r="AC32" s="5">
        <v>35026680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5">
        <v>76099000</v>
      </c>
      <c r="W33" s="5">
        <v>77955000</v>
      </c>
      <c r="X33" s="5">
        <v>155971000</v>
      </c>
      <c r="Y33" s="5">
        <v>101618000</v>
      </c>
      <c r="Z33" s="5">
        <v>100998000</v>
      </c>
      <c r="AA33" s="5">
        <v>75416000</v>
      </c>
      <c r="AB33" s="5">
        <v>101991000</v>
      </c>
      <c r="AC33" s="5"/>
    </row>
    <row r="34" spans="1:29" x14ac:dyDescent="0.2">
      <c r="A34" s="7" t="s">
        <v>27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5"/>
      <c r="AA34" s="5"/>
      <c r="AB34" s="5">
        <v>12640344</v>
      </c>
      <c r="AC34" s="5"/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/>
      <c r="AC35" s="5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5">
        <v>0</v>
      </c>
      <c r="P37" s="5">
        <v>1000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18000</v>
      </c>
      <c r="AC37" s="5">
        <v>4000</v>
      </c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5">
        <v>0</v>
      </c>
      <c r="AA38" s="5">
        <v>0</v>
      </c>
      <c r="AB38" s="5"/>
      <c r="AC38" s="5"/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6"/>
      <c r="T41" s="6"/>
      <c r="U41" s="6"/>
      <c r="V41" s="6"/>
      <c r="W41" s="6"/>
      <c r="X41" s="6"/>
      <c r="Y41" s="6"/>
      <c r="Z41" s="5"/>
      <c r="AA41" s="5"/>
      <c r="AB41" s="5"/>
      <c r="AC41" s="5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1800197238</v>
      </c>
      <c r="P42" s="5">
        <v>2066326142</v>
      </c>
      <c r="Q42" s="5">
        <v>1536309479</v>
      </c>
      <c r="R42" s="5">
        <v>1518063414</v>
      </c>
      <c r="S42" s="5">
        <v>1412647076</v>
      </c>
      <c r="T42" s="5">
        <v>1486116414</v>
      </c>
      <c r="U42" s="5">
        <v>1343687225</v>
      </c>
      <c r="V42" s="5">
        <v>1298468529</v>
      </c>
      <c r="W42" s="5">
        <v>1123269491</v>
      </c>
      <c r="X42" s="5">
        <v>1300142736</v>
      </c>
      <c r="Y42" s="5">
        <v>1171627690</v>
      </c>
      <c r="Z42" s="5">
        <v>1111453016</v>
      </c>
      <c r="AA42" s="5">
        <v>1139198854</v>
      </c>
      <c r="AB42" s="5">
        <v>1121798711</v>
      </c>
      <c r="AC42" s="5">
        <v>1116677003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1801697238</v>
      </c>
      <c r="P43" s="5">
        <v>2066344142</v>
      </c>
      <c r="Q43" s="5">
        <v>1536332946</v>
      </c>
      <c r="R43" s="5">
        <v>1518099377</v>
      </c>
      <c r="S43" s="5">
        <v>1413247076</v>
      </c>
      <c r="T43" s="5">
        <v>1486566414</v>
      </c>
      <c r="U43" s="5">
        <v>1343887225</v>
      </c>
      <c r="V43" s="5">
        <v>1298748529</v>
      </c>
      <c r="W43" s="5">
        <v>1123509491</v>
      </c>
      <c r="X43" s="5">
        <v>1300142736</v>
      </c>
      <c r="Y43" s="5">
        <v>1171629490</v>
      </c>
      <c r="Z43" s="5">
        <v>1111468016</v>
      </c>
      <c r="AA43" s="5"/>
      <c r="AB43" s="5"/>
      <c r="AC43" s="5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</row>
    <row r="45" spans="1:29" x14ac:dyDescent="0.2">
      <c r="A45" s="3" t="s">
        <v>43</v>
      </c>
    </row>
    <row r="46" spans="1:29" x14ac:dyDescent="0.2">
      <c r="A46" s="11" t="s">
        <v>45</v>
      </c>
      <c r="N46" s="3">
        <f>(88.1-45.8)</f>
        <v>42.3</v>
      </c>
      <c r="O46" s="3" t="s">
        <v>46</v>
      </c>
      <c r="V46" s="3">
        <f>(150.5-31.7)</f>
        <v>118.8</v>
      </c>
    </row>
    <row r="47" spans="1:29" x14ac:dyDescent="0.2">
      <c r="B47" s="4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CB64-EB04-4354-9327-E459572E11C4}">
  <dimension ref="A1:AD47"/>
  <sheetViews>
    <sheetView zoomScale="85" zoomScaleNormal="85" workbookViewId="0">
      <selection activeCell="A37" sqref="A37:XFD37"/>
    </sheetView>
  </sheetViews>
  <sheetFormatPr baseColWidth="10" defaultColWidth="10.28515625" defaultRowHeight="14.25" x14ac:dyDescent="0.2"/>
  <cols>
    <col min="1" max="14" width="10.28515625" style="3"/>
    <col min="15" max="15" width="11.28515625" style="3" bestFit="1" customWidth="1"/>
    <col min="16" max="16" width="10.28515625" style="3"/>
    <col min="17" max="17" width="11.28515625" style="3" bestFit="1" customWidth="1"/>
    <col min="18" max="19" width="10.28515625" style="3"/>
    <col min="20" max="22" width="11.140625" style="3" bestFit="1" customWidth="1"/>
    <col min="23" max="16384" width="10.28515625" style="3"/>
  </cols>
  <sheetData>
    <row r="1" spans="1:30" ht="15" x14ac:dyDescent="0.25">
      <c r="A1" s="15" t="s">
        <v>71</v>
      </c>
      <c r="B1"/>
      <c r="C1"/>
    </row>
    <row r="2" spans="1:30" ht="15" x14ac:dyDescent="0.25">
      <c r="A2" s="15" t="s">
        <v>88</v>
      </c>
      <c r="B2" s="16" t="s">
        <v>72</v>
      </c>
      <c r="C2"/>
    </row>
    <row r="3" spans="1:30" ht="15" x14ac:dyDescent="0.25">
      <c r="A3" s="15" t="s">
        <v>89</v>
      </c>
      <c r="B3" s="15" t="s">
        <v>90</v>
      </c>
      <c r="C3"/>
    </row>
    <row r="4" spans="1:30" ht="15" x14ac:dyDescent="0.25">
      <c r="A4"/>
      <c r="B4"/>
      <c r="C4"/>
    </row>
    <row r="5" spans="1:30" ht="15" x14ac:dyDescent="0.25">
      <c r="A5" s="16" t="s">
        <v>41</v>
      </c>
      <c r="B5"/>
      <c r="C5" s="15" t="s">
        <v>74</v>
      </c>
    </row>
    <row r="6" spans="1:30" ht="15" x14ac:dyDescent="0.25">
      <c r="A6" s="16" t="s">
        <v>40</v>
      </c>
      <c r="B6"/>
      <c r="C6" s="15" t="s">
        <v>39</v>
      </c>
    </row>
    <row r="7" spans="1:30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</row>
    <row r="8" spans="1:30" x14ac:dyDescent="0.2">
      <c r="A8" s="7" t="s">
        <v>1</v>
      </c>
      <c r="B8" s="5">
        <v>58202000</v>
      </c>
      <c r="C8" s="5">
        <v>55435000</v>
      </c>
      <c r="D8" s="5">
        <v>54832000</v>
      </c>
      <c r="E8" s="5">
        <v>78857000</v>
      </c>
      <c r="F8" s="5">
        <v>89007000</v>
      </c>
      <c r="G8" s="5">
        <v>98141000</v>
      </c>
      <c r="H8" s="5">
        <v>134085000</v>
      </c>
      <c r="I8" s="5">
        <v>123195000</v>
      </c>
      <c r="J8" s="6"/>
      <c r="K8" s="6"/>
      <c r="L8" s="6"/>
      <c r="M8" s="6"/>
      <c r="N8" s="6"/>
      <c r="O8" s="5">
        <v>116308000</v>
      </c>
      <c r="P8" s="5">
        <v>112097000</v>
      </c>
      <c r="Q8" s="5">
        <v>107724000</v>
      </c>
      <c r="R8" s="5">
        <v>133700000</v>
      </c>
      <c r="S8" s="5">
        <v>132588000</v>
      </c>
      <c r="T8" s="5">
        <v>126030928</v>
      </c>
      <c r="U8" s="5">
        <v>160631000</v>
      </c>
      <c r="V8" s="5">
        <v>128341000</v>
      </c>
      <c r="W8" s="5">
        <v>95136326</v>
      </c>
      <c r="X8" s="5">
        <v>133212365</v>
      </c>
      <c r="Y8" s="5">
        <v>160873410</v>
      </c>
      <c r="Z8" s="5">
        <v>104432332</v>
      </c>
      <c r="AA8" s="5">
        <v>117825412</v>
      </c>
      <c r="AB8" s="5">
        <v>149548825</v>
      </c>
      <c r="AC8" s="5">
        <v>103547606</v>
      </c>
    </row>
    <row r="9" spans="1:30" ht="15" x14ac:dyDescent="0.25">
      <c r="A9" s="7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23">
        <f>0.5*(240+100)*1000000</f>
        <v>170000000</v>
      </c>
      <c r="P9" s="23">
        <f t="shared" ref="P9:AC9" si="0">0.5*(240+100)*1000000</f>
        <v>170000000</v>
      </c>
      <c r="Q9" s="23">
        <f t="shared" si="0"/>
        <v>170000000</v>
      </c>
      <c r="R9" s="23">
        <f t="shared" si="0"/>
        <v>170000000</v>
      </c>
      <c r="S9" s="23">
        <f t="shared" si="0"/>
        <v>170000000</v>
      </c>
      <c r="T9" s="23">
        <f t="shared" si="0"/>
        <v>170000000</v>
      </c>
      <c r="U9" s="23">
        <f t="shared" si="0"/>
        <v>170000000</v>
      </c>
      <c r="V9" s="23">
        <f t="shared" si="0"/>
        <v>170000000</v>
      </c>
      <c r="W9" s="23">
        <f t="shared" si="0"/>
        <v>170000000</v>
      </c>
      <c r="X9" s="23">
        <f t="shared" si="0"/>
        <v>170000000</v>
      </c>
      <c r="Y9" s="23">
        <f t="shared" si="0"/>
        <v>170000000</v>
      </c>
      <c r="Z9" s="23">
        <f t="shared" si="0"/>
        <v>170000000</v>
      </c>
      <c r="AA9" s="23">
        <f t="shared" si="0"/>
        <v>170000000</v>
      </c>
      <c r="AB9" s="23">
        <f t="shared" si="0"/>
        <v>170000000</v>
      </c>
      <c r="AC9" s="23">
        <f t="shared" si="0"/>
        <v>170000000</v>
      </c>
      <c r="AD9" t="s">
        <v>94</v>
      </c>
    </row>
    <row r="10" spans="1:30" x14ac:dyDescent="0.2">
      <c r="A10" s="7" t="s">
        <v>3</v>
      </c>
      <c r="B10" s="5">
        <v>538884000</v>
      </c>
      <c r="C10" s="5">
        <v>702986000</v>
      </c>
      <c r="D10" s="5">
        <v>723580000</v>
      </c>
      <c r="E10" s="5">
        <v>736231000</v>
      </c>
      <c r="F10" s="5">
        <v>643546000</v>
      </c>
      <c r="G10" s="5">
        <v>651185000</v>
      </c>
      <c r="H10" s="5">
        <v>631976000</v>
      </c>
      <c r="I10" s="5">
        <v>654333000</v>
      </c>
      <c r="J10" s="6"/>
      <c r="K10" s="6"/>
      <c r="L10" s="6"/>
      <c r="M10" s="6"/>
      <c r="N10" s="6"/>
      <c r="O10" s="5">
        <v>763107000</v>
      </c>
      <c r="P10" s="6"/>
      <c r="Q10" s="5">
        <v>662403000</v>
      </c>
      <c r="R10" s="5">
        <v>666318000</v>
      </c>
      <c r="S10" s="5">
        <v>696997000</v>
      </c>
      <c r="T10" s="5">
        <v>706041000</v>
      </c>
      <c r="U10" s="5">
        <v>636322000</v>
      </c>
      <c r="V10" s="5">
        <v>591337000</v>
      </c>
      <c r="W10" s="5">
        <v>593775000</v>
      </c>
      <c r="X10" s="5">
        <v>597208000</v>
      </c>
      <c r="Y10" s="5">
        <v>546630000</v>
      </c>
      <c r="Z10" s="5">
        <v>547256000</v>
      </c>
      <c r="AA10" s="5">
        <v>571290000</v>
      </c>
      <c r="AB10" s="5">
        <v>566647000</v>
      </c>
      <c r="AC10" s="5">
        <v>564302000</v>
      </c>
    </row>
    <row r="11" spans="1:30" x14ac:dyDescent="0.2">
      <c r="A11" s="7" t="s">
        <v>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9">
        <f>AVERAGE(Y11:AA11)</f>
        <v>139626000</v>
      </c>
      <c r="R11" s="6"/>
      <c r="S11" s="6"/>
      <c r="T11" s="6"/>
      <c r="U11" s="6"/>
      <c r="V11" s="6"/>
      <c r="W11" s="6"/>
      <c r="X11" s="6"/>
      <c r="Y11" s="5">
        <v>149323000</v>
      </c>
      <c r="Z11" s="5">
        <v>126304000</v>
      </c>
      <c r="AA11" s="5">
        <v>143251000</v>
      </c>
      <c r="AB11" s="5">
        <v>145298000</v>
      </c>
      <c r="AC11" s="5">
        <v>128825000</v>
      </c>
    </row>
    <row r="12" spans="1:30" x14ac:dyDescent="0.2">
      <c r="A12" s="7" t="s">
        <v>5</v>
      </c>
      <c r="B12" s="19">
        <f>C12</f>
        <v>24996899</v>
      </c>
      <c r="C12" s="19">
        <f>D12</f>
        <v>24996899</v>
      </c>
      <c r="D12" s="5">
        <v>24996899</v>
      </c>
      <c r="E12" s="19">
        <f>D12</f>
        <v>24996899</v>
      </c>
      <c r="F12" s="19">
        <f t="shared" ref="F12:G12" si="1">E12</f>
        <v>24996899</v>
      </c>
      <c r="G12" s="19">
        <f t="shared" si="1"/>
        <v>24996899</v>
      </c>
      <c r="H12" s="19"/>
      <c r="I12" s="19">
        <f>D12</f>
        <v>24996899</v>
      </c>
      <c r="J12" s="6"/>
      <c r="K12" s="6"/>
      <c r="L12" s="6"/>
      <c r="M12" s="6"/>
      <c r="N12" s="6"/>
      <c r="O12" s="6"/>
      <c r="P12" s="19">
        <f>Q12</f>
        <v>23467</v>
      </c>
      <c r="Q12" s="5">
        <v>23467</v>
      </c>
      <c r="R12" s="5">
        <v>35963</v>
      </c>
      <c r="S12" s="6"/>
      <c r="T12" s="6"/>
      <c r="U12" s="6"/>
      <c r="V12" s="6"/>
      <c r="W12" s="6"/>
      <c r="X12" s="5">
        <v>0</v>
      </c>
      <c r="Y12" s="6"/>
      <c r="Z12" s="5"/>
      <c r="AA12" s="5"/>
      <c r="AB12" s="5"/>
      <c r="AC12" s="5"/>
    </row>
    <row r="13" spans="1:30" x14ac:dyDescent="0.2">
      <c r="A13" s="7" t="s">
        <v>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6"/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/>
      <c r="AC13" s="5"/>
    </row>
    <row r="14" spans="1:30" x14ac:dyDescent="0.2">
      <c r="A14" s="7" t="s">
        <v>7</v>
      </c>
      <c r="B14" s="6"/>
      <c r="C14" s="6"/>
      <c r="D14" s="6"/>
      <c r="E14" s="6"/>
      <c r="F14" s="5">
        <v>0</v>
      </c>
      <c r="G14" s="5">
        <v>0</v>
      </c>
      <c r="H14" s="5">
        <v>0</v>
      </c>
      <c r="I14" s="5">
        <v>0</v>
      </c>
      <c r="J14" s="6"/>
      <c r="K14" s="6"/>
      <c r="L14" s="6"/>
      <c r="M14" s="6"/>
      <c r="N14" s="6"/>
      <c r="O14" s="6"/>
      <c r="P14" s="6"/>
      <c r="Q14" s="6"/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/>
      <c r="AC14" s="5"/>
    </row>
    <row r="15" spans="1:30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6"/>
      <c r="T15" s="6"/>
      <c r="U15" s="6"/>
      <c r="V15" s="6"/>
      <c r="W15" s="6"/>
      <c r="X15" s="6"/>
      <c r="Y15" s="6"/>
      <c r="Z15" s="5">
        <v>0</v>
      </c>
      <c r="AA15" s="5">
        <v>0</v>
      </c>
      <c r="AB15" s="5">
        <v>0</v>
      </c>
      <c r="AC15" s="5">
        <v>0</v>
      </c>
    </row>
    <row r="16" spans="1:30" x14ac:dyDescent="0.2">
      <c r="A16" s="7" t="s">
        <v>9</v>
      </c>
      <c r="B16" s="6"/>
      <c r="C16" s="6"/>
      <c r="D16" s="6"/>
      <c r="E16" s="6"/>
      <c r="F16" s="6"/>
      <c r="G16" s="5">
        <v>144479017</v>
      </c>
      <c r="H16" s="5">
        <v>110406616</v>
      </c>
      <c r="I16" s="5">
        <v>139748736</v>
      </c>
      <c r="J16" s="6"/>
      <c r="K16" s="6"/>
      <c r="L16" s="6"/>
      <c r="M16" s="6"/>
      <c r="N16" s="6"/>
      <c r="O16" s="5">
        <v>140608151</v>
      </c>
      <c r="P16" s="5">
        <v>119728528</v>
      </c>
      <c r="Q16" s="5">
        <v>98809184</v>
      </c>
      <c r="R16" s="5">
        <v>116987901</v>
      </c>
      <c r="S16" s="5">
        <v>114255989</v>
      </c>
      <c r="T16" s="5">
        <v>154253961</v>
      </c>
      <c r="U16" s="5">
        <v>121282857</v>
      </c>
      <c r="V16" s="5">
        <v>125323000</v>
      </c>
      <c r="W16" s="5">
        <v>100199417</v>
      </c>
      <c r="X16" s="6"/>
      <c r="Y16" s="6"/>
      <c r="Z16" s="5"/>
      <c r="AA16" s="5">
        <v>124344442</v>
      </c>
      <c r="AB16" s="5"/>
      <c r="AC16" s="5"/>
    </row>
    <row r="17" spans="1:29" x14ac:dyDescent="0.2">
      <c r="A17" s="7" t="s">
        <v>10</v>
      </c>
      <c r="B17" s="6"/>
      <c r="C17" s="5">
        <v>99815000</v>
      </c>
      <c r="D17" s="5">
        <v>109305000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5">
        <v>138977000</v>
      </c>
      <c r="U17" s="5">
        <v>109107000</v>
      </c>
      <c r="V17" s="5">
        <v>139454000</v>
      </c>
      <c r="W17" s="5">
        <v>1843000</v>
      </c>
      <c r="X17" s="6"/>
      <c r="Y17" s="6"/>
      <c r="Z17" s="5"/>
      <c r="AA17" s="5"/>
      <c r="AB17" s="5">
        <v>949000</v>
      </c>
      <c r="AC17" s="5"/>
    </row>
    <row r="18" spans="1:29" x14ac:dyDescent="0.2">
      <c r="A18" s="7" t="s">
        <v>11</v>
      </c>
      <c r="B18" s="6"/>
      <c r="C18" s="6"/>
      <c r="D18" s="6"/>
      <c r="E18" s="6"/>
      <c r="F18" s="6"/>
      <c r="G18" s="6"/>
      <c r="H18" s="6"/>
      <c r="I18" s="5">
        <v>39664914</v>
      </c>
      <c r="J18" s="6"/>
      <c r="K18" s="6"/>
      <c r="L18" s="6"/>
      <c r="M18" s="6"/>
      <c r="N18" s="6"/>
      <c r="O18" s="6"/>
      <c r="P18" s="5">
        <v>57760259</v>
      </c>
      <c r="Q18" s="5">
        <v>66743928</v>
      </c>
      <c r="R18" s="5">
        <v>57185459</v>
      </c>
      <c r="S18" s="5">
        <v>57822469</v>
      </c>
      <c r="T18" s="5">
        <v>72222629</v>
      </c>
      <c r="U18" s="5">
        <v>57763414</v>
      </c>
      <c r="V18" s="5">
        <v>25269909</v>
      </c>
      <c r="W18" s="5">
        <v>26582409</v>
      </c>
      <c r="X18" s="6"/>
      <c r="Y18" s="6"/>
      <c r="Z18" s="5"/>
      <c r="AA18" s="5"/>
      <c r="AB18" s="5"/>
      <c r="AC18" s="5">
        <v>123602654</v>
      </c>
    </row>
    <row r="19" spans="1:29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</row>
    <row r="20" spans="1:29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</row>
    <row r="21" spans="1:29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/>
      <c r="AC21" s="5"/>
    </row>
    <row r="22" spans="1:29" x14ac:dyDescent="0.2">
      <c r="A22" s="7" t="s">
        <v>15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/>
      <c r="K22" s="6"/>
      <c r="L22" s="6"/>
      <c r="M22" s="6"/>
      <c r="N22" s="6"/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</row>
    <row r="23" spans="1:29" x14ac:dyDescent="0.2">
      <c r="A23" s="7" t="s">
        <v>16</v>
      </c>
      <c r="B23" s="5">
        <v>0</v>
      </c>
      <c r="C23" s="5"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5">
        <v>0</v>
      </c>
      <c r="X23" s="6"/>
      <c r="Y23" s="6"/>
      <c r="Z23" s="5"/>
      <c r="AA23" s="5"/>
      <c r="AB23" s="5">
        <v>0</v>
      </c>
      <c r="AC23" s="5">
        <v>0</v>
      </c>
    </row>
    <row r="24" spans="1:29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/>
      <c r="AC24" s="5"/>
    </row>
    <row r="25" spans="1:29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</row>
    <row r="26" spans="1:29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">
        <v>0</v>
      </c>
      <c r="S26" s="6"/>
      <c r="T26" s="6"/>
      <c r="U26" s="6"/>
      <c r="V26" s="6"/>
      <c r="W26" s="6"/>
      <c r="X26" s="6"/>
      <c r="Y26" s="6"/>
      <c r="Z26" s="5"/>
      <c r="AA26" s="5"/>
      <c r="AB26" s="5"/>
      <c r="AC26" s="5"/>
    </row>
    <row r="27" spans="1:29" x14ac:dyDescent="0.2">
      <c r="A27" s="7" t="s">
        <v>20</v>
      </c>
      <c r="B27" s="6"/>
      <c r="C27" s="6"/>
      <c r="D27" s="6"/>
      <c r="E27" s="6"/>
      <c r="F27" s="6"/>
      <c r="G27" s="6"/>
      <c r="H27" s="6"/>
      <c r="I27" s="5">
        <v>0</v>
      </c>
      <c r="J27" s="6"/>
      <c r="K27" s="6"/>
      <c r="L27" s="6"/>
      <c r="M27" s="6"/>
      <c r="N27" s="6"/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/>
      <c r="AB27" s="5"/>
      <c r="AC27" s="5"/>
    </row>
    <row r="28" spans="1:29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/>
      <c r="AC28" s="5"/>
    </row>
    <row r="29" spans="1:29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/>
      <c r="AC29" s="5">
        <v>0</v>
      </c>
    </row>
    <row r="30" spans="1:29" x14ac:dyDescent="0.2">
      <c r="A30" s="7" t="s">
        <v>23</v>
      </c>
      <c r="B30" s="6"/>
      <c r="C30" s="6"/>
      <c r="D30" s="6"/>
      <c r="E30" s="6"/>
      <c r="F30" s="6"/>
      <c r="G30" s="6"/>
      <c r="H30" s="6"/>
      <c r="I30" s="5">
        <v>101851000</v>
      </c>
      <c r="J30" s="6"/>
      <c r="K30" s="6"/>
      <c r="L30" s="6"/>
      <c r="M30" s="6"/>
      <c r="N30" s="6"/>
      <c r="O30" s="19">
        <f>P30</f>
        <v>100726000</v>
      </c>
      <c r="P30" s="5">
        <v>100726000</v>
      </c>
      <c r="Q30" s="5">
        <v>97874000</v>
      </c>
      <c r="R30" s="19">
        <f>AVERAGE(Q30,S30)</f>
        <v>61251500</v>
      </c>
      <c r="S30" s="5">
        <v>24629000</v>
      </c>
      <c r="T30" s="19">
        <f>AVERAGE(S30,X30)</f>
        <v>21949000</v>
      </c>
      <c r="U30" s="19">
        <f>AVERAGE(T30,W30)</f>
        <v>18959500</v>
      </c>
      <c r="V30" s="19">
        <f>W30</f>
        <v>15970000</v>
      </c>
      <c r="W30" s="5">
        <v>15970000</v>
      </c>
      <c r="X30" s="5">
        <v>19269000</v>
      </c>
      <c r="Y30" s="5">
        <v>13016000</v>
      </c>
      <c r="Z30" s="5">
        <v>12138000</v>
      </c>
      <c r="AA30" s="5">
        <v>10874000</v>
      </c>
      <c r="AB30" s="5">
        <v>11370000</v>
      </c>
      <c r="AC30" s="5">
        <v>9665000</v>
      </c>
    </row>
    <row r="31" spans="1:29" x14ac:dyDescent="0.2">
      <c r="A31" s="7" t="s">
        <v>24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5">
        <v>21533000</v>
      </c>
      <c r="P31" s="5">
        <v>12432000</v>
      </c>
      <c r="Q31" s="5">
        <v>19624000</v>
      </c>
      <c r="R31" s="5">
        <v>22351000</v>
      </c>
      <c r="S31" s="5">
        <v>18712000</v>
      </c>
      <c r="T31" s="6"/>
      <c r="U31" s="6"/>
      <c r="V31" s="6"/>
      <c r="W31" s="6"/>
      <c r="X31" s="6"/>
      <c r="Y31" s="6"/>
      <c r="Z31" s="5"/>
      <c r="AA31" s="5"/>
      <c r="AB31" s="5"/>
      <c r="AC31" s="5"/>
    </row>
    <row r="32" spans="1:29" x14ac:dyDescent="0.2">
      <c r="A32" s="7" t="s">
        <v>25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5">
        <v>41934407</v>
      </c>
      <c r="W32" s="5">
        <v>34941523</v>
      </c>
      <c r="X32" s="5">
        <v>30192804</v>
      </c>
      <c r="Y32" s="5">
        <v>38417519</v>
      </c>
      <c r="Z32" s="5">
        <v>38110195</v>
      </c>
      <c r="AA32" s="5">
        <v>40952742</v>
      </c>
      <c r="AB32" s="5">
        <v>41551574</v>
      </c>
      <c r="AC32" s="5">
        <v>35026680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24"/>
      <c r="P33" s="24"/>
      <c r="Q33" s="24"/>
      <c r="R33" s="24"/>
      <c r="S33" s="24"/>
      <c r="T33" s="24"/>
      <c r="U33" s="24"/>
      <c r="V33" s="5">
        <v>76099000</v>
      </c>
      <c r="W33" s="5">
        <v>77955000</v>
      </c>
      <c r="X33" s="5">
        <v>155971000</v>
      </c>
      <c r="Y33" s="5">
        <v>101618000</v>
      </c>
      <c r="Z33" s="5">
        <v>100998000</v>
      </c>
      <c r="AA33" s="5">
        <v>75416000</v>
      </c>
      <c r="AB33" s="5">
        <v>101991000</v>
      </c>
      <c r="AC33" s="5"/>
    </row>
    <row r="34" spans="1:29" x14ac:dyDescent="0.2">
      <c r="A34" s="7" t="s">
        <v>27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5"/>
      <c r="AA34" s="5"/>
      <c r="AB34" s="5">
        <v>12640344</v>
      </c>
      <c r="AC34" s="5"/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/>
      <c r="AC35" s="5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5">
        <v>0</v>
      </c>
      <c r="P37" s="5">
        <v>1000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18000</v>
      </c>
      <c r="AC37" s="5">
        <v>4000</v>
      </c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5">
        <v>0</v>
      </c>
      <c r="AA38" s="5">
        <v>0</v>
      </c>
      <c r="AB38" s="5"/>
      <c r="AC38" s="5"/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6"/>
      <c r="T41" s="6"/>
      <c r="U41" s="6"/>
      <c r="V41" s="6"/>
      <c r="W41" s="6"/>
      <c r="X41" s="6"/>
      <c r="Y41" s="6"/>
      <c r="Z41" s="5"/>
      <c r="AA41" s="5"/>
      <c r="AB41" s="5"/>
      <c r="AC41" s="5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1800197238</v>
      </c>
      <c r="P42" s="5">
        <v>2066326142</v>
      </c>
      <c r="Q42" s="5">
        <v>1536309479</v>
      </c>
      <c r="R42" s="5">
        <v>1518063414</v>
      </c>
      <c r="S42" s="5">
        <v>1412647076</v>
      </c>
      <c r="T42" s="5">
        <v>1486116414</v>
      </c>
      <c r="U42" s="5">
        <v>1343687225</v>
      </c>
      <c r="V42" s="5">
        <v>1298468529</v>
      </c>
      <c r="W42" s="5">
        <v>1123269491</v>
      </c>
      <c r="X42" s="5">
        <v>1300142736</v>
      </c>
      <c r="Y42" s="5">
        <v>1171627690</v>
      </c>
      <c r="Z42" s="5">
        <v>1111453016</v>
      </c>
      <c r="AA42" s="5">
        <v>1139198854</v>
      </c>
      <c r="AB42" s="5">
        <v>1121798711</v>
      </c>
      <c r="AC42" s="5">
        <v>1116677003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1801697238</v>
      </c>
      <c r="P43" s="5">
        <v>2066344142</v>
      </c>
      <c r="Q43" s="5">
        <v>1536332946</v>
      </c>
      <c r="R43" s="5">
        <v>1518099377</v>
      </c>
      <c r="S43" s="5">
        <v>1413247076</v>
      </c>
      <c r="T43" s="5">
        <v>1486566414</v>
      </c>
      <c r="U43" s="5">
        <v>1343887225</v>
      </c>
      <c r="V43" s="5">
        <v>1298748529</v>
      </c>
      <c r="W43" s="5">
        <v>1123509491</v>
      </c>
      <c r="X43" s="5">
        <v>1300142736</v>
      </c>
      <c r="Y43" s="5">
        <v>1171629490</v>
      </c>
      <c r="Z43" s="5">
        <v>1111468016</v>
      </c>
      <c r="AA43" s="5"/>
      <c r="AB43" s="5"/>
      <c r="AC43" s="5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</row>
    <row r="45" spans="1:29" x14ac:dyDescent="0.2">
      <c r="A45" s="3" t="s">
        <v>43</v>
      </c>
    </row>
    <row r="46" spans="1:29" x14ac:dyDescent="0.2">
      <c r="A46" s="11" t="s">
        <v>45</v>
      </c>
      <c r="N46" s="3">
        <f>(88.1-45.8)</f>
        <v>42.3</v>
      </c>
      <c r="O46" s="3" t="s">
        <v>46</v>
      </c>
      <c r="V46" s="3">
        <f>(150.5-31.7)</f>
        <v>118.8</v>
      </c>
    </row>
    <row r="47" spans="1:29" x14ac:dyDescent="0.2">
      <c r="B47" s="4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47"/>
  <sheetViews>
    <sheetView zoomScale="85" zoomScaleNormal="85" workbookViewId="0">
      <selection activeCell="A18" sqref="A18:XFD18"/>
    </sheetView>
  </sheetViews>
  <sheetFormatPr baseColWidth="10" defaultColWidth="10.28515625" defaultRowHeight="14.25" x14ac:dyDescent="0.2"/>
  <cols>
    <col min="1" max="16384" width="10.28515625" style="3"/>
  </cols>
  <sheetData>
    <row r="1" spans="1:29" ht="15" x14ac:dyDescent="0.25">
      <c r="A1" s="15" t="s">
        <v>71</v>
      </c>
      <c r="B1"/>
      <c r="C1"/>
    </row>
    <row r="2" spans="1:29" ht="15" x14ac:dyDescent="0.25">
      <c r="A2" s="15" t="s">
        <v>88</v>
      </c>
      <c r="B2" s="16" t="s">
        <v>72</v>
      </c>
      <c r="C2"/>
    </row>
    <row r="3" spans="1:29" ht="15" x14ac:dyDescent="0.25">
      <c r="A3" s="15" t="s">
        <v>89</v>
      </c>
      <c r="B3" s="15" t="s">
        <v>90</v>
      </c>
      <c r="C3"/>
    </row>
    <row r="4" spans="1:29" ht="15" x14ac:dyDescent="0.25">
      <c r="A4"/>
      <c r="B4"/>
      <c r="C4"/>
    </row>
    <row r="5" spans="1:29" ht="15" x14ac:dyDescent="0.25">
      <c r="A5" s="16" t="s">
        <v>41</v>
      </c>
      <c r="B5"/>
      <c r="C5" s="15" t="s">
        <v>75</v>
      </c>
    </row>
    <row r="6" spans="1:29" ht="15" x14ac:dyDescent="0.25">
      <c r="A6" s="16" t="s">
        <v>40</v>
      </c>
      <c r="B6"/>
      <c r="C6" s="15" t="s">
        <v>39</v>
      </c>
    </row>
    <row r="7" spans="1:29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</row>
    <row r="8" spans="1:29" x14ac:dyDescent="0.2">
      <c r="A8" s="7" t="s">
        <v>1</v>
      </c>
      <c r="B8" s="5">
        <v>100808000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5">
        <v>0</v>
      </c>
      <c r="S8" s="6"/>
      <c r="T8" s="5">
        <v>0</v>
      </c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">
      <c r="A9" s="7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">
      <c r="A10" s="7" t="s">
        <v>3</v>
      </c>
      <c r="B10" s="5">
        <v>252250000</v>
      </c>
      <c r="C10" s="5">
        <v>277728000</v>
      </c>
      <c r="D10" s="5">
        <v>317087000</v>
      </c>
      <c r="E10" s="5">
        <v>257545000</v>
      </c>
      <c r="F10" s="5">
        <v>209014000</v>
      </c>
      <c r="G10" s="5">
        <v>206388000</v>
      </c>
      <c r="H10" s="5">
        <v>211101000</v>
      </c>
      <c r="I10" s="5">
        <v>226444000</v>
      </c>
      <c r="J10" s="6"/>
      <c r="K10" s="6"/>
      <c r="L10" s="6"/>
      <c r="M10" s="6"/>
      <c r="N10" s="6"/>
      <c r="O10" s="5">
        <v>180419000</v>
      </c>
      <c r="P10" s="5">
        <v>173889000</v>
      </c>
      <c r="Q10" s="5">
        <v>179092000</v>
      </c>
      <c r="R10" s="5">
        <v>178827000</v>
      </c>
      <c r="S10" s="5">
        <v>175891000</v>
      </c>
      <c r="T10" s="5">
        <v>169603000</v>
      </c>
      <c r="U10" s="5">
        <v>175688000</v>
      </c>
      <c r="V10" s="5">
        <v>175715000</v>
      </c>
      <c r="W10" s="5">
        <v>212835000</v>
      </c>
      <c r="X10" s="5">
        <v>225463000</v>
      </c>
      <c r="Y10" s="6"/>
      <c r="Z10" s="6">
        <v>139852000</v>
      </c>
      <c r="AA10" s="6"/>
      <c r="AB10" s="6"/>
      <c r="AC10" s="6"/>
    </row>
    <row r="11" spans="1:29" x14ac:dyDescent="0.2">
      <c r="A11" s="7" t="s">
        <v>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5">
        <v>0</v>
      </c>
      <c r="W11" s="5">
        <v>0</v>
      </c>
      <c r="X11" s="5">
        <v>0</v>
      </c>
      <c r="Y11" s="5">
        <v>0</v>
      </c>
      <c r="Z11" s="6"/>
      <c r="AA11" s="6">
        <v>0</v>
      </c>
      <c r="AB11" s="6">
        <v>0</v>
      </c>
      <c r="AC11" s="6">
        <v>0</v>
      </c>
    </row>
    <row r="12" spans="1:29" x14ac:dyDescent="0.2">
      <c r="A12" s="9" t="s">
        <v>5</v>
      </c>
      <c r="B12" s="5">
        <v>158451</v>
      </c>
      <c r="C12" s="6"/>
      <c r="D12" s="5">
        <v>168618</v>
      </c>
      <c r="E12" s="5">
        <v>44393</v>
      </c>
      <c r="F12" s="6"/>
      <c r="G12" s="6"/>
      <c r="H12" s="6"/>
      <c r="I12" s="5">
        <v>0</v>
      </c>
      <c r="J12" s="6"/>
      <c r="K12" s="6"/>
      <c r="L12" s="6"/>
      <c r="M12" s="6"/>
      <c r="N12" s="6"/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139432</v>
      </c>
      <c r="Y12" s="5">
        <v>0</v>
      </c>
      <c r="Z12" s="6">
        <v>0</v>
      </c>
      <c r="AA12" s="6"/>
      <c r="AB12" s="6"/>
      <c r="AC12" s="6"/>
    </row>
    <row r="13" spans="1:29" x14ac:dyDescent="0.2">
      <c r="A13" s="7" t="s">
        <v>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6">
        <v>0</v>
      </c>
      <c r="AA13" s="6">
        <v>0</v>
      </c>
      <c r="AB13" s="6"/>
      <c r="AC13" s="6"/>
    </row>
    <row r="14" spans="1:29" x14ac:dyDescent="0.2">
      <c r="A14" s="7" t="s">
        <v>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6">
        <v>0</v>
      </c>
      <c r="AA14" s="6">
        <v>0</v>
      </c>
      <c r="AB14" s="6"/>
      <c r="AC14" s="6"/>
    </row>
    <row r="15" spans="1:29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6">
        <v>0</v>
      </c>
      <c r="AA15" s="6">
        <v>0</v>
      </c>
      <c r="AB15" s="6">
        <v>0</v>
      </c>
      <c r="AC15" s="6">
        <v>0</v>
      </c>
    </row>
    <row r="16" spans="1:29" x14ac:dyDescent="0.2">
      <c r="A16" s="7" t="s">
        <v>9</v>
      </c>
      <c r="B16" s="6"/>
      <c r="C16" s="6"/>
      <c r="D16" s="6"/>
      <c r="E16" s="6"/>
      <c r="F16" s="6"/>
      <c r="G16" s="5">
        <v>35667975</v>
      </c>
      <c r="H16" s="5">
        <v>24759722</v>
      </c>
      <c r="I16" s="5">
        <v>36028231</v>
      </c>
      <c r="J16" s="6"/>
      <c r="K16" s="6"/>
      <c r="L16" s="6"/>
      <c r="M16" s="6"/>
      <c r="N16" s="6"/>
      <c r="O16" s="5">
        <v>34981807</v>
      </c>
      <c r="P16" s="5">
        <v>23408299</v>
      </c>
      <c r="Q16" s="5">
        <v>19503794</v>
      </c>
      <c r="R16" s="5">
        <v>31940136</v>
      </c>
      <c r="S16" s="5">
        <v>30427886</v>
      </c>
      <c r="T16" s="5">
        <v>41571257</v>
      </c>
      <c r="U16" s="5">
        <v>8820340</v>
      </c>
      <c r="V16" s="5">
        <v>0</v>
      </c>
      <c r="W16" s="5">
        <v>0</v>
      </c>
      <c r="X16" s="5">
        <v>0</v>
      </c>
      <c r="Y16" s="5">
        <v>0</v>
      </c>
      <c r="Z16" s="6">
        <v>0</v>
      </c>
      <c r="AA16" s="6">
        <v>0</v>
      </c>
      <c r="AB16" s="6"/>
      <c r="AC16" s="6"/>
    </row>
    <row r="17" spans="1:29" x14ac:dyDescent="0.2">
      <c r="A17" s="7" t="s">
        <v>10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2">
      <c r="A18" s="7" t="s">
        <v>11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/>
      <c r="K18" s="6"/>
      <c r="L18" s="6"/>
      <c r="M18" s="6"/>
      <c r="N18" s="6"/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6">
        <v>0</v>
      </c>
      <c r="AA18" s="6">
        <v>0</v>
      </c>
      <c r="AB18" s="6"/>
      <c r="AC18" s="6"/>
    </row>
    <row r="19" spans="1:29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6">
        <v>0</v>
      </c>
      <c r="AA19" s="6">
        <v>0</v>
      </c>
      <c r="AB19" s="6">
        <v>0</v>
      </c>
      <c r="AC19" s="6">
        <v>0</v>
      </c>
    </row>
    <row r="20" spans="1:29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6">
        <v>0</v>
      </c>
      <c r="AA20" s="6">
        <v>0</v>
      </c>
      <c r="AB20" s="6">
        <v>0</v>
      </c>
      <c r="AC20" s="6">
        <v>0</v>
      </c>
    </row>
    <row r="21" spans="1:29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6">
        <v>0</v>
      </c>
      <c r="AA21" s="6">
        <v>0</v>
      </c>
      <c r="AB21" s="6"/>
      <c r="AC21" s="6"/>
    </row>
    <row r="22" spans="1:29" x14ac:dyDescent="0.2">
      <c r="A22" s="7" t="s">
        <v>15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/>
      <c r="K22" s="6"/>
      <c r="L22" s="6"/>
      <c r="M22" s="6"/>
      <c r="N22" s="6"/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6">
        <v>0</v>
      </c>
      <c r="AA22" s="6">
        <v>0</v>
      </c>
      <c r="AB22" s="6">
        <v>0</v>
      </c>
      <c r="AC22" s="6">
        <v>0</v>
      </c>
    </row>
    <row r="23" spans="1:29" x14ac:dyDescent="0.2">
      <c r="A23" s="7" t="s">
        <v>16</v>
      </c>
      <c r="B23" s="6"/>
      <c r="C23" s="6"/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/>
      <c r="K23" s="6"/>
      <c r="L23" s="6"/>
      <c r="M23" s="6"/>
      <c r="N23" s="6"/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6">
        <v>0</v>
      </c>
      <c r="AA23" s="6">
        <v>0</v>
      </c>
      <c r="AB23" s="6">
        <v>0</v>
      </c>
      <c r="AC23" s="6">
        <v>5064</v>
      </c>
    </row>
    <row r="24" spans="1:29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5">
        <v>0</v>
      </c>
      <c r="P24" s="6"/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6"/>
      <c r="Y24" s="5">
        <v>0</v>
      </c>
      <c r="Z24" s="6">
        <v>0</v>
      </c>
      <c r="AA24" s="6">
        <v>0</v>
      </c>
      <c r="AB24" s="6"/>
      <c r="AC24" s="6"/>
    </row>
    <row r="25" spans="1:29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6">
        <v>0</v>
      </c>
      <c r="AA25" s="6">
        <v>0</v>
      </c>
      <c r="AB25" s="6">
        <v>0</v>
      </c>
      <c r="AC25" s="6">
        <v>0</v>
      </c>
    </row>
    <row r="26" spans="1:29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">
        <v>0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2">
      <c r="A27" s="7" t="s">
        <v>20</v>
      </c>
      <c r="B27" s="6"/>
      <c r="C27" s="6"/>
      <c r="D27" s="6"/>
      <c r="E27" s="6"/>
      <c r="F27" s="6"/>
      <c r="G27" s="5">
        <v>0</v>
      </c>
      <c r="H27" s="5">
        <v>0</v>
      </c>
      <c r="I27" s="5">
        <v>0</v>
      </c>
      <c r="J27" s="6"/>
      <c r="K27" s="6"/>
      <c r="L27" s="6"/>
      <c r="M27" s="6"/>
      <c r="N27" s="6"/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6">
        <v>0</v>
      </c>
      <c r="AA27" s="6"/>
      <c r="AB27" s="6"/>
      <c r="AC27" s="6"/>
    </row>
    <row r="28" spans="1:29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6">
        <v>0</v>
      </c>
      <c r="AA28" s="6">
        <v>0</v>
      </c>
      <c r="AB28" s="6"/>
      <c r="AC28" s="6"/>
    </row>
    <row r="29" spans="1:29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6">
        <v>0</v>
      </c>
      <c r="AA29" s="6">
        <v>0</v>
      </c>
      <c r="AB29" s="6"/>
      <c r="AC29" s="6">
        <v>0</v>
      </c>
    </row>
    <row r="30" spans="1:29" x14ac:dyDescent="0.2">
      <c r="A30" s="7" t="s">
        <v>23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5">
        <v>21164000</v>
      </c>
      <c r="Q30" s="5">
        <v>5078000</v>
      </c>
      <c r="R30" s="6"/>
      <c r="S30" s="6"/>
      <c r="T30" s="6"/>
      <c r="U30" s="6"/>
      <c r="V30" s="5">
        <v>0</v>
      </c>
      <c r="W30" s="5">
        <v>0</v>
      </c>
      <c r="X30" s="5">
        <v>0</v>
      </c>
      <c r="Y30" s="5">
        <v>0</v>
      </c>
      <c r="Z30" s="6">
        <v>0</v>
      </c>
      <c r="AA30" s="6">
        <v>0</v>
      </c>
      <c r="AB30" s="6">
        <v>0</v>
      </c>
      <c r="AC30" s="6">
        <v>0</v>
      </c>
    </row>
    <row r="31" spans="1:29" x14ac:dyDescent="0.2">
      <c r="A31" s="7" t="s">
        <v>24</v>
      </c>
      <c r="B31" s="6"/>
      <c r="C31" s="6"/>
      <c r="D31" s="6"/>
      <c r="E31" s="6"/>
      <c r="F31" s="6"/>
      <c r="G31" s="6"/>
      <c r="H31" s="5">
        <v>0</v>
      </c>
      <c r="I31" s="5">
        <v>0</v>
      </c>
      <c r="J31" s="6"/>
      <c r="K31" s="6"/>
      <c r="L31" s="6"/>
      <c r="M31" s="6"/>
      <c r="N31" s="6"/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6">
        <v>0</v>
      </c>
      <c r="AA31" s="6">
        <v>0</v>
      </c>
      <c r="AB31" s="6"/>
      <c r="AC31" s="6"/>
    </row>
    <row r="32" spans="1:29" x14ac:dyDescent="0.2">
      <c r="A32" s="7" t="s">
        <v>25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5">
        <v>8615230</v>
      </c>
      <c r="W32" s="5">
        <v>6556850</v>
      </c>
      <c r="X32" s="5">
        <v>5676430</v>
      </c>
      <c r="Y32" s="5">
        <v>7109520</v>
      </c>
      <c r="Z32" s="6">
        <v>6392670</v>
      </c>
      <c r="AA32" s="6">
        <v>5954620</v>
      </c>
      <c r="AB32" s="6">
        <v>7954600</v>
      </c>
      <c r="AC32" s="6">
        <v>6367310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5">
        <v>25329000</v>
      </c>
      <c r="W33" s="5">
        <v>25998000</v>
      </c>
      <c r="X33" s="5">
        <v>30657000</v>
      </c>
      <c r="Y33" s="5">
        <v>24747000</v>
      </c>
      <c r="Z33" s="6">
        <v>25904000</v>
      </c>
      <c r="AA33" s="6">
        <v>15967000</v>
      </c>
      <c r="AB33" s="6">
        <v>21626000</v>
      </c>
      <c r="AC33" s="6"/>
    </row>
    <row r="34" spans="1:29" x14ac:dyDescent="0.2">
      <c r="A34" s="7" t="s">
        <v>27</v>
      </c>
      <c r="B34" s="6"/>
      <c r="C34" s="6"/>
      <c r="D34" s="6"/>
      <c r="E34" s="6"/>
      <c r="F34" s="6"/>
      <c r="G34" s="5">
        <v>10000</v>
      </c>
      <c r="H34" s="5">
        <v>0</v>
      </c>
      <c r="I34" s="6"/>
      <c r="J34" s="6"/>
      <c r="K34" s="6"/>
      <c r="L34" s="6"/>
      <c r="M34" s="6"/>
      <c r="N34" s="6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6">
        <v>0</v>
      </c>
      <c r="AA34" s="6">
        <v>0</v>
      </c>
      <c r="AB34" s="6">
        <v>0</v>
      </c>
      <c r="AC34" s="6">
        <v>0</v>
      </c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6">
        <v>0</v>
      </c>
      <c r="AA35" s="6">
        <v>0</v>
      </c>
      <c r="AB35" s="6"/>
      <c r="AC35" s="6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6">
        <v>0</v>
      </c>
      <c r="AA36" s="6">
        <v>0</v>
      </c>
      <c r="AB36" s="6">
        <v>0</v>
      </c>
      <c r="AC36" s="6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6">
        <v>0</v>
      </c>
      <c r="AA37" s="6">
        <v>0</v>
      </c>
      <c r="AB37" s="6"/>
      <c r="AC37" s="6"/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6">
        <v>0</v>
      </c>
      <c r="AA38" s="6">
        <v>0</v>
      </c>
      <c r="AB38" s="6"/>
      <c r="AC38" s="6"/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6">
        <v>0</v>
      </c>
      <c r="AA39" s="6">
        <v>0</v>
      </c>
      <c r="AB39" s="6">
        <v>0</v>
      </c>
      <c r="AC39" s="6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6">
        <v>0</v>
      </c>
      <c r="AA40" s="6">
        <v>0</v>
      </c>
      <c r="AB40" s="6">
        <v>0</v>
      </c>
      <c r="AC40" s="6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6">
        <v>0</v>
      </c>
      <c r="AA41" s="6">
        <v>0</v>
      </c>
      <c r="AB41" s="6"/>
      <c r="AC41" s="6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632370278</v>
      </c>
      <c r="P42" s="5">
        <v>766034276</v>
      </c>
      <c r="Q42" s="5">
        <v>463544224</v>
      </c>
      <c r="R42" s="5">
        <v>467303489</v>
      </c>
      <c r="S42" s="5">
        <v>425407225</v>
      </c>
      <c r="T42" s="5">
        <v>510001473</v>
      </c>
      <c r="U42" s="5">
        <v>540759340</v>
      </c>
      <c r="V42" s="5">
        <v>537157230</v>
      </c>
      <c r="W42" s="5">
        <v>446523136</v>
      </c>
      <c r="X42" s="5">
        <v>478584954</v>
      </c>
      <c r="Y42" s="5">
        <v>303668310</v>
      </c>
      <c r="Z42" s="6">
        <v>285982755</v>
      </c>
      <c r="AA42" s="6">
        <v>239756715</v>
      </c>
      <c r="AB42" s="6">
        <v>203749600</v>
      </c>
      <c r="AC42" s="6">
        <v>200402573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632370278</v>
      </c>
      <c r="P43" s="5">
        <v>766034276</v>
      </c>
      <c r="Q43" s="5">
        <v>463544224</v>
      </c>
      <c r="R43" s="5">
        <v>467303489</v>
      </c>
      <c r="S43" s="5">
        <v>425407225</v>
      </c>
      <c r="T43" s="5">
        <v>510001473</v>
      </c>
      <c r="U43" s="5">
        <v>540759340</v>
      </c>
      <c r="V43" s="5">
        <v>537157230</v>
      </c>
      <c r="W43" s="5">
        <v>446523136</v>
      </c>
      <c r="X43" s="5">
        <v>478724386</v>
      </c>
      <c r="Y43" s="5">
        <v>303668310</v>
      </c>
      <c r="Z43" s="6">
        <v>285982755</v>
      </c>
      <c r="AA43" s="6"/>
      <c r="AB43" s="6"/>
      <c r="AC43" s="6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6">
        <v>0</v>
      </c>
      <c r="AA44" s="6">
        <v>0</v>
      </c>
      <c r="AB44" s="6">
        <v>0</v>
      </c>
      <c r="AC44" s="6">
        <v>0</v>
      </c>
    </row>
    <row r="45" spans="1:29" x14ac:dyDescent="0.2">
      <c r="A45" s="3" t="s">
        <v>77</v>
      </c>
      <c r="P45" s="10">
        <v>518.5</v>
      </c>
      <c r="Q45" s="3">
        <v>726.52</v>
      </c>
      <c r="R45" s="3">
        <v>700</v>
      </c>
      <c r="S45" s="3">
        <v>272.5</v>
      </c>
    </row>
    <row r="46" spans="1:29" x14ac:dyDescent="0.2">
      <c r="A46" s="11"/>
    </row>
    <row r="47" spans="1:29" x14ac:dyDescent="0.2">
      <c r="A47" s="4"/>
      <c r="B47" s="4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46FD-5665-42F8-B08F-A7C75878D924}">
  <dimension ref="A1:AD47"/>
  <sheetViews>
    <sheetView zoomScale="85" zoomScaleNormal="85" workbookViewId="0">
      <selection activeCell="A37" sqref="A37:XFD37"/>
    </sheetView>
  </sheetViews>
  <sheetFormatPr baseColWidth="10" defaultColWidth="10.28515625" defaultRowHeight="14.25" x14ac:dyDescent="0.2"/>
  <cols>
    <col min="1" max="16384" width="10.28515625" style="3"/>
  </cols>
  <sheetData>
    <row r="1" spans="1:30" ht="15" x14ac:dyDescent="0.25">
      <c r="A1" s="15" t="s">
        <v>71</v>
      </c>
      <c r="B1"/>
      <c r="C1"/>
    </row>
    <row r="2" spans="1:30" ht="15" x14ac:dyDescent="0.25">
      <c r="A2" s="15" t="s">
        <v>88</v>
      </c>
      <c r="B2" s="16" t="s">
        <v>72</v>
      </c>
      <c r="C2"/>
    </row>
    <row r="3" spans="1:30" ht="15" x14ac:dyDescent="0.25">
      <c r="A3" s="15" t="s">
        <v>89</v>
      </c>
      <c r="B3" s="15" t="s">
        <v>90</v>
      </c>
      <c r="C3"/>
    </row>
    <row r="4" spans="1:30" ht="15" x14ac:dyDescent="0.25">
      <c r="A4"/>
      <c r="B4"/>
      <c r="C4"/>
    </row>
    <row r="5" spans="1:30" ht="15" x14ac:dyDescent="0.25">
      <c r="A5" s="16" t="s">
        <v>41</v>
      </c>
      <c r="B5"/>
      <c r="C5" s="15" t="s">
        <v>75</v>
      </c>
    </row>
    <row r="6" spans="1:30" ht="15" x14ac:dyDescent="0.25">
      <c r="A6" s="16" t="s">
        <v>40</v>
      </c>
      <c r="B6"/>
      <c r="C6" s="15" t="s">
        <v>39</v>
      </c>
    </row>
    <row r="7" spans="1:30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</row>
    <row r="8" spans="1:30" x14ac:dyDescent="0.2">
      <c r="A8" s="7" t="s">
        <v>1</v>
      </c>
      <c r="B8" s="5">
        <v>100808000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23">
        <f>0.5*110000000</f>
        <v>55000000</v>
      </c>
      <c r="P8" s="23">
        <f t="shared" ref="P8:Q8" si="0">0.5*110000000</f>
        <v>55000000</v>
      </c>
      <c r="Q8" s="23">
        <f t="shared" si="0"/>
        <v>55000000</v>
      </c>
      <c r="R8" s="5">
        <v>0</v>
      </c>
      <c r="S8" s="23">
        <f>0.5*110000000</f>
        <v>55000000</v>
      </c>
      <c r="T8" s="5">
        <v>0</v>
      </c>
      <c r="U8" s="23">
        <f>0.5*110000000</f>
        <v>55000000</v>
      </c>
      <c r="V8" s="23">
        <f t="shared" ref="V8:AC8" si="1">0.5*110000000</f>
        <v>55000000</v>
      </c>
      <c r="W8" s="23">
        <f t="shared" si="1"/>
        <v>55000000</v>
      </c>
      <c r="X8" s="23">
        <f t="shared" si="1"/>
        <v>55000000</v>
      </c>
      <c r="Y8" s="23">
        <f t="shared" si="1"/>
        <v>55000000</v>
      </c>
      <c r="Z8" s="23">
        <f t="shared" si="1"/>
        <v>55000000</v>
      </c>
      <c r="AA8" s="23">
        <f t="shared" si="1"/>
        <v>55000000</v>
      </c>
      <c r="AB8" s="23">
        <f t="shared" si="1"/>
        <v>55000000</v>
      </c>
      <c r="AC8" s="23">
        <f t="shared" si="1"/>
        <v>55000000</v>
      </c>
      <c r="AD8" s="3" t="s">
        <v>101</v>
      </c>
    </row>
    <row r="9" spans="1:30" x14ac:dyDescent="0.2">
      <c r="A9" s="7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23">
        <f>0.5*130000000</f>
        <v>65000000</v>
      </c>
      <c r="P9" s="23">
        <f t="shared" ref="P9:AC9" si="2">0.5*130000000</f>
        <v>65000000</v>
      </c>
      <c r="Q9" s="23">
        <f t="shared" si="2"/>
        <v>65000000</v>
      </c>
      <c r="R9" s="23">
        <f t="shared" si="2"/>
        <v>65000000</v>
      </c>
      <c r="S9" s="23">
        <f t="shared" si="2"/>
        <v>65000000</v>
      </c>
      <c r="T9" s="23">
        <f t="shared" si="2"/>
        <v>65000000</v>
      </c>
      <c r="U9" s="23">
        <f t="shared" si="2"/>
        <v>65000000</v>
      </c>
      <c r="V9" s="23">
        <f t="shared" si="2"/>
        <v>65000000</v>
      </c>
      <c r="W9" s="23">
        <f t="shared" si="2"/>
        <v>65000000</v>
      </c>
      <c r="X9" s="23">
        <f t="shared" si="2"/>
        <v>65000000</v>
      </c>
      <c r="Y9" s="23">
        <f t="shared" si="2"/>
        <v>65000000</v>
      </c>
      <c r="Z9" s="23">
        <f t="shared" si="2"/>
        <v>65000000</v>
      </c>
      <c r="AA9" s="23">
        <f t="shared" si="2"/>
        <v>65000000</v>
      </c>
      <c r="AB9" s="23">
        <f t="shared" si="2"/>
        <v>65000000</v>
      </c>
      <c r="AC9" s="23">
        <f t="shared" si="2"/>
        <v>65000000</v>
      </c>
      <c r="AD9" s="3" t="s">
        <v>101</v>
      </c>
    </row>
    <row r="10" spans="1:30" x14ac:dyDescent="0.2">
      <c r="A10" s="7" t="s">
        <v>3</v>
      </c>
      <c r="B10" s="5">
        <v>252250000</v>
      </c>
      <c r="C10" s="5">
        <v>277728000</v>
      </c>
      <c r="D10" s="5">
        <v>317087000</v>
      </c>
      <c r="E10" s="5">
        <v>257545000</v>
      </c>
      <c r="F10" s="5">
        <v>209014000</v>
      </c>
      <c r="G10" s="5">
        <v>206388000</v>
      </c>
      <c r="H10" s="5">
        <v>211101000</v>
      </c>
      <c r="I10" s="5">
        <v>226444000</v>
      </c>
      <c r="J10" s="6"/>
      <c r="K10" s="6"/>
      <c r="L10" s="6"/>
      <c r="M10" s="6"/>
      <c r="N10" s="6"/>
      <c r="O10" s="5">
        <v>180419000</v>
      </c>
      <c r="P10" s="5">
        <v>173889000</v>
      </c>
      <c r="Q10" s="5">
        <v>179092000</v>
      </c>
      <c r="R10" s="5">
        <v>178827000</v>
      </c>
      <c r="S10" s="5">
        <v>175891000</v>
      </c>
      <c r="T10" s="5">
        <v>169603000</v>
      </c>
      <c r="U10" s="5">
        <v>175688000</v>
      </c>
      <c r="V10" s="5">
        <v>175715000</v>
      </c>
      <c r="W10" s="5">
        <v>212835000</v>
      </c>
      <c r="X10" s="5">
        <v>225463000</v>
      </c>
      <c r="Y10" s="6"/>
      <c r="Z10" s="6">
        <v>139852000</v>
      </c>
      <c r="AA10" s="6"/>
      <c r="AB10" s="6"/>
      <c r="AC10" s="6"/>
    </row>
    <row r="11" spans="1:30" x14ac:dyDescent="0.2">
      <c r="A11" s="7" t="s">
        <v>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5">
        <v>0</v>
      </c>
      <c r="W11" s="5">
        <v>0</v>
      </c>
      <c r="X11" s="5">
        <v>0</v>
      </c>
      <c r="Y11" s="5">
        <v>0</v>
      </c>
      <c r="Z11" s="6"/>
      <c r="AA11" s="6">
        <v>0</v>
      </c>
      <c r="AB11" s="6">
        <v>0</v>
      </c>
      <c r="AC11" s="6">
        <v>0</v>
      </c>
    </row>
    <row r="12" spans="1:30" x14ac:dyDescent="0.2">
      <c r="A12" s="9" t="s">
        <v>5</v>
      </c>
      <c r="B12" s="5">
        <v>158451</v>
      </c>
      <c r="C12" s="19">
        <f>AVERAGE(B12, D12)</f>
        <v>163534.5</v>
      </c>
      <c r="D12" s="5">
        <v>168618</v>
      </c>
      <c r="E12" s="5">
        <v>44393</v>
      </c>
      <c r="F12" s="6"/>
      <c r="G12" s="6"/>
      <c r="H12" s="6"/>
      <c r="I12" s="5">
        <v>0</v>
      </c>
      <c r="J12" s="6"/>
      <c r="K12" s="6"/>
      <c r="L12" s="6"/>
      <c r="M12" s="6"/>
      <c r="N12" s="6"/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139432</v>
      </c>
      <c r="Y12" s="5">
        <v>0</v>
      </c>
      <c r="Z12" s="6">
        <v>0</v>
      </c>
      <c r="AA12" s="6"/>
      <c r="AB12" s="6"/>
      <c r="AC12" s="6"/>
    </row>
    <row r="13" spans="1:30" x14ac:dyDescent="0.2">
      <c r="A13" s="7" t="s">
        <v>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6">
        <v>0</v>
      </c>
      <c r="AA13" s="6">
        <v>0</v>
      </c>
      <c r="AB13" s="6"/>
      <c r="AC13" s="6"/>
    </row>
    <row r="14" spans="1:30" x14ac:dyDescent="0.2">
      <c r="A14" s="7" t="s">
        <v>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6">
        <v>0</v>
      </c>
      <c r="AA14" s="6">
        <v>0</v>
      </c>
      <c r="AB14" s="6"/>
      <c r="AC14" s="6"/>
    </row>
    <row r="15" spans="1:30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6">
        <v>0</v>
      </c>
      <c r="AA15" s="6">
        <v>0</v>
      </c>
      <c r="AB15" s="6">
        <v>0</v>
      </c>
      <c r="AC15" s="6">
        <v>0</v>
      </c>
    </row>
    <row r="16" spans="1:30" x14ac:dyDescent="0.2">
      <c r="A16" s="7" t="s">
        <v>9</v>
      </c>
      <c r="B16" s="6"/>
      <c r="C16" s="6"/>
      <c r="D16" s="6"/>
      <c r="E16" s="6"/>
      <c r="F16" s="6"/>
      <c r="G16" s="5">
        <v>35667975</v>
      </c>
      <c r="H16" s="5">
        <v>24759722</v>
      </c>
      <c r="I16" s="5">
        <v>36028231</v>
      </c>
      <c r="J16" s="6"/>
      <c r="K16" s="6"/>
      <c r="L16" s="6"/>
      <c r="M16" s="6"/>
      <c r="N16" s="6"/>
      <c r="O16" s="5">
        <v>34981807</v>
      </c>
      <c r="P16" s="5">
        <v>23408299</v>
      </c>
      <c r="Q16" s="5">
        <v>19503794</v>
      </c>
      <c r="R16" s="5">
        <v>31940136</v>
      </c>
      <c r="S16" s="5">
        <v>30427886</v>
      </c>
      <c r="T16" s="5">
        <v>41571257</v>
      </c>
      <c r="U16" s="5">
        <v>8820340</v>
      </c>
      <c r="V16" s="5">
        <v>0</v>
      </c>
      <c r="W16" s="5">
        <v>0</v>
      </c>
      <c r="X16" s="5">
        <v>0</v>
      </c>
      <c r="Y16" s="5">
        <v>0</v>
      </c>
      <c r="Z16" s="6">
        <v>0</v>
      </c>
      <c r="AA16" s="6">
        <v>0</v>
      </c>
      <c r="AB16" s="6"/>
      <c r="AC16" s="6"/>
    </row>
    <row r="17" spans="1:29" x14ac:dyDescent="0.2">
      <c r="A17" s="7" t="s">
        <v>10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2">
      <c r="A18" s="7" t="s">
        <v>11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/>
      <c r="K18" s="6"/>
      <c r="L18" s="6"/>
      <c r="M18" s="6"/>
      <c r="N18" s="6"/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6">
        <v>0</v>
      </c>
      <c r="AA18" s="6">
        <v>0</v>
      </c>
      <c r="AB18" s="6"/>
      <c r="AC18" s="6"/>
    </row>
    <row r="19" spans="1:29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6">
        <v>0</v>
      </c>
      <c r="AA19" s="6">
        <v>0</v>
      </c>
      <c r="AB19" s="6">
        <v>0</v>
      </c>
      <c r="AC19" s="6">
        <v>0</v>
      </c>
    </row>
    <row r="20" spans="1:29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6">
        <v>0</v>
      </c>
      <c r="AA20" s="6">
        <v>0</v>
      </c>
      <c r="AB20" s="6">
        <v>0</v>
      </c>
      <c r="AC20" s="6">
        <v>0</v>
      </c>
    </row>
    <row r="21" spans="1:29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6">
        <v>0</v>
      </c>
      <c r="AA21" s="6">
        <v>0</v>
      </c>
      <c r="AB21" s="6"/>
      <c r="AC21" s="6"/>
    </row>
    <row r="22" spans="1:29" x14ac:dyDescent="0.2">
      <c r="A22" s="7" t="s">
        <v>15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/>
      <c r="K22" s="6"/>
      <c r="L22" s="6"/>
      <c r="M22" s="6"/>
      <c r="N22" s="6"/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6">
        <v>0</v>
      </c>
      <c r="AA22" s="6">
        <v>0</v>
      </c>
      <c r="AB22" s="6">
        <v>0</v>
      </c>
      <c r="AC22" s="6">
        <v>0</v>
      </c>
    </row>
    <row r="23" spans="1:29" x14ac:dyDescent="0.2">
      <c r="A23" s="7" t="s">
        <v>16</v>
      </c>
      <c r="B23" s="6"/>
      <c r="C23" s="6"/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/>
      <c r="K23" s="6"/>
      <c r="L23" s="6"/>
      <c r="M23" s="6"/>
      <c r="N23" s="6"/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6">
        <v>0</v>
      </c>
      <c r="AA23" s="6">
        <v>0</v>
      </c>
      <c r="AB23" s="6">
        <v>0</v>
      </c>
      <c r="AC23" s="6">
        <v>5064</v>
      </c>
    </row>
    <row r="24" spans="1:29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5">
        <v>0</v>
      </c>
      <c r="P24" s="6"/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6"/>
      <c r="Y24" s="5">
        <v>0</v>
      </c>
      <c r="Z24" s="6">
        <v>0</v>
      </c>
      <c r="AA24" s="6">
        <v>0</v>
      </c>
      <c r="AB24" s="6"/>
      <c r="AC24" s="6"/>
    </row>
    <row r="25" spans="1:29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6">
        <v>0</v>
      </c>
      <c r="AA25" s="6">
        <v>0</v>
      </c>
      <c r="AB25" s="6">
        <v>0</v>
      </c>
      <c r="AC25" s="6">
        <v>0</v>
      </c>
    </row>
    <row r="26" spans="1:29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">
        <v>0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2">
      <c r="A27" s="7" t="s">
        <v>20</v>
      </c>
      <c r="B27" s="6"/>
      <c r="C27" s="6"/>
      <c r="D27" s="6"/>
      <c r="E27" s="6"/>
      <c r="F27" s="6"/>
      <c r="G27" s="5">
        <v>0</v>
      </c>
      <c r="H27" s="5">
        <v>0</v>
      </c>
      <c r="I27" s="5">
        <v>0</v>
      </c>
      <c r="J27" s="6"/>
      <c r="K27" s="6"/>
      <c r="L27" s="6"/>
      <c r="M27" s="6"/>
      <c r="N27" s="6"/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6">
        <v>0</v>
      </c>
      <c r="AA27" s="6"/>
      <c r="AB27" s="6"/>
      <c r="AC27" s="6"/>
    </row>
    <row r="28" spans="1:29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6">
        <v>0</v>
      </c>
      <c r="AA28" s="6">
        <v>0</v>
      </c>
      <c r="AB28" s="6"/>
      <c r="AC28" s="6"/>
    </row>
    <row r="29" spans="1:29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6">
        <v>0</v>
      </c>
      <c r="AA29" s="6">
        <v>0</v>
      </c>
      <c r="AB29" s="6"/>
      <c r="AC29" s="6">
        <v>0</v>
      </c>
    </row>
    <row r="30" spans="1:29" x14ac:dyDescent="0.2">
      <c r="A30" s="7" t="s">
        <v>23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19">
        <f>P30</f>
        <v>21164000</v>
      </c>
      <c r="P30" s="5">
        <v>21164000</v>
      </c>
      <c r="Q30" s="5">
        <v>5078000</v>
      </c>
      <c r="R30" s="6"/>
      <c r="S30" s="6"/>
      <c r="T30" s="6"/>
      <c r="U30" s="6"/>
      <c r="V30" s="5">
        <v>0</v>
      </c>
      <c r="W30" s="5">
        <v>0</v>
      </c>
      <c r="X30" s="5">
        <v>0</v>
      </c>
      <c r="Y30" s="5">
        <v>0</v>
      </c>
      <c r="Z30" s="6">
        <v>0</v>
      </c>
      <c r="AA30" s="6">
        <v>0</v>
      </c>
      <c r="AB30" s="6">
        <v>0</v>
      </c>
      <c r="AC30" s="6">
        <v>0</v>
      </c>
    </row>
    <row r="31" spans="1:29" x14ac:dyDescent="0.2">
      <c r="A31" s="7" t="s">
        <v>24</v>
      </c>
      <c r="B31" s="6"/>
      <c r="C31" s="6"/>
      <c r="D31" s="6"/>
      <c r="E31" s="6"/>
      <c r="F31" s="6"/>
      <c r="G31" s="6"/>
      <c r="H31" s="5">
        <v>0</v>
      </c>
      <c r="I31" s="5">
        <v>0</v>
      </c>
      <c r="J31" s="6"/>
      <c r="K31" s="6"/>
      <c r="L31" s="6"/>
      <c r="M31" s="6"/>
      <c r="N31" s="6"/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6">
        <v>0</v>
      </c>
      <c r="AA31" s="6">
        <v>0</v>
      </c>
      <c r="AB31" s="6"/>
      <c r="AC31" s="6"/>
    </row>
    <row r="32" spans="1:29" x14ac:dyDescent="0.2">
      <c r="A32" s="7" t="s">
        <v>25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5">
        <v>8615230</v>
      </c>
      <c r="W32" s="5">
        <v>6556850</v>
      </c>
      <c r="X32" s="5">
        <v>5676430</v>
      </c>
      <c r="Y32" s="5">
        <v>7109520</v>
      </c>
      <c r="Z32" s="6">
        <v>6392670</v>
      </c>
      <c r="AA32" s="6">
        <v>5954620</v>
      </c>
      <c r="AB32" s="6">
        <v>7954600</v>
      </c>
      <c r="AC32" s="6">
        <v>6367310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5">
        <v>25329000</v>
      </c>
      <c r="W33" s="5">
        <v>25998000</v>
      </c>
      <c r="X33" s="5">
        <v>30657000</v>
      </c>
      <c r="Y33" s="5">
        <v>24747000</v>
      </c>
      <c r="Z33" s="6">
        <v>25904000</v>
      </c>
      <c r="AA33" s="6">
        <v>15967000</v>
      </c>
      <c r="AB33" s="6">
        <v>21626000</v>
      </c>
      <c r="AC33" s="6"/>
    </row>
    <row r="34" spans="1:29" x14ac:dyDescent="0.2">
      <c r="A34" s="7" t="s">
        <v>27</v>
      </c>
      <c r="B34" s="6"/>
      <c r="C34" s="6"/>
      <c r="D34" s="6"/>
      <c r="E34" s="6"/>
      <c r="F34" s="6"/>
      <c r="G34" s="5">
        <v>10000</v>
      </c>
      <c r="H34" s="5">
        <v>0</v>
      </c>
      <c r="I34" s="6"/>
      <c r="J34" s="6"/>
      <c r="K34" s="6"/>
      <c r="L34" s="6"/>
      <c r="M34" s="6"/>
      <c r="N34" s="6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6">
        <v>0</v>
      </c>
      <c r="AA34" s="6">
        <v>0</v>
      </c>
      <c r="AB34" s="6">
        <v>0</v>
      </c>
      <c r="AC34" s="6">
        <v>0</v>
      </c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6">
        <v>0</v>
      </c>
      <c r="AA35" s="6">
        <v>0</v>
      </c>
      <c r="AB35" s="6"/>
      <c r="AC35" s="6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6">
        <v>0</v>
      </c>
      <c r="AA36" s="6">
        <v>0</v>
      </c>
      <c r="AB36" s="6">
        <v>0</v>
      </c>
      <c r="AC36" s="6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6">
        <v>0</v>
      </c>
      <c r="AA37" s="6">
        <v>0</v>
      </c>
      <c r="AB37" s="6"/>
      <c r="AC37" s="6"/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6">
        <v>0</v>
      </c>
      <c r="AA38" s="6">
        <v>0</v>
      </c>
      <c r="AB38" s="6"/>
      <c r="AC38" s="6"/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6">
        <v>0</v>
      </c>
      <c r="AA39" s="6">
        <v>0</v>
      </c>
      <c r="AB39" s="6">
        <v>0</v>
      </c>
      <c r="AC39" s="6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6">
        <v>0</v>
      </c>
      <c r="AA40" s="6">
        <v>0</v>
      </c>
      <c r="AB40" s="6">
        <v>0</v>
      </c>
      <c r="AC40" s="6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6">
        <v>0</v>
      </c>
      <c r="AA41" s="6">
        <v>0</v>
      </c>
      <c r="AB41" s="6"/>
      <c r="AC41" s="6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632370278</v>
      </c>
      <c r="P42" s="5">
        <v>766034276</v>
      </c>
      <c r="Q42" s="5">
        <v>463544224</v>
      </c>
      <c r="R42" s="5">
        <v>467303489</v>
      </c>
      <c r="S42" s="5">
        <v>425407225</v>
      </c>
      <c r="T42" s="5">
        <v>510001473</v>
      </c>
      <c r="U42" s="5">
        <v>540759340</v>
      </c>
      <c r="V42" s="5">
        <v>537157230</v>
      </c>
      <c r="W42" s="5">
        <v>446523136</v>
      </c>
      <c r="X42" s="5">
        <v>478584954</v>
      </c>
      <c r="Y42" s="5">
        <v>303668310</v>
      </c>
      <c r="Z42" s="6">
        <v>285982755</v>
      </c>
      <c r="AA42" s="6">
        <v>239756715</v>
      </c>
      <c r="AB42" s="6">
        <v>203749600</v>
      </c>
      <c r="AC42" s="6">
        <v>200402573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632370278</v>
      </c>
      <c r="P43" s="5">
        <v>766034276</v>
      </c>
      <c r="Q43" s="5">
        <v>463544224</v>
      </c>
      <c r="R43" s="5">
        <v>467303489</v>
      </c>
      <c r="S43" s="5">
        <v>425407225</v>
      </c>
      <c r="T43" s="5">
        <v>510001473</v>
      </c>
      <c r="U43" s="5">
        <v>540759340</v>
      </c>
      <c r="V43" s="5">
        <v>537157230</v>
      </c>
      <c r="W43" s="5">
        <v>446523136</v>
      </c>
      <c r="X43" s="5">
        <v>478724386</v>
      </c>
      <c r="Y43" s="5">
        <v>303668310</v>
      </c>
      <c r="Z43" s="6">
        <v>285982755</v>
      </c>
      <c r="AA43" s="6"/>
      <c r="AB43" s="6"/>
      <c r="AC43" s="6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6">
        <v>0</v>
      </c>
      <c r="AA44" s="6">
        <v>0</v>
      </c>
      <c r="AB44" s="6">
        <v>0</v>
      </c>
      <c r="AC44" s="6">
        <v>0</v>
      </c>
    </row>
    <row r="45" spans="1:29" x14ac:dyDescent="0.2">
      <c r="A45" s="3" t="s">
        <v>77</v>
      </c>
      <c r="P45" s="10">
        <v>518.5</v>
      </c>
      <c r="Q45" s="3">
        <v>726.52</v>
      </c>
      <c r="R45" s="3">
        <v>700</v>
      </c>
      <c r="S45" s="3">
        <v>272.5</v>
      </c>
    </row>
    <row r="46" spans="1:29" x14ac:dyDescent="0.2">
      <c r="A46" s="11"/>
    </row>
    <row r="47" spans="1:29" x14ac:dyDescent="0.2">
      <c r="A47" s="4"/>
      <c r="B47" s="4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47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11" sqref="A11"/>
      <selection pane="bottomRight" activeCell="X52" sqref="X52"/>
    </sheetView>
  </sheetViews>
  <sheetFormatPr baseColWidth="10" defaultColWidth="10.28515625" defaultRowHeight="14.25" x14ac:dyDescent="0.2"/>
  <cols>
    <col min="1" max="20" width="10.28515625" style="3"/>
    <col min="21" max="22" width="11.28515625" style="3" bestFit="1" customWidth="1"/>
    <col min="23" max="24" width="10.28515625" style="3"/>
    <col min="25" max="25" width="11.28515625" style="3" bestFit="1" customWidth="1"/>
    <col min="26" max="26" width="10.28515625" style="3"/>
    <col min="27" max="28" width="11.28515625" style="3" bestFit="1" customWidth="1"/>
    <col min="29" max="16384" width="10.28515625" style="3"/>
  </cols>
  <sheetData>
    <row r="1" spans="1:29" ht="15" x14ac:dyDescent="0.25">
      <c r="A1" s="15" t="s">
        <v>71</v>
      </c>
      <c r="B1"/>
      <c r="C1"/>
    </row>
    <row r="2" spans="1:29" ht="15" x14ac:dyDescent="0.25">
      <c r="A2" s="15" t="s">
        <v>88</v>
      </c>
      <c r="B2" s="16" t="s">
        <v>72</v>
      </c>
      <c r="C2"/>
    </row>
    <row r="3" spans="1:29" ht="15" x14ac:dyDescent="0.25">
      <c r="A3" s="15" t="s">
        <v>89</v>
      </c>
      <c r="B3" s="15" t="s">
        <v>90</v>
      </c>
      <c r="C3"/>
    </row>
    <row r="4" spans="1:29" ht="15" x14ac:dyDescent="0.25">
      <c r="A4"/>
      <c r="B4"/>
      <c r="C4"/>
    </row>
    <row r="5" spans="1:29" ht="15" x14ac:dyDescent="0.25">
      <c r="A5" s="16" t="s">
        <v>41</v>
      </c>
      <c r="B5"/>
      <c r="C5" s="15" t="s">
        <v>76</v>
      </c>
    </row>
    <row r="6" spans="1:29" ht="15" x14ac:dyDescent="0.25">
      <c r="A6" s="16" t="s">
        <v>40</v>
      </c>
      <c r="B6"/>
      <c r="C6" s="15" t="s">
        <v>39</v>
      </c>
    </row>
    <row r="7" spans="1:29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</row>
    <row r="8" spans="1:29" x14ac:dyDescent="0.2">
      <c r="A8" s="7" t="s">
        <v>1</v>
      </c>
      <c r="B8" s="5">
        <v>109801000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6"/>
      <c r="V8" s="6"/>
      <c r="W8" s="6"/>
      <c r="X8" s="6"/>
      <c r="Y8" s="5">
        <v>0</v>
      </c>
      <c r="Z8" s="5">
        <v>0</v>
      </c>
      <c r="AA8" s="5">
        <v>0</v>
      </c>
      <c r="AB8" s="5">
        <v>0</v>
      </c>
      <c r="AC8" s="5">
        <v>0</v>
      </c>
    </row>
    <row r="9" spans="1:29" x14ac:dyDescent="0.2">
      <c r="A9" s="7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5"/>
      <c r="AA9" s="5"/>
      <c r="AB9" s="5"/>
      <c r="AC9" s="5"/>
    </row>
    <row r="10" spans="1:29" x14ac:dyDescent="0.2">
      <c r="A10" s="7" t="s">
        <v>3</v>
      </c>
      <c r="B10" s="5">
        <v>389798000</v>
      </c>
      <c r="C10" s="5">
        <v>386355000</v>
      </c>
      <c r="D10" s="5">
        <v>430866000</v>
      </c>
      <c r="E10" s="5">
        <v>411791000</v>
      </c>
      <c r="F10" s="5">
        <v>334119000</v>
      </c>
      <c r="G10" s="5">
        <v>313683000</v>
      </c>
      <c r="H10" s="5">
        <v>300941000</v>
      </c>
      <c r="I10" s="5">
        <v>284014000</v>
      </c>
      <c r="J10" s="6"/>
      <c r="K10" s="6"/>
      <c r="L10" s="6"/>
      <c r="M10" s="6"/>
      <c r="N10" s="6"/>
      <c r="O10" s="5">
        <v>392016000</v>
      </c>
      <c r="P10" s="5">
        <v>367405000</v>
      </c>
      <c r="Q10" s="5">
        <v>361939000</v>
      </c>
      <c r="R10" s="5">
        <v>370015000</v>
      </c>
      <c r="S10" s="5">
        <v>348157000</v>
      </c>
      <c r="T10" s="5">
        <v>341289000</v>
      </c>
      <c r="U10" s="5">
        <v>348624000</v>
      </c>
      <c r="V10" s="5">
        <v>328964000</v>
      </c>
      <c r="W10" s="5">
        <v>313559000</v>
      </c>
      <c r="X10" s="5">
        <v>304266000</v>
      </c>
      <c r="Y10" s="6"/>
      <c r="Z10" s="5">
        <v>255722000</v>
      </c>
      <c r="AA10" s="5"/>
      <c r="AB10" s="5"/>
      <c r="AC10" s="5"/>
    </row>
    <row r="11" spans="1:29" x14ac:dyDescent="0.2">
      <c r="A11" s="7" t="s">
        <v>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</row>
    <row r="12" spans="1:29" x14ac:dyDescent="0.2">
      <c r="A12" s="7" t="s">
        <v>5</v>
      </c>
      <c r="B12" s="6"/>
      <c r="C12" s="6"/>
      <c r="D12" s="6"/>
      <c r="E12" s="6"/>
      <c r="F12" s="6"/>
      <c r="G12" s="6"/>
      <c r="H12" s="6"/>
      <c r="I12" s="5">
        <v>612240630</v>
      </c>
      <c r="J12" s="6"/>
      <c r="K12" s="6"/>
      <c r="L12" s="6"/>
      <c r="M12" s="6"/>
      <c r="N12" s="6"/>
      <c r="O12" s="6"/>
      <c r="P12" s="6"/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/>
      <c r="AB12" s="5"/>
      <c r="AC12" s="5"/>
    </row>
    <row r="13" spans="1:29" x14ac:dyDescent="0.2">
      <c r="A13" s="7" t="s">
        <v>6</v>
      </c>
      <c r="B13" s="5">
        <v>0</v>
      </c>
      <c r="C13" s="5">
        <v>0</v>
      </c>
      <c r="D13" s="6"/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/>
      <c r="AC13" s="5"/>
    </row>
    <row r="14" spans="1:29" x14ac:dyDescent="0.2">
      <c r="A14" s="7" t="s">
        <v>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6"/>
      <c r="K14" s="6"/>
      <c r="L14" s="6"/>
      <c r="M14" s="6"/>
      <c r="N14" s="6"/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/>
      <c r="AC14" s="5"/>
    </row>
    <row r="15" spans="1:29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</row>
    <row r="16" spans="1:29" x14ac:dyDescent="0.2">
      <c r="A16" s="7" t="s">
        <v>9</v>
      </c>
      <c r="B16" s="6"/>
      <c r="C16" s="6"/>
      <c r="D16" s="6"/>
      <c r="E16" s="6"/>
      <c r="F16" s="6"/>
      <c r="G16" s="5">
        <v>69321547</v>
      </c>
      <c r="H16" s="5">
        <v>56357613</v>
      </c>
      <c r="I16" s="5">
        <v>96803271</v>
      </c>
      <c r="J16" s="6"/>
      <c r="K16" s="6"/>
      <c r="L16" s="6"/>
      <c r="M16" s="6"/>
      <c r="N16" s="6"/>
      <c r="O16" s="5">
        <v>101483187</v>
      </c>
      <c r="P16" s="5">
        <v>73259485</v>
      </c>
      <c r="Q16" s="5">
        <v>52891353</v>
      </c>
      <c r="R16" s="5">
        <v>89792850</v>
      </c>
      <c r="S16" s="5">
        <v>82537613</v>
      </c>
      <c r="T16" s="5">
        <v>93865239</v>
      </c>
      <c r="U16" s="5">
        <v>23823206</v>
      </c>
      <c r="V16" s="5">
        <v>11000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/>
      <c r="AC16" s="5"/>
    </row>
    <row r="17" spans="1:29" x14ac:dyDescent="0.2">
      <c r="A17" s="7" t="s">
        <v>10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5"/>
      <c r="AA17" s="5"/>
      <c r="AB17" s="5"/>
      <c r="AC17" s="5"/>
    </row>
    <row r="18" spans="1:29" x14ac:dyDescent="0.2">
      <c r="A18" s="7" t="s">
        <v>11</v>
      </c>
      <c r="B18" s="5">
        <v>0</v>
      </c>
      <c r="C18" s="5">
        <v>0</v>
      </c>
      <c r="D18" s="5">
        <v>0</v>
      </c>
      <c r="E18" s="5">
        <v>0</v>
      </c>
      <c r="F18" s="6"/>
      <c r="G18" s="5">
        <v>0</v>
      </c>
      <c r="H18" s="6"/>
      <c r="I18" s="6"/>
      <c r="J18" s="6"/>
      <c r="K18" s="6"/>
      <c r="L18" s="6"/>
      <c r="M18" s="6"/>
      <c r="N18" s="6"/>
      <c r="O18" s="5">
        <v>0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5"/>
      <c r="AA18" s="5"/>
      <c r="AB18" s="5"/>
      <c r="AC18" s="5"/>
    </row>
    <row r="19" spans="1:29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</row>
    <row r="20" spans="1:29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</row>
    <row r="21" spans="1:29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/>
      <c r="AC21" s="5"/>
    </row>
    <row r="22" spans="1:29" x14ac:dyDescent="0.2">
      <c r="A22" s="7" t="s">
        <v>15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/>
      <c r="K22" s="6"/>
      <c r="L22" s="6"/>
      <c r="M22" s="6"/>
      <c r="N22" s="6"/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</row>
    <row r="23" spans="1:29" x14ac:dyDescent="0.2">
      <c r="A23" s="7" t="s">
        <v>16</v>
      </c>
      <c r="B23" s="6"/>
      <c r="C23" s="6"/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/>
      <c r="K23" s="6"/>
      <c r="L23" s="6"/>
      <c r="M23" s="6"/>
      <c r="N23" s="6"/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</row>
    <row r="24" spans="1:29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/>
      <c r="AC24" s="5"/>
    </row>
    <row r="25" spans="1:29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</row>
    <row r="26" spans="1:29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">
        <v>0</v>
      </c>
      <c r="S26" s="6"/>
      <c r="T26" s="6"/>
      <c r="U26" s="6"/>
      <c r="V26" s="6"/>
      <c r="W26" s="6"/>
      <c r="X26" s="6"/>
      <c r="Y26" s="6"/>
      <c r="Z26" s="5"/>
      <c r="AA26" s="5"/>
      <c r="AB26" s="5"/>
      <c r="AC26" s="5"/>
    </row>
    <row r="27" spans="1:29" x14ac:dyDescent="0.2">
      <c r="A27" s="7" t="s">
        <v>20</v>
      </c>
      <c r="B27" s="6"/>
      <c r="C27" s="6"/>
      <c r="D27" s="6"/>
      <c r="E27" s="6"/>
      <c r="F27" s="6"/>
      <c r="G27" s="5">
        <v>0</v>
      </c>
      <c r="H27" s="5">
        <v>0</v>
      </c>
      <c r="I27" s="5">
        <v>0</v>
      </c>
      <c r="J27" s="6"/>
      <c r="K27" s="6"/>
      <c r="L27" s="6"/>
      <c r="M27" s="6"/>
      <c r="N27" s="6"/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/>
      <c r="AB27" s="5"/>
      <c r="AC27" s="5"/>
    </row>
    <row r="28" spans="1:29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/>
      <c r="AC28" s="5"/>
    </row>
    <row r="29" spans="1:29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/>
      <c r="AC29" s="5">
        <v>0</v>
      </c>
    </row>
    <row r="30" spans="1:29" x14ac:dyDescent="0.2">
      <c r="A30" s="7" t="s">
        <v>23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5">
        <v>100000</v>
      </c>
      <c r="Q30" s="5">
        <v>0</v>
      </c>
      <c r="R30" s="6"/>
      <c r="S30" s="6"/>
      <c r="T30" s="6"/>
      <c r="W30" s="5">
        <v>398835000</v>
      </c>
      <c r="X30" s="5">
        <v>320436000</v>
      </c>
      <c r="Y30" s="6"/>
      <c r="Z30" s="5">
        <v>418902000</v>
      </c>
      <c r="AC30" s="5"/>
    </row>
    <row r="31" spans="1:29" x14ac:dyDescent="0.2">
      <c r="A31" s="7" t="s">
        <v>24</v>
      </c>
      <c r="B31" s="6"/>
      <c r="C31" s="6"/>
      <c r="D31" s="6"/>
      <c r="E31" s="6"/>
      <c r="F31" s="6"/>
      <c r="G31" s="6"/>
      <c r="H31" s="5">
        <v>0</v>
      </c>
      <c r="I31" s="5">
        <v>0</v>
      </c>
      <c r="J31" s="6"/>
      <c r="K31" s="6"/>
      <c r="L31" s="6"/>
      <c r="M31" s="6"/>
      <c r="N31" s="6"/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/>
      <c r="AC31" s="5"/>
    </row>
    <row r="32" spans="1:29" x14ac:dyDescent="0.2">
      <c r="A32" s="7" t="s">
        <v>25</v>
      </c>
      <c r="B32" s="6"/>
      <c r="C32" s="6"/>
      <c r="D32" s="6"/>
      <c r="E32" s="6"/>
      <c r="F32" s="6"/>
      <c r="G32" s="6"/>
      <c r="H32" s="6"/>
      <c r="I32" s="5">
        <v>0</v>
      </c>
      <c r="J32" s="6"/>
      <c r="K32" s="6"/>
      <c r="L32" s="6"/>
      <c r="M32" s="6"/>
      <c r="N32" s="6"/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6"/>
      <c r="I33" s="5">
        <v>0</v>
      </c>
      <c r="J33" s="6"/>
      <c r="K33" s="6"/>
      <c r="L33" s="6"/>
      <c r="M33" s="6"/>
      <c r="N33" s="6"/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/>
      <c r="AC33" s="5"/>
    </row>
    <row r="34" spans="1:29" x14ac:dyDescent="0.2">
      <c r="A34" s="7" t="s">
        <v>27</v>
      </c>
      <c r="B34" s="6"/>
      <c r="C34" s="6"/>
      <c r="D34" s="6"/>
      <c r="E34" s="6"/>
      <c r="F34" s="6"/>
      <c r="G34" s="5">
        <v>0</v>
      </c>
      <c r="H34" s="5">
        <v>0</v>
      </c>
      <c r="I34" s="6"/>
      <c r="J34" s="6"/>
      <c r="K34" s="6"/>
      <c r="L34" s="6"/>
      <c r="M34" s="6"/>
      <c r="N34" s="6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5">
        <v>0</v>
      </c>
      <c r="I35" s="5">
        <v>0</v>
      </c>
      <c r="J35" s="6"/>
      <c r="K35" s="6"/>
      <c r="L35" s="6"/>
      <c r="M35" s="6"/>
      <c r="N35" s="6"/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/>
      <c r="AC35" s="5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/>
      <c r="AC37" s="5"/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5">
        <v>0</v>
      </c>
      <c r="AA38" s="5">
        <v>0</v>
      </c>
      <c r="AB38" s="5"/>
      <c r="AC38" s="5"/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/>
      <c r="AC41" s="5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936277187</v>
      </c>
      <c r="P42" s="5">
        <v>1156350289</v>
      </c>
      <c r="Q42" s="5">
        <v>1273015325</v>
      </c>
      <c r="R42" s="5">
        <v>1644489977</v>
      </c>
      <c r="S42" s="5">
        <v>1773042094</v>
      </c>
      <c r="T42" s="5">
        <v>1743543538</v>
      </c>
      <c r="U42" s="5">
        <v>1458117230</v>
      </c>
      <c r="V42" s="5">
        <v>1568627387</v>
      </c>
      <c r="W42" s="5">
        <v>1376622017</v>
      </c>
      <c r="X42" s="5">
        <v>1366061517</v>
      </c>
      <c r="Y42" s="5">
        <v>1136124445</v>
      </c>
      <c r="Z42" s="5">
        <v>1310810408</v>
      </c>
      <c r="AA42" s="5">
        <v>1200831408</v>
      </c>
      <c r="AB42" s="5">
        <v>933759084</v>
      </c>
      <c r="AC42" s="5">
        <v>889009993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1016277187</v>
      </c>
      <c r="P43" s="5">
        <v>1196350289</v>
      </c>
      <c r="Q43" s="5">
        <v>1273015325</v>
      </c>
      <c r="R43" s="5">
        <v>1644489977</v>
      </c>
      <c r="S43" s="5">
        <v>1773042094</v>
      </c>
      <c r="T43" s="5">
        <v>1743543538</v>
      </c>
      <c r="U43" s="5">
        <v>1458117230</v>
      </c>
      <c r="V43" s="5">
        <v>1568627387</v>
      </c>
      <c r="W43" s="5">
        <v>1376622017</v>
      </c>
      <c r="X43" s="5">
        <v>1366061517</v>
      </c>
      <c r="Y43" s="5">
        <v>1136124445</v>
      </c>
      <c r="Z43" s="5">
        <v>1310810408</v>
      </c>
      <c r="AA43" s="5"/>
      <c r="AB43" s="5"/>
      <c r="AC43" s="5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</row>
    <row r="45" spans="1:29" x14ac:dyDescent="0.2">
      <c r="A45" s="3" t="s">
        <v>77</v>
      </c>
      <c r="P45" s="3">
        <v>0</v>
      </c>
      <c r="Q45" s="3">
        <v>0</v>
      </c>
      <c r="R45" s="3">
        <v>0</v>
      </c>
      <c r="S45" s="3">
        <v>0</v>
      </c>
    </row>
    <row r="46" spans="1:29" x14ac:dyDescent="0.2">
      <c r="A46" s="4"/>
    </row>
    <row r="47" spans="1:29" x14ac:dyDescent="0.2">
      <c r="A47" s="4"/>
      <c r="B47" s="4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Data</vt:lpstr>
      <vt:lpstr>Info</vt:lpstr>
      <vt:lpstr>benzene_orig</vt:lpstr>
      <vt:lpstr>benzene_as</vt:lpstr>
      <vt:lpstr>toluene_orig</vt:lpstr>
      <vt:lpstr>toluene_as</vt:lpstr>
      <vt:lpstr>o-xylene_orig</vt:lpstr>
      <vt:lpstr>o-xylene_as</vt:lpstr>
      <vt:lpstr>p-xylene_orig</vt:lpstr>
      <vt:lpstr>p-xylene_as</vt:lpstr>
      <vt:lpstr>m-xylene_orig</vt:lpstr>
      <vt:lpstr>m-xylene_as</vt:lpstr>
      <vt:lpstr>b,t,x_orig</vt:lpstr>
      <vt:lpstr>b,t,x_as</vt:lpstr>
      <vt:lpstr>BTX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2023-08-04T09:54:21Z</dcterms:modified>
</cp:coreProperties>
</file>