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bookViews>
    <workbookView xWindow="0" yWindow="0" windowWidth="21600" windowHeight="8700" activeTab="9"/>
  </bookViews>
  <sheets>
    <sheet name="steel" sheetId="6" r:id="rId1"/>
    <sheet name="steel_stainless" sheetId="17" r:id="rId2"/>
    <sheet name="alu_prim" sheetId="9" r:id="rId3"/>
    <sheet name="chlorin" sheetId="10" r:id="rId4"/>
    <sheet name="methanol" sheetId="11" r:id="rId5"/>
    <sheet name="ethylene" sheetId="3" r:id="rId6"/>
    <sheet name="propylene" sheetId="8" r:id="rId7"/>
    <sheet name="aromate" sheetId="12" r:id="rId8"/>
    <sheet name="paper" sheetId="13" r:id="rId9"/>
    <sheet name="cement" sheetId="14" r:id="rId10"/>
    <sheet name="glass" sheetId="16" r:id="rId11"/>
    <sheet name="ammonia" sheetId="15" r:id="rId12"/>
  </sheets>
  <definedNames>
    <definedName name="_xlnm._FilterDatabase" localSheetId="7" hidden="1">aromate!$J$2:$J$310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7" i="14" l="1"/>
  <c r="H68" i="14"/>
  <c r="G210" i="16"/>
  <c r="G151" i="16"/>
  <c r="G137" i="16"/>
  <c r="G112" i="16"/>
  <c r="G96" i="16"/>
  <c r="I66" i="9" l="1"/>
  <c r="I57" i="9"/>
  <c r="I52" i="9"/>
  <c r="I36" i="9"/>
  <c r="H34" i="9"/>
  <c r="I34" i="9" s="1"/>
  <c r="H42" i="9"/>
  <c r="H36" i="9"/>
  <c r="H32" i="9"/>
  <c r="I43" i="9" s="1"/>
  <c r="H55" i="9"/>
  <c r="I55" i="9" s="1"/>
  <c r="H35" i="9"/>
  <c r="I35" i="9" s="1"/>
  <c r="H51" i="9"/>
  <c r="I51" i="9" s="1"/>
  <c r="H67" i="9"/>
  <c r="I67" i="9" s="1"/>
  <c r="H59" i="9"/>
  <c r="H310" i="9"/>
  <c r="H290" i="9"/>
  <c r="H87" i="9"/>
  <c r="I42" i="9" l="1"/>
  <c r="I46" i="9"/>
  <c r="I37" i="9"/>
  <c r="I59" i="9"/>
  <c r="I32" i="9"/>
  <c r="I49" i="9"/>
  <c r="F249" i="15"/>
  <c r="F251" i="15"/>
  <c r="F244" i="15"/>
  <c r="F181" i="15"/>
  <c r="F183" i="15"/>
  <c r="F96" i="15"/>
  <c r="F101" i="15"/>
  <c r="F55" i="15"/>
  <c r="F56" i="15"/>
  <c r="F62" i="15"/>
  <c r="F67" i="15"/>
  <c r="F68" i="15"/>
  <c r="F3" i="15"/>
  <c r="F9" i="15"/>
  <c r="E195" i="15"/>
  <c r="F195" i="15" s="1"/>
  <c r="E203" i="15"/>
  <c r="F203" i="15" s="1"/>
  <c r="E200" i="15"/>
  <c r="F200" i="15" s="1"/>
  <c r="E218" i="15"/>
  <c r="F218" i="15" s="1"/>
  <c r="E220" i="15"/>
  <c r="F220" i="15" s="1"/>
  <c r="E222" i="15"/>
  <c r="F222" i="15" s="1"/>
  <c r="E18" i="15"/>
  <c r="F18" i="15" s="1"/>
  <c r="E17" i="15"/>
  <c r="F17" i="15" s="1"/>
  <c r="E15" i="15"/>
  <c r="E165" i="15"/>
  <c r="F165" i="15" s="1"/>
  <c r="E164" i="15"/>
  <c r="F164" i="15" s="1"/>
  <c r="E111" i="15"/>
  <c r="F107" i="15" s="1"/>
  <c r="G254" i="16"/>
  <c r="F254" i="16"/>
  <c r="G101" i="16"/>
  <c r="F101" i="16"/>
  <c r="G150" i="16"/>
  <c r="F150" i="16"/>
  <c r="G141" i="16"/>
  <c r="F141" i="16"/>
  <c r="G143" i="16"/>
  <c r="F143" i="16"/>
  <c r="F151" i="16"/>
  <c r="G125" i="16"/>
  <c r="F125" i="16"/>
  <c r="G108" i="16"/>
  <c r="F108" i="16"/>
  <c r="I231" i="16"/>
  <c r="I232" i="16"/>
  <c r="I233" i="16"/>
  <c r="I234" i="16"/>
  <c r="I235" i="16"/>
  <c r="H232" i="16"/>
  <c r="H233" i="16"/>
  <c r="H234" i="16"/>
  <c r="H235" i="16"/>
  <c r="H231" i="16"/>
  <c r="G146" i="14"/>
  <c r="F146" i="14"/>
  <c r="G144" i="14"/>
  <c r="F144" i="14"/>
  <c r="G212" i="14"/>
  <c r="F212" i="14"/>
  <c r="I227" i="16"/>
  <c r="I228" i="16"/>
  <c r="I229" i="16"/>
  <c r="I230" i="16"/>
  <c r="H228" i="16"/>
  <c r="H229" i="16"/>
  <c r="H230" i="16"/>
  <c r="H227" i="16"/>
  <c r="I225" i="16"/>
  <c r="I226" i="16"/>
  <c r="H226" i="16"/>
  <c r="H225" i="16"/>
  <c r="G240" i="16"/>
  <c r="F240" i="16"/>
  <c r="G212" i="16"/>
  <c r="F212" i="16"/>
  <c r="F210" i="16"/>
  <c r="G194" i="16"/>
  <c r="F194" i="16"/>
  <c r="G195" i="16"/>
  <c r="F195" i="16"/>
  <c r="G209" i="16"/>
  <c r="F209" i="16"/>
  <c r="G180" i="16"/>
  <c r="F180" i="16"/>
  <c r="H178" i="16" s="1"/>
  <c r="I160" i="16"/>
  <c r="I161" i="16"/>
  <c r="H161" i="16"/>
  <c r="H160" i="16"/>
  <c r="G152" i="16"/>
  <c r="F152" i="16"/>
  <c r="G140" i="16"/>
  <c r="F140" i="16"/>
  <c r="G144" i="16"/>
  <c r="F144" i="16"/>
  <c r="G154" i="16"/>
  <c r="F154" i="16"/>
  <c r="G139" i="16"/>
  <c r="F139" i="16"/>
  <c r="F137" i="16"/>
  <c r="G157" i="14"/>
  <c r="F157" i="14"/>
  <c r="G73" i="14"/>
  <c r="I71" i="14" s="1"/>
  <c r="F73" i="14"/>
  <c r="G170" i="16"/>
  <c r="I169" i="16" s="1"/>
  <c r="F170" i="16"/>
  <c r="I133" i="16"/>
  <c r="I134" i="16"/>
  <c r="I135" i="16"/>
  <c r="I136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74" i="16"/>
  <c r="G253" i="16"/>
  <c r="F253" i="16"/>
  <c r="H246" i="16" s="1"/>
  <c r="G122" i="16"/>
  <c r="F122" i="16"/>
  <c r="F112" i="16"/>
  <c r="G115" i="16"/>
  <c r="F115" i="16"/>
  <c r="G111" i="16"/>
  <c r="F111" i="16"/>
  <c r="G113" i="16"/>
  <c r="F113" i="16"/>
  <c r="G95" i="16"/>
  <c r="F95" i="16"/>
  <c r="G98" i="16"/>
  <c r="F98" i="16"/>
  <c r="F96" i="16"/>
  <c r="I27" i="16"/>
  <c r="I28" i="16"/>
  <c r="I29" i="16"/>
  <c r="I30" i="16"/>
  <c r="I31" i="16"/>
  <c r="H28" i="16"/>
  <c r="H29" i="16"/>
  <c r="H30" i="16"/>
  <c r="H31" i="16"/>
  <c r="H27" i="16"/>
  <c r="G39" i="16"/>
  <c r="F39" i="16"/>
  <c r="G52" i="16"/>
  <c r="F52" i="16"/>
  <c r="G69" i="16"/>
  <c r="F69" i="16"/>
  <c r="G44" i="16"/>
  <c r="F44" i="16"/>
  <c r="G36" i="16"/>
  <c r="F36" i="16"/>
  <c r="G55" i="16"/>
  <c r="F55" i="16"/>
  <c r="G64" i="16"/>
  <c r="F64" i="16"/>
  <c r="G56" i="16"/>
  <c r="F56" i="16"/>
  <c r="G67" i="16"/>
  <c r="F67" i="16"/>
  <c r="G22" i="16"/>
  <c r="F22" i="16"/>
  <c r="H22" i="16" s="1"/>
  <c r="G24" i="16"/>
  <c r="F24" i="16"/>
  <c r="G18" i="16"/>
  <c r="I13" i="16" s="1"/>
  <c r="F18" i="16"/>
  <c r="H17" i="16" s="1"/>
  <c r="I184" i="16"/>
  <c r="I185" i="16"/>
  <c r="I186" i="16"/>
  <c r="I187" i="16"/>
  <c r="I188" i="16"/>
  <c r="I189" i="16"/>
  <c r="I190" i="16"/>
  <c r="I191" i="16"/>
  <c r="I192" i="16"/>
  <c r="H185" i="16"/>
  <c r="H186" i="16"/>
  <c r="H187" i="16"/>
  <c r="H188" i="16"/>
  <c r="H189" i="16"/>
  <c r="H190" i="16"/>
  <c r="H191" i="16"/>
  <c r="H192" i="16"/>
  <c r="H184" i="16"/>
  <c r="G52" i="14"/>
  <c r="F52" i="14"/>
  <c r="G134" i="14"/>
  <c r="F134" i="14"/>
  <c r="G9" i="14"/>
  <c r="I6" i="14" s="1"/>
  <c r="F9" i="14"/>
  <c r="G57" i="14"/>
  <c r="F57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44" i="14"/>
  <c r="G158" i="14"/>
  <c r="F158" i="14"/>
  <c r="G98" i="14"/>
  <c r="F98" i="14"/>
  <c r="G204" i="14"/>
  <c r="F204" i="14"/>
  <c r="I253" i="16"/>
  <c r="I256" i="16"/>
  <c r="I264" i="16"/>
  <c r="I266" i="16"/>
  <c r="I272" i="16"/>
  <c r="I274" i="16"/>
  <c r="I280" i="16"/>
  <c r="I282" i="16"/>
  <c r="H245" i="16"/>
  <c r="H253" i="16"/>
  <c r="H261" i="16"/>
  <c r="H263" i="16"/>
  <c r="H269" i="16"/>
  <c r="H271" i="16"/>
  <c r="H277" i="16"/>
  <c r="H279" i="16"/>
  <c r="H244" i="16"/>
  <c r="I205" i="14"/>
  <c r="H205" i="14"/>
  <c r="I194" i="14"/>
  <c r="I227" i="14"/>
  <c r="I228" i="14"/>
  <c r="I229" i="14"/>
  <c r="I230" i="14"/>
  <c r="H228" i="14"/>
  <c r="H229" i="14"/>
  <c r="H230" i="14"/>
  <c r="H227" i="14"/>
  <c r="I236" i="14"/>
  <c r="I237" i="14"/>
  <c r="I238" i="14"/>
  <c r="I239" i="14"/>
  <c r="I240" i="14"/>
  <c r="I241" i="14"/>
  <c r="I242" i="14"/>
  <c r="I243" i="14"/>
  <c r="H237" i="14"/>
  <c r="H238" i="14"/>
  <c r="H239" i="14"/>
  <c r="H240" i="14"/>
  <c r="H241" i="14"/>
  <c r="H242" i="14"/>
  <c r="H243" i="14"/>
  <c r="H236" i="14"/>
  <c r="I225" i="14"/>
  <c r="I226" i="14"/>
  <c r="H226" i="14"/>
  <c r="H225" i="14"/>
  <c r="I236" i="16"/>
  <c r="I237" i="16"/>
  <c r="I238" i="16"/>
  <c r="I239" i="16"/>
  <c r="I240" i="16"/>
  <c r="I241" i="16"/>
  <c r="I242" i="16"/>
  <c r="I243" i="16"/>
  <c r="H237" i="16"/>
  <c r="H238" i="16"/>
  <c r="H239" i="16"/>
  <c r="H240" i="16"/>
  <c r="H241" i="16"/>
  <c r="H242" i="16"/>
  <c r="H243" i="16"/>
  <c r="H236" i="16"/>
  <c r="I217" i="14"/>
  <c r="I218" i="14"/>
  <c r="I219" i="14"/>
  <c r="I220" i="14"/>
  <c r="I221" i="14"/>
  <c r="I222" i="14"/>
  <c r="I223" i="14"/>
  <c r="I224" i="14"/>
  <c r="H218" i="14"/>
  <c r="H219" i="14"/>
  <c r="H220" i="14"/>
  <c r="H221" i="14"/>
  <c r="H222" i="14"/>
  <c r="H223" i="14"/>
  <c r="H224" i="14"/>
  <c r="H217" i="14"/>
  <c r="I217" i="16"/>
  <c r="I218" i="16"/>
  <c r="I219" i="16"/>
  <c r="I220" i="16"/>
  <c r="I221" i="16"/>
  <c r="I222" i="16"/>
  <c r="I223" i="16"/>
  <c r="I224" i="16"/>
  <c r="H218" i="16"/>
  <c r="H219" i="16"/>
  <c r="H220" i="16"/>
  <c r="H221" i="16"/>
  <c r="H222" i="16"/>
  <c r="H223" i="16"/>
  <c r="H224" i="16"/>
  <c r="H217" i="16"/>
  <c r="I210" i="16"/>
  <c r="I211" i="16"/>
  <c r="I212" i="16"/>
  <c r="I213" i="16"/>
  <c r="I214" i="16"/>
  <c r="I215" i="16"/>
  <c r="I216" i="16"/>
  <c r="H211" i="16"/>
  <c r="H212" i="16"/>
  <c r="H213" i="16"/>
  <c r="H214" i="16"/>
  <c r="H215" i="16"/>
  <c r="H216" i="16"/>
  <c r="H210" i="16"/>
  <c r="I210" i="14"/>
  <c r="H212" i="14"/>
  <c r="I193" i="14"/>
  <c r="I198" i="14"/>
  <c r="I199" i="14"/>
  <c r="I200" i="14"/>
  <c r="I201" i="14"/>
  <c r="I206" i="14"/>
  <c r="I207" i="14"/>
  <c r="I208" i="14"/>
  <c r="I209" i="14"/>
  <c r="H194" i="14"/>
  <c r="H195" i="14"/>
  <c r="H196" i="14"/>
  <c r="H197" i="14"/>
  <c r="H198" i="14"/>
  <c r="H199" i="14"/>
  <c r="H200" i="14"/>
  <c r="H201" i="14"/>
  <c r="H202" i="14"/>
  <c r="H203" i="14"/>
  <c r="H204" i="14"/>
  <c r="H206" i="14"/>
  <c r="H207" i="14"/>
  <c r="H208" i="14"/>
  <c r="H209" i="14"/>
  <c r="H193" i="14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193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H177" i="16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H173" i="14"/>
  <c r="H174" i="14"/>
  <c r="H175" i="14"/>
  <c r="H176" i="14"/>
  <c r="H177" i="14"/>
  <c r="H178" i="14"/>
  <c r="H179" i="14"/>
  <c r="H180" i="14"/>
  <c r="H181" i="14"/>
  <c r="H182" i="14"/>
  <c r="H183" i="14"/>
  <c r="H172" i="14"/>
  <c r="I160" i="14"/>
  <c r="I161" i="14"/>
  <c r="H161" i="14"/>
  <c r="H160" i="14"/>
  <c r="H152" i="14"/>
  <c r="H72" i="14"/>
  <c r="H73" i="14"/>
  <c r="H71" i="14"/>
  <c r="I168" i="16"/>
  <c r="I170" i="16"/>
  <c r="H163" i="16"/>
  <c r="H164" i="16"/>
  <c r="H165" i="16"/>
  <c r="H166" i="16"/>
  <c r="H167" i="16"/>
  <c r="H168" i="16"/>
  <c r="H169" i="16"/>
  <c r="H170" i="16"/>
  <c r="I163" i="14"/>
  <c r="I164" i="14"/>
  <c r="I165" i="14"/>
  <c r="I166" i="14"/>
  <c r="I167" i="14"/>
  <c r="I168" i="14"/>
  <c r="I169" i="14"/>
  <c r="I170" i="14"/>
  <c r="H164" i="14"/>
  <c r="H165" i="14"/>
  <c r="H166" i="14"/>
  <c r="H167" i="14"/>
  <c r="H168" i="14"/>
  <c r="H169" i="14"/>
  <c r="H170" i="14"/>
  <c r="H163" i="14"/>
  <c r="I133" i="14"/>
  <c r="I134" i="14"/>
  <c r="I135" i="14"/>
  <c r="I136" i="14"/>
  <c r="H134" i="14"/>
  <c r="H135" i="14"/>
  <c r="H136" i="14"/>
  <c r="H133" i="14"/>
  <c r="I107" i="14"/>
  <c r="I115" i="14"/>
  <c r="I123" i="14"/>
  <c r="I131" i="14"/>
  <c r="G125" i="14"/>
  <c r="I108" i="14" s="1"/>
  <c r="F125" i="14"/>
  <c r="H113" i="14" s="1"/>
  <c r="I108" i="16"/>
  <c r="I116" i="16"/>
  <c r="I124" i="16"/>
  <c r="I132" i="16"/>
  <c r="I231" i="14"/>
  <c r="I232" i="14"/>
  <c r="I233" i="14"/>
  <c r="I234" i="14"/>
  <c r="I235" i="14"/>
  <c r="H232" i="14"/>
  <c r="H233" i="14"/>
  <c r="H234" i="14"/>
  <c r="H235" i="14"/>
  <c r="H231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87" i="14"/>
  <c r="G91" i="16"/>
  <c r="I95" i="16" s="1"/>
  <c r="F90" i="16"/>
  <c r="H84" i="14"/>
  <c r="G85" i="14"/>
  <c r="I81" i="14" s="1"/>
  <c r="F85" i="14"/>
  <c r="H77" i="14" s="1"/>
  <c r="I27" i="14"/>
  <c r="I28" i="14"/>
  <c r="I29" i="14"/>
  <c r="I30" i="14"/>
  <c r="I31" i="14"/>
  <c r="H27" i="14"/>
  <c r="H28" i="14"/>
  <c r="H29" i="14"/>
  <c r="H30" i="14"/>
  <c r="H31" i="14"/>
  <c r="G67" i="14"/>
  <c r="F67" i="14"/>
  <c r="G41" i="14"/>
  <c r="F41" i="14"/>
  <c r="G59" i="14"/>
  <c r="F59" i="14"/>
  <c r="G35" i="14"/>
  <c r="I35" i="14" s="1"/>
  <c r="F35" i="14"/>
  <c r="G33" i="14"/>
  <c r="F33" i="14"/>
  <c r="I19" i="14"/>
  <c r="I20" i="14"/>
  <c r="I21" i="14"/>
  <c r="I22" i="14"/>
  <c r="I23" i="14"/>
  <c r="I24" i="14"/>
  <c r="I25" i="14"/>
  <c r="I26" i="14"/>
  <c r="H20" i="14"/>
  <c r="H21" i="14"/>
  <c r="H22" i="14"/>
  <c r="H23" i="14"/>
  <c r="H24" i="14"/>
  <c r="H25" i="14"/>
  <c r="H26" i="14"/>
  <c r="H19" i="14"/>
  <c r="I19" i="16"/>
  <c r="I20" i="16"/>
  <c r="I21" i="16"/>
  <c r="I22" i="16"/>
  <c r="I23" i="16"/>
  <c r="I24" i="16"/>
  <c r="I25" i="16"/>
  <c r="I26" i="16"/>
  <c r="H21" i="16"/>
  <c r="H23" i="16"/>
  <c r="H16" i="14"/>
  <c r="H17" i="14"/>
  <c r="H18" i="14"/>
  <c r="G13" i="14"/>
  <c r="I18" i="14" s="1"/>
  <c r="F13" i="14"/>
  <c r="H14" i="14" s="1"/>
  <c r="H14" i="16"/>
  <c r="H15" i="16"/>
  <c r="H16" i="16"/>
  <c r="I2" i="16"/>
  <c r="I3" i="16"/>
  <c r="I4" i="16"/>
  <c r="I5" i="16"/>
  <c r="I6" i="16"/>
  <c r="I7" i="16"/>
  <c r="I8" i="16"/>
  <c r="I9" i="16"/>
  <c r="I10" i="16"/>
  <c r="I11" i="16"/>
  <c r="I12" i="16"/>
  <c r="H2" i="16"/>
  <c r="H3" i="16"/>
  <c r="H4" i="16"/>
  <c r="H5" i="16"/>
  <c r="H6" i="16"/>
  <c r="H7" i="16"/>
  <c r="H8" i="16"/>
  <c r="H9" i="16"/>
  <c r="H10" i="16"/>
  <c r="H11" i="16"/>
  <c r="H12" i="16"/>
  <c r="I5" i="14"/>
  <c r="H3" i="14"/>
  <c r="H4" i="14"/>
  <c r="H5" i="14"/>
  <c r="H6" i="14"/>
  <c r="H7" i="14"/>
  <c r="H8" i="14"/>
  <c r="H9" i="14"/>
  <c r="H10" i="14"/>
  <c r="H11" i="14"/>
  <c r="H12" i="14"/>
  <c r="H2" i="14"/>
  <c r="G189" i="14"/>
  <c r="F189" i="14"/>
  <c r="H189" i="14" s="1"/>
  <c r="G185" i="14"/>
  <c r="F185" i="14"/>
  <c r="G188" i="14"/>
  <c r="I188" i="14" s="1"/>
  <c r="F188" i="14"/>
  <c r="E25" i="13"/>
  <c r="E23" i="13"/>
  <c r="E22" i="13"/>
  <c r="E65" i="13"/>
  <c r="E34" i="13"/>
  <c r="E69" i="13"/>
  <c r="E58" i="13"/>
  <c r="E64" i="13"/>
  <c r="E59" i="13"/>
  <c r="E70" i="13"/>
  <c r="E121" i="13"/>
  <c r="E157" i="13"/>
  <c r="E254" i="13"/>
  <c r="E274" i="13"/>
  <c r="E272" i="13"/>
  <c r="E273" i="13"/>
  <c r="E221" i="13"/>
  <c r="E220" i="13"/>
  <c r="E198" i="13"/>
  <c r="E195" i="13"/>
  <c r="E193" i="13"/>
  <c r="F205" i="13" s="1"/>
  <c r="E200" i="13"/>
  <c r="E47" i="13"/>
  <c r="E26" i="13"/>
  <c r="E247" i="13"/>
  <c r="E283" i="13"/>
  <c r="E277" i="13"/>
  <c r="E238" i="13"/>
  <c r="E241" i="13"/>
  <c r="E98" i="13"/>
  <c r="E99" i="13"/>
  <c r="E90" i="13"/>
  <c r="E91" i="13"/>
  <c r="F105" i="13" s="1"/>
  <c r="E210" i="13"/>
  <c r="F210" i="13"/>
  <c r="E212" i="13"/>
  <c r="E194" i="13"/>
  <c r="E199" i="13"/>
  <c r="E197" i="13"/>
  <c r="E209" i="13"/>
  <c r="E137" i="13"/>
  <c r="E120" i="13"/>
  <c r="E176" i="13"/>
  <c r="E161" i="13"/>
  <c r="E154" i="13"/>
  <c r="E150" i="13"/>
  <c r="E148" i="13"/>
  <c r="E151" i="13"/>
  <c r="E147" i="13"/>
  <c r="E152" i="13"/>
  <c r="E140" i="13"/>
  <c r="E143" i="13"/>
  <c r="F168" i="13"/>
  <c r="E78" i="13"/>
  <c r="E79" i="13"/>
  <c r="E68" i="13"/>
  <c r="E37" i="13"/>
  <c r="E36" i="13"/>
  <c r="E54" i="13"/>
  <c r="E60" i="13"/>
  <c r="E56" i="13"/>
  <c r="E51" i="13"/>
  <c r="E62" i="13"/>
  <c r="E125" i="13"/>
  <c r="E114" i="13"/>
  <c r="E126" i="13"/>
  <c r="E109" i="13"/>
  <c r="E110" i="13"/>
  <c r="E119" i="13"/>
  <c r="E107" i="13"/>
  <c r="F108" i="13" s="1"/>
  <c r="E233" i="13"/>
  <c r="E234" i="13"/>
  <c r="F26" i="13"/>
  <c r="F23" i="13"/>
  <c r="E135" i="13"/>
  <c r="F134" i="13" s="1"/>
  <c r="E17" i="13"/>
  <c r="F13" i="13" s="1"/>
  <c r="E185" i="13"/>
  <c r="F190" i="13" s="1"/>
  <c r="E226" i="13"/>
  <c r="F226" i="13" s="1"/>
  <c r="E225" i="13"/>
  <c r="E236" i="13"/>
  <c r="E240" i="13"/>
  <c r="E237" i="13"/>
  <c r="E239" i="13"/>
  <c r="E218" i="13"/>
  <c r="F220" i="13" s="1"/>
  <c r="E219" i="13"/>
  <c r="F213" i="13"/>
  <c r="E183" i="13"/>
  <c r="E172" i="13"/>
  <c r="F161" i="13"/>
  <c r="F160" i="13"/>
  <c r="E139" i="13"/>
  <c r="E153" i="13"/>
  <c r="E156" i="13"/>
  <c r="F165" i="13"/>
  <c r="F169" i="13"/>
  <c r="E74" i="13"/>
  <c r="E85" i="13"/>
  <c r="E278" i="13"/>
  <c r="E248" i="13"/>
  <c r="E246" i="13"/>
  <c r="F281" i="13" s="1"/>
  <c r="E276" i="13"/>
  <c r="E113" i="13"/>
  <c r="E115" i="13"/>
  <c r="E116" i="13"/>
  <c r="E111" i="13"/>
  <c r="E112" i="13"/>
  <c r="E117" i="13"/>
  <c r="E124" i="13"/>
  <c r="E231" i="13"/>
  <c r="E232" i="13"/>
  <c r="E93" i="13"/>
  <c r="E101" i="13"/>
  <c r="E95" i="13"/>
  <c r="E94" i="13"/>
  <c r="F30" i="13"/>
  <c r="E32" i="13"/>
  <c r="E55" i="13"/>
  <c r="E42" i="13"/>
  <c r="E35" i="13"/>
  <c r="E67" i="13"/>
  <c r="E33" i="13"/>
  <c r="E66" i="13"/>
  <c r="E49" i="13"/>
  <c r="E44" i="13"/>
  <c r="E41" i="13"/>
  <c r="E52" i="13"/>
  <c r="E57" i="13"/>
  <c r="E18" i="13"/>
  <c r="E189" i="13"/>
  <c r="E188" i="13"/>
  <c r="E242" i="13"/>
  <c r="E261" i="13"/>
  <c r="F230" i="13"/>
  <c r="F229" i="13"/>
  <c r="E243" i="13"/>
  <c r="E5" i="13"/>
  <c r="F5" i="13" s="1"/>
  <c r="I229" i="6"/>
  <c r="H230" i="6"/>
  <c r="I230" i="6" s="1"/>
  <c r="H220" i="6"/>
  <c r="I220" i="6" s="1"/>
  <c r="H210" i="6"/>
  <c r="H208" i="6"/>
  <c r="H206" i="6"/>
  <c r="H204" i="6"/>
  <c r="H150" i="6"/>
  <c r="I150" i="6" s="1"/>
  <c r="G253" i="6"/>
  <c r="G241" i="6"/>
  <c r="G225" i="6"/>
  <c r="G224" i="6"/>
  <c r="G194" i="6"/>
  <c r="H194" i="6" s="1"/>
  <c r="I194" i="6" s="1"/>
  <c r="G188" i="6"/>
  <c r="H188" i="6" s="1"/>
  <c r="I188" i="6" s="1"/>
  <c r="G152" i="6"/>
  <c r="H152" i="6" s="1"/>
  <c r="G151" i="6"/>
  <c r="H151" i="6" s="1"/>
  <c r="I151" i="6" s="1"/>
  <c r="G140" i="6"/>
  <c r="H140" i="6" s="1"/>
  <c r="G125" i="6"/>
  <c r="G116" i="6"/>
  <c r="G112" i="6"/>
  <c r="G108" i="6"/>
  <c r="H108" i="6" s="1"/>
  <c r="I108" i="6" s="1"/>
  <c r="G106" i="6"/>
  <c r="H106" i="6" s="1"/>
  <c r="G101" i="6"/>
  <c r="H101" i="6" s="1"/>
  <c r="I101" i="6" s="1"/>
  <c r="G90" i="6"/>
  <c r="H90" i="6" s="1"/>
  <c r="G89" i="6"/>
  <c r="H89" i="6" s="1"/>
  <c r="I89" i="6" s="1"/>
  <c r="G82" i="6"/>
  <c r="G74" i="6"/>
  <c r="G64" i="6"/>
  <c r="G63" i="6"/>
  <c r="H63" i="6" s="1"/>
  <c r="G59" i="6"/>
  <c r="H59" i="6" s="1"/>
  <c r="G54" i="6"/>
  <c r="G44" i="6"/>
  <c r="H44" i="6" s="1"/>
  <c r="G9" i="6"/>
  <c r="H9" i="6" s="1"/>
  <c r="F88" i="6"/>
  <c r="F63" i="6"/>
  <c r="H224" i="6"/>
  <c r="I224" i="6" s="1"/>
  <c r="H125" i="6"/>
  <c r="I125" i="6" s="1"/>
  <c r="H112" i="6"/>
  <c r="I112" i="6" s="1"/>
  <c r="H82" i="6"/>
  <c r="I82" i="6" s="1"/>
  <c r="H64" i="6"/>
  <c r="I64" i="6" s="1"/>
  <c r="H88" i="6"/>
  <c r="I88" i="6" s="1"/>
  <c r="H5" i="6"/>
  <c r="H17" i="6"/>
  <c r="H21" i="6"/>
  <c r="I21" i="6" s="1"/>
  <c r="H26" i="6"/>
  <c r="I26" i="6" s="1"/>
  <c r="H34" i="6"/>
  <c r="H42" i="6"/>
  <c r="H45" i="6"/>
  <c r="H46" i="6"/>
  <c r="H48" i="6"/>
  <c r="H51" i="6"/>
  <c r="H54" i="6"/>
  <c r="I54" i="6" s="1"/>
  <c r="H55" i="6"/>
  <c r="I55" i="6" s="1"/>
  <c r="H69" i="6"/>
  <c r="H74" i="6"/>
  <c r="H79" i="6"/>
  <c r="I79" i="6" s="1"/>
  <c r="H87" i="6"/>
  <c r="I87" i="6" s="1"/>
  <c r="H93" i="6"/>
  <c r="H94" i="6"/>
  <c r="I93" i="6" s="1"/>
  <c r="H98" i="6"/>
  <c r="I98" i="6" s="1"/>
  <c r="H116" i="6"/>
  <c r="H119" i="6"/>
  <c r="I119" i="6" s="1"/>
  <c r="H126" i="6"/>
  <c r="I126" i="6" s="1"/>
  <c r="H133" i="6"/>
  <c r="I133" i="6" s="1"/>
  <c r="H134" i="6"/>
  <c r="I134" i="6" s="1"/>
  <c r="H137" i="6"/>
  <c r="H138" i="6"/>
  <c r="H144" i="6"/>
  <c r="I144" i="6" s="1"/>
  <c r="H147" i="6"/>
  <c r="I147" i="6" s="1"/>
  <c r="H149" i="6"/>
  <c r="H155" i="6"/>
  <c r="H162" i="6"/>
  <c r="H165" i="6"/>
  <c r="I165" i="6" s="1"/>
  <c r="H168" i="6"/>
  <c r="I168" i="6" s="1"/>
  <c r="H179" i="6"/>
  <c r="H189" i="6"/>
  <c r="I189" i="6" s="1"/>
  <c r="H193" i="6"/>
  <c r="I193" i="6" s="1"/>
  <c r="H213" i="6"/>
  <c r="I213" i="6" s="1"/>
  <c r="H221" i="6"/>
  <c r="I221" i="6" s="1"/>
  <c r="H225" i="6"/>
  <c r="I225" i="6" s="1"/>
  <c r="H226" i="6"/>
  <c r="I226" i="6" s="1"/>
  <c r="H229" i="6"/>
  <c r="H233" i="6"/>
  <c r="I233" i="6" s="1"/>
  <c r="H234" i="6"/>
  <c r="I234" i="6" s="1"/>
  <c r="H237" i="6"/>
  <c r="I237" i="6" s="1"/>
  <c r="H241" i="6"/>
  <c r="I241" i="6" s="1"/>
  <c r="H243" i="6"/>
  <c r="I243" i="6" s="1"/>
  <c r="H251" i="6"/>
  <c r="I278" i="6" s="1"/>
  <c r="H253" i="6"/>
  <c r="I253" i="6" s="1"/>
  <c r="H277" i="6"/>
  <c r="I277" i="6" s="1"/>
  <c r="H278" i="6"/>
  <c r="H4" i="6"/>
  <c r="I4" i="6" s="1"/>
  <c r="F281" i="8"/>
  <c r="G281" i="8" s="1"/>
  <c r="F244" i="8"/>
  <c r="F240" i="8"/>
  <c r="F232" i="8"/>
  <c r="F227" i="8"/>
  <c r="F214" i="8"/>
  <c r="F209" i="8"/>
  <c r="F185" i="8"/>
  <c r="F183" i="8"/>
  <c r="G182" i="8" s="1"/>
  <c r="F182" i="8"/>
  <c r="F181" i="8"/>
  <c r="F168" i="8"/>
  <c r="F151" i="8"/>
  <c r="F147" i="8"/>
  <c r="F144" i="8"/>
  <c r="F126" i="8"/>
  <c r="F125" i="8"/>
  <c r="F112" i="8"/>
  <c r="F111" i="8"/>
  <c r="F98" i="8"/>
  <c r="F96" i="8"/>
  <c r="F68" i="8"/>
  <c r="F66" i="8"/>
  <c r="F62" i="8"/>
  <c r="F56" i="8"/>
  <c r="F55" i="8"/>
  <c r="F36" i="8"/>
  <c r="F22" i="8"/>
  <c r="F5" i="8"/>
  <c r="F3" i="8"/>
  <c r="G147" i="8"/>
  <c r="G151" i="8"/>
  <c r="F281" i="3"/>
  <c r="F244" i="3"/>
  <c r="F240" i="3"/>
  <c r="F232" i="3"/>
  <c r="F227" i="3"/>
  <c r="F214" i="3"/>
  <c r="F209" i="3"/>
  <c r="F185" i="3"/>
  <c r="F183" i="3"/>
  <c r="F182" i="3"/>
  <c r="F181" i="3"/>
  <c r="F168" i="3"/>
  <c r="F151" i="3"/>
  <c r="F147" i="3"/>
  <c r="F144" i="3"/>
  <c r="F126" i="3"/>
  <c r="F125" i="3"/>
  <c r="F112" i="3"/>
  <c r="F111" i="3"/>
  <c r="F98" i="3"/>
  <c r="F96" i="3"/>
  <c r="F68" i="3"/>
  <c r="F66" i="3"/>
  <c r="F62" i="3"/>
  <c r="F56" i="3"/>
  <c r="F55" i="3"/>
  <c r="F36" i="3"/>
  <c r="F22" i="3"/>
  <c r="F5" i="3"/>
  <c r="F3" i="3"/>
  <c r="F253" i="17"/>
  <c r="F241" i="17"/>
  <c r="F90" i="17"/>
  <c r="G89" i="17" s="1"/>
  <c r="F226" i="17"/>
  <c r="G140" i="17"/>
  <c r="G149" i="17"/>
  <c r="F140" i="17"/>
  <c r="G151" i="17" s="1"/>
  <c r="G59" i="17"/>
  <c r="G64" i="17"/>
  <c r="G48" i="17"/>
  <c r="F59" i="17"/>
  <c r="G63" i="17" s="1"/>
  <c r="F64" i="17"/>
  <c r="G124" i="17"/>
  <c r="G125" i="17"/>
  <c r="G108" i="17"/>
  <c r="F108" i="17"/>
  <c r="G9" i="17"/>
  <c r="G4" i="17"/>
  <c r="F9" i="17"/>
  <c r="F188" i="17"/>
  <c r="G4" i="10"/>
  <c r="G12" i="10"/>
  <c r="G3" i="10"/>
  <c r="G22" i="10"/>
  <c r="G20" i="10"/>
  <c r="G234" i="10"/>
  <c r="G233" i="10"/>
  <c r="G112" i="10"/>
  <c r="F125" i="10"/>
  <c r="G113" i="10" s="1"/>
  <c r="F126" i="10"/>
  <c r="G126" i="10" s="1"/>
  <c r="F56" i="10"/>
  <c r="F55" i="10"/>
  <c r="G62" i="10" s="1"/>
  <c r="F67" i="10"/>
  <c r="G67" i="10" s="1"/>
  <c r="F57" i="10"/>
  <c r="F36" i="10"/>
  <c r="G79" i="10"/>
  <c r="G85" i="10"/>
  <c r="G74" i="10"/>
  <c r="F154" i="10"/>
  <c r="G141" i="10" s="1"/>
  <c r="G289" i="10"/>
  <c r="G290" i="10"/>
  <c r="G288" i="10"/>
  <c r="G180" i="10"/>
  <c r="G181" i="10"/>
  <c r="G172" i="10"/>
  <c r="G200" i="10"/>
  <c r="G198" i="10"/>
  <c r="G212" i="10"/>
  <c r="G213" i="10"/>
  <c r="G219" i="10"/>
  <c r="G223" i="10"/>
  <c r="G249" i="10"/>
  <c r="G261" i="10"/>
  <c r="G266" i="10"/>
  <c r="F98" i="10"/>
  <c r="G89" i="10" s="1"/>
  <c r="G289" i="9"/>
  <c r="G290" i="9"/>
  <c r="G287" i="9"/>
  <c r="F290" i="9"/>
  <c r="F310" i="9"/>
  <c r="G88" i="9"/>
  <c r="G87" i="9"/>
  <c r="G125" i="9"/>
  <c r="G112" i="9"/>
  <c r="F55" i="9"/>
  <c r="G55" i="9" s="1"/>
  <c r="F87" i="9"/>
  <c r="G55" i="11"/>
  <c r="G56" i="11"/>
  <c r="G62" i="11"/>
  <c r="G67" i="11"/>
  <c r="J36" i="12"/>
  <c r="J44" i="12"/>
  <c r="J54" i="12"/>
  <c r="J62" i="12"/>
  <c r="J66" i="12"/>
  <c r="J68" i="12"/>
  <c r="J96" i="12"/>
  <c r="J98" i="12"/>
  <c r="J111" i="12"/>
  <c r="J116" i="12"/>
  <c r="K116" i="12" s="1"/>
  <c r="J125" i="12"/>
  <c r="J126" i="12"/>
  <c r="J147" i="12"/>
  <c r="J148" i="12"/>
  <c r="J151" i="12"/>
  <c r="K151" i="12" s="1"/>
  <c r="J164" i="12"/>
  <c r="J180" i="12"/>
  <c r="J181" i="12"/>
  <c r="J182" i="12"/>
  <c r="J183" i="12"/>
  <c r="K183" i="12" s="1"/>
  <c r="J200" i="12"/>
  <c r="J209" i="12"/>
  <c r="K209" i="12" s="1"/>
  <c r="J210" i="12"/>
  <c r="J220" i="12"/>
  <c r="J227" i="12"/>
  <c r="J232" i="12"/>
  <c r="J244" i="12"/>
  <c r="J249" i="12"/>
  <c r="K249" i="12" s="1"/>
  <c r="J251" i="12"/>
  <c r="J281" i="12"/>
  <c r="J3" i="12"/>
  <c r="G56" i="12"/>
  <c r="G55" i="12"/>
  <c r="J55" i="12" s="1"/>
  <c r="G101" i="12"/>
  <c r="G3" i="12"/>
  <c r="F56" i="12"/>
  <c r="J56" i="12" s="1"/>
  <c r="F55" i="12"/>
  <c r="F101" i="12"/>
  <c r="G183" i="8"/>
  <c r="G96" i="8"/>
  <c r="G5" i="8"/>
  <c r="G182" i="3"/>
  <c r="G183" i="3"/>
  <c r="G181" i="3"/>
  <c r="G244" i="3"/>
  <c r="G281" i="3"/>
  <c r="G5" i="3"/>
  <c r="I63" i="6" l="1"/>
  <c r="I208" i="6"/>
  <c r="I138" i="6"/>
  <c r="I51" i="6"/>
  <c r="I137" i="6"/>
  <c r="I48" i="6"/>
  <c r="I5" i="6"/>
  <c r="I9" i="6"/>
  <c r="I140" i="6"/>
  <c r="I42" i="6"/>
  <c r="I44" i="6"/>
  <c r="I155" i="6"/>
  <c r="I152" i="6"/>
  <c r="I204" i="6"/>
  <c r="I149" i="6"/>
  <c r="I69" i="6"/>
  <c r="I46" i="6"/>
  <c r="I59" i="6"/>
  <c r="I106" i="6"/>
  <c r="I116" i="6"/>
  <c r="I206" i="6"/>
  <c r="K55" i="12"/>
  <c r="J101" i="12"/>
  <c r="K101" i="12" s="1"/>
  <c r="K281" i="12"/>
  <c r="K148" i="12"/>
  <c r="G46" i="9"/>
  <c r="G137" i="10"/>
  <c r="G56" i="10"/>
  <c r="G155" i="17"/>
  <c r="I45" i="6"/>
  <c r="F218" i="13"/>
  <c r="F271" i="13"/>
  <c r="F20" i="13"/>
  <c r="F15" i="15"/>
  <c r="F119" i="15"/>
  <c r="K251" i="12"/>
  <c r="K200" i="12"/>
  <c r="K147" i="12"/>
  <c r="G147" i="3"/>
  <c r="I94" i="6"/>
  <c r="I251" i="6"/>
  <c r="F219" i="13"/>
  <c r="F245" i="13"/>
  <c r="F6" i="13"/>
  <c r="H59" i="14"/>
  <c r="F114" i="15"/>
  <c r="K126" i="12"/>
  <c r="F217" i="13"/>
  <c r="H188" i="14"/>
  <c r="I17" i="14"/>
  <c r="F111" i="15"/>
  <c r="K244" i="12"/>
  <c r="G138" i="17"/>
  <c r="G101" i="17"/>
  <c r="I74" i="6"/>
  <c r="I90" i="6"/>
  <c r="I210" i="6"/>
  <c r="F224" i="15"/>
  <c r="K181" i="12"/>
  <c r="K44" i="12"/>
  <c r="G42" i="10"/>
  <c r="G152" i="17"/>
  <c r="G90" i="17"/>
  <c r="H190" i="14"/>
  <c r="H76" i="14"/>
  <c r="H144" i="14"/>
  <c r="K182" i="12"/>
  <c r="K111" i="12"/>
  <c r="G57" i="10"/>
  <c r="I148" i="6"/>
  <c r="F135" i="13"/>
  <c r="I187" i="14"/>
  <c r="H36" i="14"/>
  <c r="I80" i="14"/>
  <c r="I34" i="6"/>
  <c r="F96" i="13"/>
  <c r="I33" i="14"/>
  <c r="K96" i="12"/>
  <c r="G87" i="10"/>
  <c r="G55" i="10"/>
  <c r="F225" i="13"/>
  <c r="I189" i="14"/>
  <c r="H35" i="14"/>
  <c r="I255" i="16"/>
  <c r="I279" i="16"/>
  <c r="I271" i="16"/>
  <c r="I263" i="16"/>
  <c r="I252" i="16"/>
  <c r="I278" i="16"/>
  <c r="I270" i="16"/>
  <c r="I261" i="16"/>
  <c r="I247" i="16"/>
  <c r="I277" i="16"/>
  <c r="I269" i="16"/>
  <c r="I260" i="16"/>
  <c r="I244" i="16"/>
  <c r="I284" i="16"/>
  <c r="I276" i="16"/>
  <c r="I268" i="16"/>
  <c r="I258" i="16"/>
  <c r="I245" i="16"/>
  <c r="I283" i="16"/>
  <c r="I275" i="16"/>
  <c r="I267" i="16"/>
  <c r="I257" i="16"/>
  <c r="I281" i="16"/>
  <c r="I273" i="16"/>
  <c r="I265" i="16"/>
  <c r="I248" i="16"/>
  <c r="I246" i="16"/>
  <c r="I140" i="14"/>
  <c r="H145" i="14"/>
  <c r="I154" i="14"/>
  <c r="I146" i="14"/>
  <c r="I138" i="14"/>
  <c r="I153" i="14"/>
  <c r="I145" i="14"/>
  <c r="I137" i="14"/>
  <c r="I152" i="14"/>
  <c r="I144" i="14"/>
  <c r="I147" i="14"/>
  <c r="I151" i="14"/>
  <c r="I143" i="14"/>
  <c r="I139" i="14"/>
  <c r="I150" i="14"/>
  <c r="I142" i="14"/>
  <c r="I155" i="14"/>
  <c r="I157" i="14"/>
  <c r="I149" i="14"/>
  <c r="I141" i="14"/>
  <c r="I156" i="14"/>
  <c r="I148" i="14"/>
  <c r="H137" i="14"/>
  <c r="H150" i="14"/>
  <c r="H142" i="14"/>
  <c r="H157" i="14"/>
  <c r="H149" i="14"/>
  <c r="H141" i="14"/>
  <c r="H151" i="14"/>
  <c r="H156" i="14"/>
  <c r="H148" i="14"/>
  <c r="H140" i="14"/>
  <c r="H143" i="14"/>
  <c r="H155" i="14"/>
  <c r="H147" i="14"/>
  <c r="H139" i="14"/>
  <c r="H154" i="14"/>
  <c r="H146" i="14"/>
  <c r="H138" i="14"/>
  <c r="H153" i="14"/>
  <c r="H24" i="16"/>
  <c r="H172" i="16"/>
  <c r="H176" i="16"/>
  <c r="H183" i="16"/>
  <c r="H175" i="16"/>
  <c r="H182" i="16"/>
  <c r="H174" i="16"/>
  <c r="H181" i="16"/>
  <c r="H173" i="16"/>
  <c r="H180" i="16"/>
  <c r="H179" i="16"/>
  <c r="H145" i="16"/>
  <c r="I139" i="16"/>
  <c r="H137" i="16"/>
  <c r="H154" i="16"/>
  <c r="H153" i="16"/>
  <c r="H151" i="16"/>
  <c r="H144" i="16"/>
  <c r="H143" i="16"/>
  <c r="I153" i="16"/>
  <c r="I145" i="16"/>
  <c r="I137" i="16"/>
  <c r="I152" i="16"/>
  <c r="I144" i="16"/>
  <c r="I151" i="16"/>
  <c r="I143" i="16"/>
  <c r="I146" i="16"/>
  <c r="I150" i="16"/>
  <c r="I142" i="16"/>
  <c r="I138" i="16"/>
  <c r="I157" i="16"/>
  <c r="I149" i="16"/>
  <c r="I141" i="16"/>
  <c r="I154" i="16"/>
  <c r="I156" i="16"/>
  <c r="I148" i="16"/>
  <c r="I140" i="16"/>
  <c r="I155" i="16"/>
  <c r="I147" i="16"/>
  <c r="H150" i="16"/>
  <c r="H142" i="16"/>
  <c r="H157" i="16"/>
  <c r="H149" i="16"/>
  <c r="H141" i="16"/>
  <c r="H156" i="16"/>
  <c r="H148" i="16"/>
  <c r="H140" i="16"/>
  <c r="H155" i="16"/>
  <c r="H147" i="16"/>
  <c r="H139" i="16"/>
  <c r="H146" i="16"/>
  <c r="H138" i="16"/>
  <c r="H152" i="16"/>
  <c r="I73" i="14"/>
  <c r="I72" i="14"/>
  <c r="I167" i="16"/>
  <c r="I166" i="16"/>
  <c r="I165" i="16"/>
  <c r="I164" i="16"/>
  <c r="I163" i="16"/>
  <c r="H284" i="16"/>
  <c r="H276" i="16"/>
  <c r="H268" i="16"/>
  <c r="H260" i="16"/>
  <c r="H252" i="16"/>
  <c r="H283" i="16"/>
  <c r="H275" i="16"/>
  <c r="H267" i="16"/>
  <c r="H259" i="16"/>
  <c r="H251" i="16"/>
  <c r="I259" i="16"/>
  <c r="I251" i="16"/>
  <c r="H19" i="16"/>
  <c r="H26" i="16"/>
  <c r="H282" i="16"/>
  <c r="H274" i="16"/>
  <c r="H266" i="16"/>
  <c r="H258" i="16"/>
  <c r="H250" i="16"/>
  <c r="I250" i="16"/>
  <c r="H20" i="16"/>
  <c r="H25" i="16"/>
  <c r="H281" i="16"/>
  <c r="H273" i="16"/>
  <c r="H265" i="16"/>
  <c r="H257" i="16"/>
  <c r="H249" i="16"/>
  <c r="I249" i="16"/>
  <c r="H280" i="16"/>
  <c r="H272" i="16"/>
  <c r="H264" i="16"/>
  <c r="H256" i="16"/>
  <c r="H248" i="16"/>
  <c r="H255" i="16"/>
  <c r="H247" i="16"/>
  <c r="H278" i="16"/>
  <c r="H270" i="16"/>
  <c r="H262" i="16"/>
  <c r="H254" i="16"/>
  <c r="I262" i="16"/>
  <c r="I254" i="16"/>
  <c r="I109" i="16"/>
  <c r="I131" i="16"/>
  <c r="I123" i="16"/>
  <c r="I115" i="16"/>
  <c r="I107" i="16"/>
  <c r="I130" i="16"/>
  <c r="I122" i="16"/>
  <c r="I114" i="16"/>
  <c r="I106" i="16"/>
  <c r="I129" i="16"/>
  <c r="I121" i="16"/>
  <c r="I113" i="16"/>
  <c r="I128" i="16"/>
  <c r="I120" i="16"/>
  <c r="I112" i="16"/>
  <c r="I127" i="16"/>
  <c r="I119" i="16"/>
  <c r="I111" i="16"/>
  <c r="I126" i="16"/>
  <c r="I118" i="16"/>
  <c r="I110" i="16"/>
  <c r="I125" i="16"/>
  <c r="I117" i="16"/>
  <c r="H113" i="16"/>
  <c r="H130" i="16"/>
  <c r="H129" i="16"/>
  <c r="H122" i="16"/>
  <c r="H107" i="16"/>
  <c r="H121" i="16"/>
  <c r="H114" i="16"/>
  <c r="H102" i="16"/>
  <c r="I38" i="16"/>
  <c r="H33" i="16"/>
  <c r="H128" i="16"/>
  <c r="H120" i="16"/>
  <c r="H112" i="16"/>
  <c r="H91" i="16"/>
  <c r="H127" i="16"/>
  <c r="H119" i="16"/>
  <c r="H111" i="16"/>
  <c r="H126" i="16"/>
  <c r="H118" i="16"/>
  <c r="H110" i="16"/>
  <c r="H106" i="16"/>
  <c r="H125" i="16"/>
  <c r="H117" i="16"/>
  <c r="H109" i="16"/>
  <c r="H132" i="16"/>
  <c r="H124" i="16"/>
  <c r="H116" i="16"/>
  <c r="H108" i="16"/>
  <c r="H131" i="16"/>
  <c r="H123" i="16"/>
  <c r="H115" i="16"/>
  <c r="I17" i="16"/>
  <c r="I16" i="16"/>
  <c r="I18" i="16"/>
  <c r="I15" i="16"/>
  <c r="I14" i="16"/>
  <c r="H13" i="16"/>
  <c r="H18" i="16"/>
  <c r="I4" i="14"/>
  <c r="I12" i="14"/>
  <c r="I11" i="14"/>
  <c r="I3" i="14"/>
  <c r="I10" i="14"/>
  <c r="I2" i="14"/>
  <c r="I9" i="14"/>
  <c r="I8" i="14"/>
  <c r="I7" i="14"/>
  <c r="I197" i="14"/>
  <c r="I204" i="14"/>
  <c r="I196" i="14"/>
  <c r="I203" i="14"/>
  <c r="I195" i="14"/>
  <c r="I202" i="14"/>
  <c r="I216" i="14"/>
  <c r="I215" i="14"/>
  <c r="H216" i="14"/>
  <c r="I214" i="14"/>
  <c r="H211" i="14"/>
  <c r="H215" i="14"/>
  <c r="I213" i="14"/>
  <c r="H214" i="14"/>
  <c r="I212" i="14"/>
  <c r="H210" i="14"/>
  <c r="H213" i="14"/>
  <c r="I211" i="14"/>
  <c r="I65" i="16"/>
  <c r="H68" i="16"/>
  <c r="I47" i="16"/>
  <c r="H63" i="16"/>
  <c r="I33" i="16"/>
  <c r="I96" i="16"/>
  <c r="H58" i="16"/>
  <c r="H53" i="16"/>
  <c r="H46" i="16"/>
  <c r="H36" i="16"/>
  <c r="H43" i="16"/>
  <c r="I67" i="14"/>
  <c r="H57" i="14"/>
  <c r="I57" i="14"/>
  <c r="I59" i="14"/>
  <c r="H128" i="14"/>
  <c r="H41" i="14"/>
  <c r="H51" i="14"/>
  <c r="H120" i="14"/>
  <c r="I41" i="14"/>
  <c r="H43" i="14"/>
  <c r="H112" i="14"/>
  <c r="I40" i="14"/>
  <c r="H187" i="14"/>
  <c r="I184" i="14"/>
  <c r="H13" i="14"/>
  <c r="I16" i="14"/>
  <c r="H66" i="14"/>
  <c r="H58" i="14"/>
  <c r="H50" i="14"/>
  <c r="H42" i="14"/>
  <c r="H34" i="14"/>
  <c r="I63" i="14"/>
  <c r="I55" i="14"/>
  <c r="I47" i="14"/>
  <c r="I39" i="14"/>
  <c r="H83" i="14"/>
  <c r="H75" i="14"/>
  <c r="I79" i="14"/>
  <c r="H127" i="14"/>
  <c r="H119" i="14"/>
  <c r="H111" i="14"/>
  <c r="I130" i="14"/>
  <c r="I122" i="14"/>
  <c r="I114" i="14"/>
  <c r="I106" i="14"/>
  <c r="I32" i="14"/>
  <c r="H185" i="14"/>
  <c r="H184" i="14"/>
  <c r="I15" i="14"/>
  <c r="H65" i="14"/>
  <c r="H49" i="14"/>
  <c r="H33" i="14"/>
  <c r="I62" i="14"/>
  <c r="I54" i="14"/>
  <c r="I46" i="14"/>
  <c r="I38" i="14"/>
  <c r="H82" i="14"/>
  <c r="I86" i="14"/>
  <c r="I78" i="14"/>
  <c r="H126" i="14"/>
  <c r="H118" i="14"/>
  <c r="H110" i="14"/>
  <c r="I129" i="14"/>
  <c r="I121" i="14"/>
  <c r="I113" i="14"/>
  <c r="I191" i="14"/>
  <c r="I186" i="14"/>
  <c r="I14" i="14"/>
  <c r="H64" i="14"/>
  <c r="H56" i="14"/>
  <c r="H48" i="14"/>
  <c r="H40" i="14"/>
  <c r="I69" i="14"/>
  <c r="I61" i="14"/>
  <c r="I53" i="14"/>
  <c r="I45" i="14"/>
  <c r="I37" i="14"/>
  <c r="H81" i="14"/>
  <c r="I85" i="14"/>
  <c r="I77" i="14"/>
  <c r="H125" i="14"/>
  <c r="H117" i="14"/>
  <c r="H109" i="14"/>
  <c r="I128" i="14"/>
  <c r="I120" i="14"/>
  <c r="I112" i="14"/>
  <c r="I185" i="14"/>
  <c r="I48" i="14"/>
  <c r="I190" i="14"/>
  <c r="H186" i="14"/>
  <c r="I13" i="14"/>
  <c r="H63" i="14"/>
  <c r="H55" i="14"/>
  <c r="H47" i="14"/>
  <c r="H39" i="14"/>
  <c r="I68" i="14"/>
  <c r="I60" i="14"/>
  <c r="I52" i="14"/>
  <c r="I44" i="14"/>
  <c r="I36" i="14"/>
  <c r="H80" i="14"/>
  <c r="I84" i="14"/>
  <c r="I76" i="14"/>
  <c r="H106" i="14"/>
  <c r="H124" i="14"/>
  <c r="H116" i="14"/>
  <c r="H108" i="14"/>
  <c r="I127" i="14"/>
  <c r="I119" i="14"/>
  <c r="I111" i="14"/>
  <c r="H191" i="14"/>
  <c r="H192" i="14"/>
  <c r="H15" i="14"/>
  <c r="H32" i="14"/>
  <c r="H62" i="14"/>
  <c r="H54" i="14"/>
  <c r="H46" i="14"/>
  <c r="H38" i="14"/>
  <c r="I51" i="14"/>
  <c r="I43" i="14"/>
  <c r="H74" i="14"/>
  <c r="H79" i="14"/>
  <c r="I83" i="14"/>
  <c r="I75" i="14"/>
  <c r="H131" i="14"/>
  <c r="H123" i="14"/>
  <c r="H115" i="14"/>
  <c r="H107" i="14"/>
  <c r="I126" i="14"/>
  <c r="I118" i="14"/>
  <c r="I110" i="14"/>
  <c r="I56" i="14"/>
  <c r="I192" i="14"/>
  <c r="H69" i="14"/>
  <c r="H61" i="14"/>
  <c r="H53" i="14"/>
  <c r="H45" i="14"/>
  <c r="H37" i="14"/>
  <c r="I66" i="14"/>
  <c r="I58" i="14"/>
  <c r="I50" i="14"/>
  <c r="I42" i="14"/>
  <c r="I34" i="14"/>
  <c r="H86" i="14"/>
  <c r="H78" i="14"/>
  <c r="I82" i="14"/>
  <c r="I74" i="14"/>
  <c r="H130" i="14"/>
  <c r="H122" i="14"/>
  <c r="H114" i="14"/>
  <c r="H132" i="14"/>
  <c r="I125" i="14"/>
  <c r="I117" i="14"/>
  <c r="I109" i="14"/>
  <c r="I64" i="14"/>
  <c r="H60" i="14"/>
  <c r="H52" i="14"/>
  <c r="H44" i="14"/>
  <c r="I65" i="14"/>
  <c r="I49" i="14"/>
  <c r="H85" i="14"/>
  <c r="H129" i="14"/>
  <c r="H121" i="14"/>
  <c r="I132" i="14"/>
  <c r="I124" i="14"/>
  <c r="I116" i="14"/>
  <c r="H62" i="16"/>
  <c r="H52" i="16"/>
  <c r="H42" i="16"/>
  <c r="I63" i="16"/>
  <c r="H61" i="16"/>
  <c r="H51" i="16"/>
  <c r="H39" i="16"/>
  <c r="I57" i="16"/>
  <c r="I93" i="16"/>
  <c r="H32" i="16"/>
  <c r="H60" i="16"/>
  <c r="H50" i="16"/>
  <c r="H38" i="16"/>
  <c r="I55" i="16"/>
  <c r="I104" i="16"/>
  <c r="H69" i="16"/>
  <c r="H59" i="16"/>
  <c r="H47" i="16"/>
  <c r="H37" i="16"/>
  <c r="I49" i="16"/>
  <c r="I102" i="16"/>
  <c r="H67" i="16"/>
  <c r="H55" i="16"/>
  <c r="H45" i="16"/>
  <c r="H35" i="16"/>
  <c r="I41" i="16"/>
  <c r="H66" i="16"/>
  <c r="H54" i="16"/>
  <c r="H44" i="16"/>
  <c r="H34" i="16"/>
  <c r="I39" i="16"/>
  <c r="H64" i="16"/>
  <c r="H56" i="16"/>
  <c r="H48" i="16"/>
  <c r="H40" i="16"/>
  <c r="I69" i="16"/>
  <c r="I61" i="16"/>
  <c r="I53" i="16"/>
  <c r="I45" i="16"/>
  <c r="I37" i="16"/>
  <c r="H87" i="16"/>
  <c r="H98" i="16"/>
  <c r="H90" i="16"/>
  <c r="I100" i="16"/>
  <c r="I92" i="16"/>
  <c r="I68" i="16"/>
  <c r="I60" i="16"/>
  <c r="I52" i="16"/>
  <c r="I44" i="16"/>
  <c r="I36" i="16"/>
  <c r="H105" i="16"/>
  <c r="H97" i="16"/>
  <c r="H89" i="16"/>
  <c r="I99" i="16"/>
  <c r="I91" i="16"/>
  <c r="I67" i="16"/>
  <c r="I59" i="16"/>
  <c r="I51" i="16"/>
  <c r="I43" i="16"/>
  <c r="I35" i="16"/>
  <c r="H104" i="16"/>
  <c r="H96" i="16"/>
  <c r="H88" i="16"/>
  <c r="I98" i="16"/>
  <c r="I90" i="16"/>
  <c r="I66" i="16"/>
  <c r="I58" i="16"/>
  <c r="I50" i="16"/>
  <c r="I42" i="16"/>
  <c r="I34" i="16"/>
  <c r="H103" i="16"/>
  <c r="H95" i="16"/>
  <c r="I105" i="16"/>
  <c r="I97" i="16"/>
  <c r="I89" i="16"/>
  <c r="H94" i="16"/>
  <c r="I88" i="16"/>
  <c r="I64" i="16"/>
  <c r="I56" i="16"/>
  <c r="I48" i="16"/>
  <c r="I40" i="16"/>
  <c r="I32" i="16"/>
  <c r="H101" i="16"/>
  <c r="H93" i="16"/>
  <c r="I103" i="16"/>
  <c r="I87" i="16"/>
  <c r="H100" i="16"/>
  <c r="H92" i="16"/>
  <c r="I94" i="16"/>
  <c r="H65" i="16"/>
  <c r="H57" i="16"/>
  <c r="H49" i="16"/>
  <c r="H41" i="16"/>
  <c r="I62" i="16"/>
  <c r="I54" i="16"/>
  <c r="I46" i="16"/>
  <c r="H99" i="16"/>
  <c r="I101" i="16"/>
  <c r="F101" i="13"/>
  <c r="F144" i="13"/>
  <c r="F118" i="13"/>
  <c r="F25" i="13"/>
  <c r="F22" i="13"/>
  <c r="F24" i="13"/>
  <c r="F99" i="13"/>
  <c r="F95" i="13"/>
  <c r="F91" i="13"/>
  <c r="F183" i="13"/>
  <c r="F43" i="13"/>
  <c r="F93" i="13"/>
  <c r="F221" i="13"/>
  <c r="F274" i="13"/>
  <c r="F87" i="13"/>
  <c r="F17" i="13"/>
  <c r="F18" i="13"/>
  <c r="F236" i="13"/>
  <c r="F239" i="13"/>
  <c r="F212" i="13"/>
  <c r="F203" i="13"/>
  <c r="F199" i="13"/>
  <c r="F194" i="13"/>
  <c r="F202" i="13"/>
  <c r="F198" i="13"/>
  <c r="F200" i="13"/>
  <c r="F193" i="13"/>
  <c r="F197" i="13"/>
  <c r="F195" i="13"/>
  <c r="F209" i="13"/>
  <c r="F243" i="13"/>
  <c r="F98" i="13"/>
  <c r="F241" i="13"/>
  <c r="F90" i="13"/>
  <c r="F94" i="13"/>
  <c r="F179" i="13"/>
  <c r="F174" i="13"/>
  <c r="F172" i="13"/>
  <c r="F182" i="13"/>
  <c r="F176" i="13"/>
  <c r="F153" i="13"/>
  <c r="F152" i="13"/>
  <c r="F147" i="13"/>
  <c r="F137" i="13"/>
  <c r="F157" i="13"/>
  <c r="F139" i="13"/>
  <c r="F156" i="13"/>
  <c r="F151" i="13"/>
  <c r="F143" i="13"/>
  <c r="F150" i="13"/>
  <c r="F141" i="13"/>
  <c r="F148" i="13"/>
  <c r="F140" i="13"/>
  <c r="F154" i="13"/>
  <c r="F74" i="13"/>
  <c r="F79" i="13"/>
  <c r="F86" i="13"/>
  <c r="F78" i="13"/>
  <c r="F85" i="13"/>
  <c r="F82" i="13"/>
  <c r="F84" i="13"/>
  <c r="F279" i="13"/>
  <c r="F254" i="13"/>
  <c r="F255" i="13"/>
  <c r="F283" i="13"/>
  <c r="F272" i="13"/>
  <c r="F246" i="13"/>
  <c r="F256" i="13"/>
  <c r="F247" i="13"/>
  <c r="F260" i="13"/>
  <c r="F261" i="13"/>
  <c r="F276" i="13"/>
  <c r="F278" i="13"/>
  <c r="F248" i="13"/>
  <c r="F277" i="13"/>
  <c r="F273" i="13"/>
  <c r="F121" i="13"/>
  <c r="F120" i="13"/>
  <c r="F115" i="13"/>
  <c r="F106" i="13"/>
  <c r="F109" i="13"/>
  <c r="F126" i="13"/>
  <c r="F123" i="13"/>
  <c r="F110" i="13"/>
  <c r="F124" i="13"/>
  <c r="F119" i="13"/>
  <c r="F117" i="13"/>
  <c r="F112" i="13"/>
  <c r="F116" i="13"/>
  <c r="F111" i="13"/>
  <c r="F125" i="13"/>
  <c r="F113" i="13"/>
  <c r="F107" i="13"/>
  <c r="F114" i="13"/>
  <c r="F232" i="13"/>
  <c r="F233" i="13"/>
  <c r="F231" i="13"/>
  <c r="F234" i="13"/>
  <c r="F68" i="13"/>
  <c r="F58" i="13"/>
  <c r="F47" i="13"/>
  <c r="F53" i="13"/>
  <c r="F39" i="13"/>
  <c r="F69" i="13"/>
  <c r="F64" i="13"/>
  <c r="F55" i="13"/>
  <c r="F51" i="13"/>
  <c r="F65" i="13"/>
  <c r="F60" i="13"/>
  <c r="F44" i="13"/>
  <c r="F32" i="13"/>
  <c r="F41" i="13"/>
  <c r="F49" i="13"/>
  <c r="F52" i="13"/>
  <c r="F57" i="13"/>
  <c r="F62" i="13"/>
  <c r="F42" i="13"/>
  <c r="F3" i="13"/>
  <c r="F59" i="13"/>
  <c r="F11" i="13"/>
  <c r="F237" i="13"/>
  <c r="F10" i="13"/>
  <c r="F238" i="13"/>
  <c r="F56" i="13"/>
  <c r="F34" i="13"/>
  <c r="F8" i="13"/>
  <c r="F36" i="13"/>
  <c r="F67" i="13"/>
  <c r="F33" i="13"/>
  <c r="F4" i="13"/>
  <c r="F37" i="13"/>
  <c r="F54" i="13"/>
  <c r="F66" i="13"/>
  <c r="F242" i="13"/>
  <c r="F35" i="13"/>
  <c r="F188" i="13"/>
  <c r="F185" i="13"/>
  <c r="F192" i="13"/>
  <c r="F191" i="13"/>
  <c r="F189" i="13"/>
  <c r="F240" i="13"/>
  <c r="G181" i="8"/>
  <c r="G144" i="8"/>
  <c r="G144" i="3"/>
  <c r="G151" i="3"/>
  <c r="G125" i="3"/>
  <c r="G96" i="3"/>
  <c r="G55" i="3"/>
  <c r="G56" i="3"/>
  <c r="G36" i="3"/>
  <c r="G68" i="3"/>
  <c r="G66" i="3"/>
  <c r="K36" i="12"/>
  <c r="K68" i="12"/>
  <c r="K66" i="12"/>
  <c r="K56" i="12"/>
  <c r="K62" i="12"/>
  <c r="K54" i="12"/>
  <c r="G154" i="10"/>
  <c r="G148" i="10"/>
  <c r="G109" i="10"/>
  <c r="G111" i="3"/>
  <c r="G62" i="3"/>
  <c r="G101" i="10"/>
  <c r="G142" i="10"/>
  <c r="G126" i="3"/>
  <c r="G98" i="10"/>
  <c r="G54" i="10"/>
  <c r="G125" i="10"/>
  <c r="K125" i="12"/>
  <c r="G98" i="3"/>
  <c r="G93" i="10"/>
  <c r="G36" i="10"/>
  <c r="G53" i="10"/>
  <c r="G123" i="10"/>
  <c r="K180" i="12"/>
  <c r="G90" i="10"/>
  <c r="G68" i="10"/>
  <c r="G47" i="10"/>
  <c r="G114" i="10"/>
  <c r="G36" i="8"/>
  <c r="G98" i="8"/>
  <c r="G126" i="8"/>
  <c r="G55" i="8"/>
  <c r="G111" i="8"/>
  <c r="G244" i="8"/>
  <c r="G56" i="8"/>
  <c r="G112" i="8"/>
  <c r="G3" i="8"/>
  <c r="G66" i="8"/>
  <c r="G125" i="8"/>
  <c r="G68" i="8"/>
  <c r="G62" i="8"/>
  <c r="G112" i="3"/>
  <c r="G3" i="3"/>
  <c r="H133" i="16"/>
  <c r="H136" i="16"/>
  <c r="H134" i="16"/>
  <c r="H135" i="16"/>
  <c r="K98" i="12" l="1"/>
</calcChain>
</file>

<file path=xl/sharedStrings.xml><?xml version="1.0" encoding="utf-8"?>
<sst xmlns="http://schemas.openxmlformats.org/spreadsheetml/2006/main" count="11448" uniqueCount="957">
  <si>
    <t>Country</t>
  </si>
  <si>
    <t>NUTS2</t>
  </si>
  <si>
    <t>City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</si>
  <si>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</si>
  <si>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</si>
  <si>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</si>
  <si>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</si>
  <si>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</si>
  <si>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</si>
  <si>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</si>
  <si>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</si>
  <si>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</si>
  <si>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</si>
  <si>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</si>
  <si>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</si>
  <si>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</si>
  <si>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</si>
  <si>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</si>
  <si>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</si>
  <si>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</si>
  <si>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</si>
  <si>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</si>
  <si>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</si>
  <si>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</si>
  <si>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</si>
  <si>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</si>
  <si>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</si>
  <si>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</si>
  <si>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Montenegro</t>
  </si>
  <si>
    <t>North Macedonia</t>
  </si>
  <si>
    <t>Albania</t>
  </si>
  <si>
    <t>Serbia</t>
  </si>
  <si>
    <t>Bosnia and Herzegovina</t>
  </si>
  <si>
    <t>AL01</t>
  </si>
  <si>
    <t>AL02</t>
  </si>
  <si>
    <t>AL03</t>
  </si>
  <si>
    <t>BE10</t>
  </si>
  <si>
    <t>BE25</t>
  </si>
  <si>
    <t>BE35</t>
  </si>
  <si>
    <t>BE34</t>
  </si>
  <si>
    <t>BE22</t>
  </si>
  <si>
    <t>BE33</t>
  </si>
  <si>
    <t>BE32</t>
  </si>
  <si>
    <t>BE31</t>
  </si>
  <si>
    <t>BE23</t>
  </si>
  <si>
    <t>BE24</t>
  </si>
  <si>
    <t>BE21</t>
  </si>
  <si>
    <t>BG31</t>
  </si>
  <si>
    <t>BG42</t>
  </si>
  <si>
    <t>BG32</t>
  </si>
  <si>
    <t>BG33</t>
  </si>
  <si>
    <t>BG34</t>
  </si>
  <si>
    <t>BG41</t>
  </si>
  <si>
    <t>CZ02</t>
  </si>
  <si>
    <t>CZ01</t>
  </si>
  <si>
    <t>CZ07</t>
  </si>
  <si>
    <t>CZ08</t>
  </si>
  <si>
    <t>CZ05</t>
  </si>
  <si>
    <t>CZ04</t>
  </si>
  <si>
    <t>CZ06</t>
  </si>
  <si>
    <t>CZ03</t>
  </si>
  <si>
    <t>DK02</t>
  </si>
  <si>
    <t>DK05</t>
  </si>
  <si>
    <t>DK03</t>
  </si>
  <si>
    <t>DK01</t>
  </si>
  <si>
    <t>DK04</t>
  </si>
  <si>
    <t>DEG0</t>
  </si>
  <si>
    <t>DEF0</t>
  </si>
  <si>
    <t>DED5</t>
  </si>
  <si>
    <t>DED2</t>
  </si>
  <si>
    <t>DED4</t>
  </si>
  <si>
    <t>DEE0</t>
  </si>
  <si>
    <t>DEC0</t>
  </si>
  <si>
    <t>DEB2</t>
  </si>
  <si>
    <t>DEB3</t>
  </si>
  <si>
    <t>DEB1</t>
  </si>
  <si>
    <t>DEA3</t>
  </si>
  <si>
    <t>DEA2</t>
  </si>
  <si>
    <t>DEA1</t>
  </si>
  <si>
    <t>DEA4</t>
  </si>
  <si>
    <t>DEA5</t>
  </si>
  <si>
    <t>DE94</t>
  </si>
  <si>
    <t>DE93</t>
  </si>
  <si>
    <t>DE92</t>
  </si>
  <si>
    <t>DE91</t>
  </si>
  <si>
    <t>DE80</t>
  </si>
  <si>
    <t>DE73</t>
  </si>
  <si>
    <t>DE72</t>
  </si>
  <si>
    <t>DE71</t>
  </si>
  <si>
    <t>DE60</t>
  </si>
  <si>
    <t>DE50</t>
  </si>
  <si>
    <t>DE40</t>
  </si>
  <si>
    <t>DE30</t>
  </si>
  <si>
    <t>DE26</t>
  </si>
  <si>
    <t>DE27</t>
  </si>
  <si>
    <t>DE23</t>
  </si>
  <si>
    <t>DE24</t>
  </si>
  <si>
    <t>DE21</t>
  </si>
  <si>
    <t>DE22</t>
  </si>
  <si>
    <t>DE25</t>
  </si>
  <si>
    <t>DE14</t>
  </si>
  <si>
    <t>DE11</t>
  </si>
  <si>
    <t>DE12</t>
  </si>
  <si>
    <t>DE13</t>
  </si>
  <si>
    <t>IE06</t>
  </si>
  <si>
    <t>IE05</t>
  </si>
  <si>
    <t>IE04</t>
  </si>
  <si>
    <t>EL61</t>
  </si>
  <si>
    <t>EL64</t>
  </si>
  <si>
    <t>EL65</t>
  </si>
  <si>
    <t>EL52</t>
  </si>
  <si>
    <t>EL54</t>
  </si>
  <si>
    <t>EL53</t>
  </si>
  <si>
    <t>EL63</t>
  </si>
  <si>
    <t>EL30</t>
  </si>
  <si>
    <t>EL51</t>
  </si>
  <si>
    <t>ES62</t>
  </si>
  <si>
    <t>ES12</t>
  </si>
  <si>
    <t>ES21</t>
  </si>
  <si>
    <t>ES23</t>
  </si>
  <si>
    <t>ES11</t>
  </si>
  <si>
    <t>ES43</t>
  </si>
  <si>
    <t>ES52</t>
  </si>
  <si>
    <t>ES22</t>
  </si>
  <si>
    <t>ES30</t>
  </si>
  <si>
    <t>ES51</t>
  </si>
  <si>
    <t>ES41</t>
  </si>
  <si>
    <t>ES42</t>
  </si>
  <si>
    <t>ES13</t>
  </si>
  <si>
    <t>ES24</t>
  </si>
  <si>
    <t>ES61</t>
  </si>
  <si>
    <t>FRM0</t>
  </si>
  <si>
    <t>FR10</t>
  </si>
  <si>
    <t>FRF1</t>
  </si>
  <si>
    <t>FRE1</t>
  </si>
  <si>
    <t>FRF3</t>
  </si>
  <si>
    <t>FRG0</t>
  </si>
  <si>
    <t>FRD2</t>
  </si>
  <si>
    <t>FRC2</t>
  </si>
  <si>
    <t>FRI1</t>
  </si>
  <si>
    <t>FRH0</t>
  </si>
  <si>
    <t>FRC1</t>
  </si>
  <si>
    <t>FRI2</t>
  </si>
  <si>
    <t>FRB0</t>
  </si>
  <si>
    <t>FRI3</t>
  </si>
  <si>
    <t>FRD1</t>
  </si>
  <si>
    <t>FRJ1</t>
  </si>
  <si>
    <t>FRJ2</t>
  </si>
  <si>
    <t>FRF2</t>
  </si>
  <si>
    <t>FRL0</t>
  </si>
  <si>
    <t>FRK1</t>
  </si>
  <si>
    <t>FRE2</t>
  </si>
  <si>
    <t>FRK2</t>
  </si>
  <si>
    <t>HR04</t>
  </si>
  <si>
    <t>HR03</t>
  </si>
  <si>
    <t>ITH3</t>
  </si>
  <si>
    <t>ITC2</t>
  </si>
  <si>
    <t>ITI2</t>
  </si>
  <si>
    <t>ITH1</t>
  </si>
  <si>
    <t>ITH2</t>
  </si>
  <si>
    <t>ITI1</t>
  </si>
  <si>
    <t>ITG1</t>
  </si>
  <si>
    <t>ITG2</t>
  </si>
  <si>
    <t>ITC1</t>
  </si>
  <si>
    <t>ITF2</t>
  </si>
  <si>
    <t>ITI3</t>
  </si>
  <si>
    <t>ITC4</t>
  </si>
  <si>
    <t>ITC3</t>
  </si>
  <si>
    <t>ITI4</t>
  </si>
  <si>
    <t>ITH4</t>
  </si>
  <si>
    <t>ITH5</t>
  </si>
  <si>
    <t>ITF3</t>
  </si>
  <si>
    <t>ITF6</t>
  </si>
  <si>
    <t>ITF5</t>
  </si>
  <si>
    <t>ITF4</t>
  </si>
  <si>
    <t>ITF1</t>
  </si>
  <si>
    <t>LV00</t>
  </si>
  <si>
    <t>LU00</t>
  </si>
  <si>
    <t>HU32</t>
  </si>
  <si>
    <t>HU22</t>
  </si>
  <si>
    <t>HU21</t>
  </si>
  <si>
    <t>HU12</t>
  </si>
  <si>
    <t>HU11</t>
  </si>
  <si>
    <t>HU31</t>
  </si>
  <si>
    <t>HU23</t>
  </si>
  <si>
    <t>HU33</t>
  </si>
  <si>
    <t>NL33</t>
  </si>
  <si>
    <t>NL34</t>
  </si>
  <si>
    <t>NL21</t>
  </si>
  <si>
    <t>NL32</t>
  </si>
  <si>
    <t>NL31</t>
  </si>
  <si>
    <t>NL41</t>
  </si>
  <si>
    <t>NL42</t>
  </si>
  <si>
    <t>NL11</t>
  </si>
  <si>
    <t>NL22</t>
  </si>
  <si>
    <t>NL12</t>
  </si>
  <si>
    <t>NL23</t>
  </si>
  <si>
    <t>NL13</t>
  </si>
  <si>
    <t>AT34</t>
  </si>
  <si>
    <t>AT33</t>
  </si>
  <si>
    <t>AT22</t>
  </si>
  <si>
    <t>AT32</t>
  </si>
  <si>
    <t>AT31</t>
  </si>
  <si>
    <t>AT13</t>
  </si>
  <si>
    <t>AT12</t>
  </si>
  <si>
    <t>AT21</t>
  </si>
  <si>
    <t>AT11</t>
  </si>
  <si>
    <t>PL42</t>
  </si>
  <si>
    <t>PL62</t>
  </si>
  <si>
    <t>PL82</t>
  </si>
  <si>
    <t>PL22</t>
  </si>
  <si>
    <t>PL63</t>
  </si>
  <si>
    <t>PL84</t>
  </si>
  <si>
    <t>PL52</t>
  </si>
  <si>
    <t>PL91</t>
  </si>
  <si>
    <t>PL92</t>
  </si>
  <si>
    <t>PL43</t>
  </si>
  <si>
    <t>PL81</t>
  </si>
  <si>
    <t>PL51</t>
  </si>
  <si>
    <t>PL21</t>
  </si>
  <si>
    <t>PL61</t>
  </si>
  <si>
    <t>PL41</t>
  </si>
  <si>
    <t>PL72</t>
  </si>
  <si>
    <t>PL71</t>
  </si>
  <si>
    <t>PT17</t>
  </si>
  <si>
    <t>PT15</t>
  </si>
  <si>
    <t>PT11</t>
  </si>
  <si>
    <t>PT18</t>
  </si>
  <si>
    <t>PT16</t>
  </si>
  <si>
    <t>RO41</t>
  </si>
  <si>
    <t>RO22</t>
  </si>
  <si>
    <t>RO11</t>
  </si>
  <si>
    <t>RO21</t>
  </si>
  <si>
    <t>RO32</t>
  </si>
  <si>
    <t>RO31</t>
  </si>
  <si>
    <t>RO42</t>
  </si>
  <si>
    <t>RO12</t>
  </si>
  <si>
    <t>SI03</t>
  </si>
  <si>
    <t>SI04</t>
  </si>
  <si>
    <t>SK02</t>
  </si>
  <si>
    <t>SK04</t>
  </si>
  <si>
    <t>SK01</t>
  </si>
  <si>
    <t>SK03</t>
  </si>
  <si>
    <t>FI19</t>
  </si>
  <si>
    <t>FI1C</t>
  </si>
  <si>
    <t>FI1B</t>
  </si>
  <si>
    <t>FI1D</t>
  </si>
  <si>
    <t>SE11</t>
  </si>
  <si>
    <t>SE12</t>
  </si>
  <si>
    <t>SE33</t>
  </si>
  <si>
    <t>SE32</t>
  </si>
  <si>
    <t>SE23</t>
  </si>
  <si>
    <t>SE21</t>
  </si>
  <si>
    <t>SE31</t>
  </si>
  <si>
    <t>SE22</t>
  </si>
  <si>
    <t>UKL1</t>
  </si>
  <si>
    <t>UKL2</t>
  </si>
  <si>
    <t>UKM9</t>
  </si>
  <si>
    <t>UKM8</t>
  </si>
  <si>
    <t>UKM6</t>
  </si>
  <si>
    <t>UKM7</t>
  </si>
  <si>
    <t>UKM5</t>
  </si>
  <si>
    <t>UKN0</t>
  </si>
  <si>
    <t>UKE4</t>
  </si>
  <si>
    <t>UKD6</t>
  </si>
  <si>
    <t>UKH3</t>
  </si>
  <si>
    <t>UKE3</t>
  </si>
  <si>
    <t>UKG2</t>
  </si>
  <si>
    <t>UKC2</t>
  </si>
  <si>
    <t>UKD7</t>
  </si>
  <si>
    <t>UKD3</t>
  </si>
  <si>
    <t>UKF3</t>
  </si>
  <si>
    <t>UKF2</t>
  </si>
  <si>
    <t>UKJ4</t>
  </si>
  <si>
    <t>UKG3</t>
  </si>
  <si>
    <t>UKG1</t>
  </si>
  <si>
    <t>UKJ3</t>
  </si>
  <si>
    <t>UKE1</t>
  </si>
  <si>
    <t>UKK4</t>
  </si>
  <si>
    <t>UKF1</t>
  </si>
  <si>
    <t>UKD1</t>
  </si>
  <si>
    <t>UKK3</t>
  </si>
  <si>
    <t>UKH1</t>
  </si>
  <si>
    <t>UKJ2</t>
  </si>
  <si>
    <t>UKK2</t>
  </si>
  <si>
    <t>UKD4</t>
  </si>
  <si>
    <t>UKJ1</t>
  </si>
  <si>
    <t>UKH2</t>
  </si>
  <si>
    <t>UKK1</t>
  </si>
  <si>
    <t>UKI7</t>
  </si>
  <si>
    <t>UKI6</t>
  </si>
  <si>
    <t>UKI5</t>
  </si>
  <si>
    <t>UKI4</t>
  </si>
  <si>
    <t>UKI3</t>
  </si>
  <si>
    <t>UKC1</t>
  </si>
  <si>
    <t>UKE2</t>
  </si>
  <si>
    <t>NO05</t>
  </si>
  <si>
    <t>NO06</t>
  </si>
  <si>
    <t>NO02</t>
  </si>
  <si>
    <t>NO07</t>
  </si>
  <si>
    <t>NO04</t>
  </si>
  <si>
    <t>NO03</t>
  </si>
  <si>
    <t>NO01</t>
  </si>
  <si>
    <t>CH04</t>
  </si>
  <si>
    <t>CH06</t>
  </si>
  <si>
    <t>CH01</t>
  </si>
  <si>
    <t>CH07</t>
  </si>
  <si>
    <t>CH02</t>
  </si>
  <si>
    <t>CH05</t>
  </si>
  <si>
    <t>CH03</t>
  </si>
  <si>
    <t>ME00</t>
  </si>
  <si>
    <t>MK00</t>
  </si>
  <si>
    <t>RS22</t>
  </si>
  <si>
    <t>RS21</t>
  </si>
  <si>
    <t>RS12</t>
  </si>
  <si>
    <t>RS11</t>
  </si>
  <si>
    <t>BA01</t>
  </si>
  <si>
    <t>Prov. Antwerpen</t>
  </si>
  <si>
    <t>Prov. Limburg (BE)</t>
  </si>
  <si>
    <t>Prov. Oost-Vlaanderen</t>
  </si>
  <si>
    <t>Prov. Vlaams-Brabant</t>
  </si>
  <si>
    <t>Prov. West-Vlaanderen</t>
  </si>
  <si>
    <t>Prov. Brabant Wallon</t>
  </si>
  <si>
    <t>Prov. Hainaut</t>
  </si>
  <si>
    <t>Prov. Liège</t>
  </si>
  <si>
    <t>Prov. Luxembourg (BE)</t>
  </si>
  <si>
    <t>Prov. Namur</t>
  </si>
  <si>
    <t>Северозападен</t>
  </si>
  <si>
    <t>Северен централен</t>
  </si>
  <si>
    <t>Североизточен</t>
  </si>
  <si>
    <t>Югоизточен</t>
  </si>
  <si>
    <t>Югозападен</t>
  </si>
  <si>
    <t>Южен централен</t>
  </si>
  <si>
    <t>Praha</t>
  </si>
  <si>
    <t>Střední Čechy</t>
  </si>
  <si>
    <t>Jihozápad</t>
  </si>
  <si>
    <t>Severozápad</t>
  </si>
  <si>
    <t>Severovýchod</t>
  </si>
  <si>
    <t>Jihovýchod</t>
  </si>
  <si>
    <t>Střední Morava</t>
  </si>
  <si>
    <t>Moravskoslezsko</t>
  </si>
  <si>
    <t>Hovedstaden</t>
  </si>
  <si>
    <t>Sjælland</t>
  </si>
  <si>
    <t>Syddanmark</t>
  </si>
  <si>
    <t>Midtjylland</t>
  </si>
  <si>
    <t>Nordjylland</t>
  </si>
  <si>
    <t>Stuttgart</t>
  </si>
  <si>
    <t>Karlsruhe</t>
  </si>
  <si>
    <t>Freiburg</t>
  </si>
  <si>
    <t>Tübingen</t>
  </si>
  <si>
    <t>Oberbayern</t>
  </si>
  <si>
    <t>Niederbayern</t>
  </si>
  <si>
    <t>Oberpfalz</t>
  </si>
  <si>
    <t>Oberfranken</t>
  </si>
  <si>
    <t>Mittelfranken</t>
  </si>
  <si>
    <t>Unterfranken</t>
  </si>
  <si>
    <t>Schwaben</t>
  </si>
  <si>
    <t>Berlin</t>
  </si>
  <si>
    <t>Brandenburg</t>
  </si>
  <si>
    <t>Bremen</t>
  </si>
  <si>
    <t>Hamburg</t>
  </si>
  <si>
    <t>Darmstadt</t>
  </si>
  <si>
    <t>Gießen</t>
  </si>
  <si>
    <t>Kassel</t>
  </si>
  <si>
    <t>Mecklenburg-Vorpommern</t>
  </si>
  <si>
    <t>Braunschweig</t>
  </si>
  <si>
    <t>Hannover</t>
  </si>
  <si>
    <t>Lüneburg</t>
  </si>
  <si>
    <t>Weser-Ems</t>
  </si>
  <si>
    <t>Düsseldorf</t>
  </si>
  <si>
    <t>Köln</t>
  </si>
  <si>
    <t>Münster</t>
  </si>
  <si>
    <t>Detmold</t>
  </si>
  <si>
    <t>Arnsberg</t>
  </si>
  <si>
    <t>Koblenz</t>
  </si>
  <si>
    <t>Trier</t>
  </si>
  <si>
    <t>Rheinhessen-Pfalz</t>
  </si>
  <si>
    <t>Saarland</t>
  </si>
  <si>
    <t>Dresden</t>
  </si>
  <si>
    <t>Chemnitz</t>
  </si>
  <si>
    <t>Leipzig</t>
  </si>
  <si>
    <t>Sachsen-Anhalt</t>
  </si>
  <si>
    <t>Schleswig-Holstein</t>
  </si>
  <si>
    <t>Thüringen</t>
  </si>
  <si>
    <t>EE00</t>
  </si>
  <si>
    <t>Eesti</t>
  </si>
  <si>
    <t>Northern and Western</t>
  </si>
  <si>
    <t>Southern</t>
  </si>
  <si>
    <t>Eastern and Midland</t>
  </si>
  <si>
    <t>Aττική</t>
  </si>
  <si>
    <t>EL41</t>
  </si>
  <si>
    <t>Βόρειο Αιγαίο</t>
  </si>
  <si>
    <t>EL42</t>
  </si>
  <si>
    <t>Νότιο Αιγαίο</t>
  </si>
  <si>
    <t>EL43</t>
  </si>
  <si>
    <t>Κρήτη</t>
  </si>
  <si>
    <t>Aνατολική Μακεδονία, Θράκη</t>
  </si>
  <si>
    <t>Κεντρική Μακεδονία</t>
  </si>
  <si>
    <t>Δυτική Μακεδονία</t>
  </si>
  <si>
    <t>Ήπειρος</t>
  </si>
  <si>
    <t>Θεσσαλία</t>
  </si>
  <si>
    <t>EL62</t>
  </si>
  <si>
    <t>Ιόνια Νησιά</t>
  </si>
  <si>
    <t>Δυτική Ελλάδα</t>
  </si>
  <si>
    <t>Στερεά Ελλάδα</t>
  </si>
  <si>
    <t>Πελοπόννησος</t>
  </si>
  <si>
    <t>Galicia</t>
  </si>
  <si>
    <t>Principado de Asturias</t>
  </si>
  <si>
    <t>Cantabria</t>
  </si>
  <si>
    <t>País Vasco</t>
  </si>
  <si>
    <t>Comunidad Foral de Navarra</t>
  </si>
  <si>
    <t>La Rioja</t>
  </si>
  <si>
    <t>Aragón</t>
  </si>
  <si>
    <t>Comunidad de Madrid</t>
  </si>
  <si>
    <t>Castilla y León</t>
  </si>
  <si>
    <t>Castilla-La Mancha</t>
  </si>
  <si>
    <t>Extremadura</t>
  </si>
  <si>
    <t>Cataluña</t>
  </si>
  <si>
    <t xml:space="preserve">Comunitat Valenciana </t>
  </si>
  <si>
    <t>ES53</t>
  </si>
  <si>
    <t>Illes Balears</t>
  </si>
  <si>
    <t>Andalucía</t>
  </si>
  <si>
    <t>Región de Murcia</t>
  </si>
  <si>
    <t>ES63</t>
  </si>
  <si>
    <t>Ciudad de Ceuta</t>
  </si>
  <si>
    <t>ES64</t>
  </si>
  <si>
    <t>Ciudad de Melilla</t>
  </si>
  <si>
    <t>ES70</t>
  </si>
  <si>
    <t>Canarias</t>
  </si>
  <si>
    <t>Ile-de-France</t>
  </si>
  <si>
    <t>Centre — Val de Loire</t>
  </si>
  <si>
    <t>Bourgogne</t>
  </si>
  <si>
    <t>Franche-Comté</t>
  </si>
  <si>
    <t xml:space="preserve">Basse-Normandie </t>
  </si>
  <si>
    <t xml:space="preserve">Haute-Normandie </t>
  </si>
  <si>
    <t>Nord-Pas de Calais</t>
  </si>
  <si>
    <t>Picardie</t>
  </si>
  <si>
    <t>Alsace</t>
  </si>
  <si>
    <t>Champagne-Ardenne</t>
  </si>
  <si>
    <t>Lorraine</t>
  </si>
  <si>
    <t>Pays de la Loire</t>
  </si>
  <si>
    <t>Bretagne</t>
  </si>
  <si>
    <t>Aquitaine</t>
  </si>
  <si>
    <t>Limousin</t>
  </si>
  <si>
    <t>Poitou-Charentes</t>
  </si>
  <si>
    <t>Languedoc-Roussillon</t>
  </si>
  <si>
    <t>Midi-Pyrénées</t>
  </si>
  <si>
    <t>Auvergne</t>
  </si>
  <si>
    <t>Rhône-Alpes</t>
  </si>
  <si>
    <t>Provence-Alpes-Côte d’Azur</t>
  </si>
  <si>
    <t>Corse</t>
  </si>
  <si>
    <t>FRY1</t>
  </si>
  <si>
    <t>Guadeloupe</t>
  </si>
  <si>
    <t>FRY2</t>
  </si>
  <si>
    <t xml:space="preserve">Martinique </t>
  </si>
  <si>
    <t>FRY3</t>
  </si>
  <si>
    <t>Guyane</t>
  </si>
  <si>
    <t>FRY4</t>
  </si>
  <si>
    <t xml:space="preserve">La Réunion </t>
  </si>
  <si>
    <t>FRY5</t>
  </si>
  <si>
    <t>Mayotte</t>
  </si>
  <si>
    <t>HR02</t>
  </si>
  <si>
    <t>Panonska Hrvatska</t>
  </si>
  <si>
    <t>Jadranska Hrvatska</t>
  </si>
  <si>
    <t>HR05</t>
  </si>
  <si>
    <t>Grad Zagreb</t>
  </si>
  <si>
    <t>HR06</t>
  </si>
  <si>
    <t>Sjeverna Hrvatska</t>
  </si>
  <si>
    <t>Piemonte</t>
  </si>
  <si>
    <t>Valle d’Aosta/Vallée d’Aoste</t>
  </si>
  <si>
    <t>Liguria</t>
  </si>
  <si>
    <t>Lombardia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</si>
  <si>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</si>
  <si>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</si>
  <si>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</si>
  <si>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</si>
  <si>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</si>
  <si>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</si>
  <si>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</si>
  <si>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</si>
  <si>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Provincia Autonoma di Bolzano/Bozen</t>
  </si>
  <si>
    <t>Provincia Autonoma di Trento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</si>
  <si>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</si>
  <si>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</si>
  <si>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</si>
  <si>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</si>
  <si>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</si>
  <si>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</si>
  <si>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</si>
  <si>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CY00</t>
  </si>
  <si>
    <t>Κύπρος</t>
  </si>
  <si>
    <t>Latvija</t>
  </si>
  <si>
    <t>LT01</t>
  </si>
  <si>
    <t>Sostinės regionas</t>
  </si>
  <si>
    <t>LT02</t>
  </si>
  <si>
    <t xml:space="preserve">Vidurio ir vakarų Lietuvos regionas </t>
  </si>
  <si>
    <t>Budapest</t>
  </si>
  <si>
    <t>Pest</t>
  </si>
  <si>
    <t>Közép-Dunántúl</t>
  </si>
  <si>
    <t>Nyugat-Dunántúl</t>
  </si>
  <si>
    <t>Dél-Dunántúl</t>
  </si>
  <si>
    <t>Észak-Magyarország</t>
  </si>
  <si>
    <t>Észak-Alföld</t>
  </si>
  <si>
    <t>Dél-Alföld</t>
  </si>
  <si>
    <t>MT00</t>
  </si>
  <si>
    <t>Malta</t>
  </si>
  <si>
    <t>Groningen</t>
  </si>
  <si>
    <t>Friesland (NL)</t>
  </si>
  <si>
    <t>Drenthe</t>
  </si>
  <si>
    <t>Overijssel</t>
  </si>
  <si>
    <t>Gelderland</t>
  </si>
  <si>
    <t>Flevoland</t>
  </si>
  <si>
    <t>Utrecht</t>
  </si>
  <si>
    <t>Noord-Holland</t>
  </si>
  <si>
    <t>Zuid-Holland</t>
  </si>
  <si>
    <t>Zeeland</t>
  </si>
  <si>
    <t>Noord-Brabant</t>
  </si>
  <si>
    <t>Limburg (NL)</t>
  </si>
  <si>
    <t>Burgenland</t>
  </si>
  <si>
    <t>Niederösterreich</t>
  </si>
  <si>
    <t>Wien</t>
  </si>
  <si>
    <t>Kärnten</t>
  </si>
  <si>
    <t>Steiermark</t>
  </si>
  <si>
    <t>Oberösterreich</t>
  </si>
  <si>
    <t>Salzburg</t>
  </si>
  <si>
    <t>Tirol</t>
  </si>
  <si>
    <t>Vorarlberg</t>
  </si>
  <si>
    <t>Małopolskie</t>
  </si>
  <si>
    <t>Śląskie</t>
  </si>
  <si>
    <t>Wielkopolskie</t>
  </si>
  <si>
    <t>Zachodniopomorskie</t>
  </si>
  <si>
    <t>Lubuskie</t>
  </si>
  <si>
    <t>Dolnośląskie</t>
  </si>
  <si>
    <t>Opolskie</t>
  </si>
  <si>
    <t>Kujawsko-pomorskie</t>
  </si>
  <si>
    <t>Warmińsko-mazurskie</t>
  </si>
  <si>
    <t>Pomorskie</t>
  </si>
  <si>
    <t>Łódzkie</t>
  </si>
  <si>
    <t>Świętokrzyskie</t>
  </si>
  <si>
    <t>Lubelskie</t>
  </si>
  <si>
    <t>Podkarpackie</t>
  </si>
  <si>
    <t>Podlaskie</t>
  </si>
  <si>
    <t>Warszawski stołeczny</t>
  </si>
  <si>
    <t>Mazowiecki regionalny</t>
  </si>
  <si>
    <t>Norte</t>
  </si>
  <si>
    <t>Algarve</t>
  </si>
  <si>
    <t>Centro (PT)</t>
  </si>
  <si>
    <t>Área Metropolitana de Lisboa</t>
  </si>
  <si>
    <t>Alentejo</t>
  </si>
  <si>
    <t>PT20</t>
  </si>
  <si>
    <t>Região Autónoma dos Açores</t>
  </si>
  <si>
    <t>PT30</t>
  </si>
  <si>
    <t>Região Autónoma da Madeira</t>
  </si>
  <si>
    <t>Nord-Vest</t>
  </si>
  <si>
    <t>Centru</t>
  </si>
  <si>
    <t>Nord-Est</t>
  </si>
  <si>
    <t>Sud-Est</t>
  </si>
  <si>
    <t>Sud-Muntenia</t>
  </si>
  <si>
    <t>Bucureşti-Ilfov</t>
  </si>
  <si>
    <t>Sud-Vest Oltenia</t>
  </si>
  <si>
    <t>Vest</t>
  </si>
  <si>
    <t>Vzhodna Slovenija</t>
  </si>
  <si>
    <t>Zahodna Slovenija</t>
  </si>
  <si>
    <t>Bratislavský kraj</t>
  </si>
  <si>
    <t>Západné Slovensko</t>
  </si>
  <si>
    <t>Stredné Slovensko</t>
  </si>
  <si>
    <t>Východné Slovensko</t>
  </si>
  <si>
    <t>Länsi-Suomi</t>
  </si>
  <si>
    <t>Helsinki-Uusimaa</t>
  </si>
  <si>
    <t>Etelä-Suomi</t>
  </si>
  <si>
    <t>Pohjois- ja Itä-Suomi</t>
  </si>
  <si>
    <t>FI20</t>
  </si>
  <si>
    <t>Åland</t>
  </si>
  <si>
    <t>Stockholm</t>
  </si>
  <si>
    <t>Östra Mellansverige</t>
  </si>
  <si>
    <t>Småland med öarna</t>
  </si>
  <si>
    <t>Sydsverige</t>
  </si>
  <si>
    <t>Västsverige</t>
  </si>
  <si>
    <t>Norra Mellansverige</t>
  </si>
  <si>
    <t>Mellersta Norrland</t>
  </si>
  <si>
    <t>Övre Norrland</t>
  </si>
  <si>
    <t>Tees Valley and Durham</t>
  </si>
  <si>
    <t>Northumberland and Tyne and Wear</t>
  </si>
  <si>
    <t>Cumbria</t>
  </si>
  <si>
    <t>Greater Manchester</t>
  </si>
  <si>
    <t>Lancashire</t>
  </si>
  <si>
    <t>Cheshire</t>
  </si>
  <si>
    <t>Merseyside</t>
  </si>
  <si>
    <t>East Yorkshire and Northern Lincolnshire</t>
  </si>
  <si>
    <t>North Yorkshire</t>
  </si>
  <si>
    <t>South Yorkshire</t>
  </si>
  <si>
    <t>West Yorkshire</t>
  </si>
  <si>
    <t>Derbyshire and Nottinghamshire</t>
  </si>
  <si>
    <t>Leicestershire, Rutland and Northamptonshire</t>
  </si>
  <si>
    <t>Lincolnshire</t>
  </si>
  <si>
    <t>Herefordshire, Worcestershire and Warwickshire</t>
  </si>
  <si>
    <t>Shropshire and Staffordshire</t>
  </si>
  <si>
    <t>West Midlands</t>
  </si>
  <si>
    <t>East Anglia</t>
  </si>
  <si>
    <t>Bedfordshire and Hertfordshire</t>
  </si>
  <si>
    <t>Essex</t>
  </si>
  <si>
    <t>Inner London — West</t>
  </si>
  <si>
    <t>Inner London — East</t>
  </si>
  <si>
    <t>Outer London — East and North East</t>
  </si>
  <si>
    <t>Outer London — South</t>
  </si>
  <si>
    <t>Outer London — West and North West</t>
  </si>
  <si>
    <t>Berkshire, Buckinghamshire and Oxfordshire</t>
  </si>
  <si>
    <t>Surrey, East and West Sussex</t>
  </si>
  <si>
    <t>Hampshire and Isle of Wight</t>
  </si>
  <si>
    <t>Kent</t>
  </si>
  <si>
    <t>Gloucestershire, Wiltshire and Bristol/Bath area</t>
  </si>
  <si>
    <t>Dorset and Somerset</t>
  </si>
  <si>
    <t>Cornwall and Isles of Scilly</t>
  </si>
  <si>
    <t>Devon</t>
  </si>
  <si>
    <t>West Wales and The Valleys</t>
  </si>
  <si>
    <t>East Wales</t>
  </si>
  <si>
    <t>North Eastern Scotland</t>
  </si>
  <si>
    <t>Highlands and Islands</t>
  </si>
  <si>
    <t>Eastern Scotland</t>
  </si>
  <si>
    <t>West Central Scotland</t>
  </si>
  <si>
    <t>Southern Scotland</t>
  </si>
  <si>
    <t>Northern Ireland</t>
  </si>
  <si>
    <t>Région de Bruxelles-Capitale/ 
Brussels Hoofdstedelijk Gewest</t>
  </si>
  <si>
    <t>Estonia</t>
  </si>
  <si>
    <t>Lituania</t>
  </si>
  <si>
    <t>Cyprus</t>
  </si>
  <si>
    <t>NO08</t>
  </si>
  <si>
    <t>NO09</t>
  </si>
  <si>
    <t>NO0A</t>
  </si>
  <si>
    <t>NO0B</t>
  </si>
  <si>
    <t>Innlandet</t>
  </si>
  <si>
    <t>Trøndelag</t>
  </si>
  <si>
    <t>Nord-Norge</t>
  </si>
  <si>
    <t>Oslo og Viken</t>
  </si>
  <si>
    <t>Agder og Sør-Østlandet</t>
  </si>
  <si>
    <t>Vestlandet</t>
  </si>
  <si>
    <t>Svalbard og Jan Mayen</t>
  </si>
  <si>
    <t xml:space="preserve">Switzerland </t>
  </si>
  <si>
    <t>Région lémanique</t>
  </si>
  <si>
    <t>Espace Mittelland</t>
  </si>
  <si>
    <t>Nordwestschweiz</t>
  </si>
  <si>
    <t>Zürich</t>
  </si>
  <si>
    <t>Ostschweiz</t>
  </si>
  <si>
    <t>Zentralschweiz</t>
  </si>
  <si>
    <t>Ticino</t>
  </si>
  <si>
    <t>Црна Гора</t>
  </si>
  <si>
    <t>Северна Македонија</t>
  </si>
  <si>
    <t>Veri</t>
  </si>
  <si>
    <t>Qender</t>
  </si>
  <si>
    <t>Jug</t>
  </si>
  <si>
    <t>Београдски регион</t>
  </si>
  <si>
    <t>Регион Војводине</t>
  </si>
  <si>
    <t>Регион Шумадије и Западне Србије</t>
  </si>
  <si>
    <t>Регион Јужне и Источне Србије</t>
  </si>
  <si>
    <t>Island</t>
  </si>
  <si>
    <t>Linchestein</t>
  </si>
  <si>
    <t>-</t>
  </si>
  <si>
    <t>IS00</t>
  </si>
  <si>
    <t>LI00</t>
  </si>
  <si>
    <t>NUTS2_endemo</t>
  </si>
  <si>
    <t>Region</t>
  </si>
  <si>
    <t>Antwerp</t>
  </si>
  <si>
    <t>Kallo</t>
  </si>
  <si>
    <t>Litvinov</t>
  </si>
  <si>
    <t>Schwechat</t>
  </si>
  <si>
    <t>Porvoo</t>
  </si>
  <si>
    <t>Tarragona</t>
  </si>
  <si>
    <t>Puertollano</t>
  </si>
  <si>
    <t>Dunkirk</t>
  </si>
  <si>
    <t>Feyzin</t>
  </si>
  <si>
    <t xml:space="preserve">Berre
Lavera </t>
  </si>
  <si>
    <t>Gonfreville
ND Gravenchon</t>
  </si>
  <si>
    <t>Stenungsund</t>
  </si>
  <si>
    <t>Grangemouth</t>
  </si>
  <si>
    <t>Grangemouth
Mossmorran</t>
  </si>
  <si>
    <t>Wilton</t>
  </si>
  <si>
    <t>Bratislava</t>
  </si>
  <si>
    <t>Sines</t>
  </si>
  <si>
    <t>Plock</t>
  </si>
  <si>
    <t>Geleen</t>
  </si>
  <si>
    <t>Moerdijk</t>
  </si>
  <si>
    <t>Terneuzen</t>
  </si>
  <si>
    <t>Brindisi (BR)</t>
  </si>
  <si>
    <t>Priolo Gargallo (SR)</t>
  </si>
  <si>
    <t>Porto Marghera (VE)</t>
  </si>
  <si>
    <t>Tiszaujvaros</t>
  </si>
  <si>
    <t>Boehlen</t>
  </si>
  <si>
    <t>Burghausen</t>
  </si>
  <si>
    <t>Gelsenkirchen</t>
  </si>
  <si>
    <t>Heide</t>
  </si>
  <si>
    <t>Ludwigshafen</t>
  </si>
  <si>
    <t>Burghausen
Munchmunster</t>
  </si>
  <si>
    <t>Köln-Worringen
Wesseling</t>
  </si>
  <si>
    <t>ethylene %</t>
  </si>
  <si>
    <t>propylene %</t>
  </si>
  <si>
    <t>steel %</t>
  </si>
  <si>
    <t>installed capacity steel</t>
  </si>
  <si>
    <t xml:space="preserve">installed capacity ethylene </t>
  </si>
  <si>
    <t xml:space="preserve">installed capacity propylene </t>
  </si>
  <si>
    <t>installed capacity aromate</t>
  </si>
  <si>
    <t>aromate %</t>
  </si>
  <si>
    <t>Porto Marghera</t>
  </si>
  <si>
    <t>Priolo</t>
  </si>
  <si>
    <t>Wesseling</t>
  </si>
  <si>
    <t>Huelva</t>
  </si>
  <si>
    <t>Huelva
Algeciras</t>
  </si>
  <si>
    <t>Gonfreville</t>
  </si>
  <si>
    <t>Botlek</t>
  </si>
  <si>
    <t>Gelsenkirchen
Dormagen</t>
  </si>
  <si>
    <t>Oporto</t>
  </si>
  <si>
    <t>Szazhalombatta</t>
  </si>
  <si>
    <t>Lingen</t>
  </si>
  <si>
    <t>installed capacity toluene</t>
  </si>
  <si>
    <t>Schwedt</t>
  </si>
  <si>
    <t>installed capacity benzene</t>
  </si>
  <si>
    <t>installed capacity orthoxylene</t>
  </si>
  <si>
    <t>installed capacity paraxylene</t>
  </si>
  <si>
    <t>Wesseling
Godorf
Köln</t>
  </si>
  <si>
    <t>Middlesbrough</t>
  </si>
  <si>
    <t xml:space="preserve">Carling </t>
  </si>
  <si>
    <t>Stanlow</t>
  </si>
  <si>
    <t>Immingham</t>
  </si>
  <si>
    <t>Porto Torres
Sarroch</t>
  </si>
  <si>
    <t>Wloclawek</t>
  </si>
  <si>
    <t>Antwerp
Geel</t>
  </si>
  <si>
    <t>Navodari</t>
  </si>
  <si>
    <t xml:space="preserve">Lavera </t>
  </si>
  <si>
    <t>installed capacity methanol</t>
  </si>
  <si>
    <t>methanol %</t>
  </si>
  <si>
    <t>Leuna</t>
  </si>
  <si>
    <t>Delfzijl</t>
  </si>
  <si>
    <t>Tjeldberggodden</t>
  </si>
  <si>
    <t>Victoria</t>
  </si>
  <si>
    <t>Kikinda</t>
  </si>
  <si>
    <t>Jonava</t>
  </si>
  <si>
    <t>Chorzow</t>
  </si>
  <si>
    <t>installed capacity aluminum</t>
  </si>
  <si>
    <t>installed capacity chlorin</t>
  </si>
  <si>
    <t>chlorin %</t>
  </si>
  <si>
    <t>Slatina</t>
  </si>
  <si>
    <t>San Ciprian
La Coruña</t>
  </si>
  <si>
    <t>Aviles</t>
  </si>
  <si>
    <t>St Jean de Maurienne</t>
  </si>
  <si>
    <t>Fort William</t>
  </si>
  <si>
    <t>Ziar nad Hronom</t>
  </si>
  <si>
    <t>Agios Nikolaos</t>
  </si>
  <si>
    <t>Sundsvall</t>
  </si>
  <si>
    <t>Kidricevo</t>
  </si>
  <si>
    <t>various</t>
  </si>
  <si>
    <t>Podgorica</t>
  </si>
  <si>
    <t>Mosjøen</t>
  </si>
  <si>
    <t>Lista</t>
  </si>
  <si>
    <t>Sunndalsøra
Årdal
Karmøy
Husnes
Høyanger</t>
  </si>
  <si>
    <t>Sabiñánigo</t>
  </si>
  <si>
    <t>Pontevedra</t>
  </si>
  <si>
    <t>Hernani</t>
  </si>
  <si>
    <t>Torrelavega</t>
  </si>
  <si>
    <t>Martorell
Vilaseca
Monzon
Flix</t>
  </si>
  <si>
    <t>Runcorn</t>
  </si>
  <si>
    <t>Thetford</t>
  </si>
  <si>
    <t>West Thurrock</t>
  </si>
  <si>
    <t>Pratteln</t>
  </si>
  <si>
    <t>Hrastnik</t>
  </si>
  <si>
    <t>Novaky</t>
  </si>
  <si>
    <t>Rimnicu Valcea</t>
  </si>
  <si>
    <t>Borzesti</t>
  </si>
  <si>
    <t>Povoa</t>
  </si>
  <si>
    <t>Estarreja</t>
  </si>
  <si>
    <t>Brzeg Dolny</t>
  </si>
  <si>
    <t>Bergen op Zoom</t>
  </si>
  <si>
    <t>Sarpsborg</t>
  </si>
  <si>
    <t>Bremanger</t>
  </si>
  <si>
    <t>Rafnes</t>
  </si>
  <si>
    <t>Bussi</t>
  </si>
  <si>
    <t>Assemini</t>
  </si>
  <si>
    <t>Volterra
Rosignano</t>
  </si>
  <si>
    <t>Pieve Vergonte</t>
  </si>
  <si>
    <t>Campochiaro</t>
  </si>
  <si>
    <t>Fermoy</t>
  </si>
  <si>
    <t>Kazincbarcika</t>
  </si>
  <si>
    <t>Thessaloniki</t>
  </si>
  <si>
    <t>Inofita Viotias</t>
  </si>
  <si>
    <t>Marousi</t>
  </si>
  <si>
    <t>Burghausen
Gendorf</t>
  </si>
  <si>
    <t>Frankfurt</t>
  </si>
  <si>
    <t>Wilhelmshaven</t>
  </si>
  <si>
    <t>Marl
Ibbenbüren</t>
  </si>
  <si>
    <t>Stade</t>
  </si>
  <si>
    <t>Gersthofen</t>
  </si>
  <si>
    <t>Leuna
Bitterfeld
Schkopau</t>
  </si>
  <si>
    <t>Brunsbüttel</t>
  </si>
  <si>
    <t>Dormagen
Rheinberg
Uerdingen</t>
  </si>
  <si>
    <t>Lülsdorf
Knapsack
Leverkusen</t>
  </si>
  <si>
    <t>Thann</t>
  </si>
  <si>
    <t>Fos</t>
  </si>
  <si>
    <t>Lavera
St Auban</t>
  </si>
  <si>
    <t>Pont de Claix
Jarrie
Pomblière</t>
  </si>
  <si>
    <t>Harbonnières</t>
  </si>
  <si>
    <t>Tavaux</t>
  </si>
  <si>
    <t>Loos</t>
  </si>
  <si>
    <t>Oulu</t>
  </si>
  <si>
    <t>Joutseno</t>
  </si>
  <si>
    <t>Neratovice</t>
  </si>
  <si>
    <t>Usti</t>
  </si>
  <si>
    <t>Jemeppe</t>
  </si>
  <si>
    <t>Tessenderlo</t>
  </si>
  <si>
    <t>Brückl</t>
  </si>
  <si>
    <t>Kapfenberg
Mitterdorf</t>
  </si>
  <si>
    <t>Charleroi
Chatelet</t>
  </si>
  <si>
    <t>Genk</t>
  </si>
  <si>
    <t>Tornio</t>
  </si>
  <si>
    <t>Chateauneuf de Giers</t>
  </si>
  <si>
    <t>Imphy
Le Creusot</t>
  </si>
  <si>
    <t>Ugine</t>
  </si>
  <si>
    <t>Freital
Gröditz</t>
  </si>
  <si>
    <t>Völklingen</t>
  </si>
  <si>
    <t>Wetzlar</t>
  </si>
  <si>
    <t>Siegen
Witten</t>
  </si>
  <si>
    <t>Aosta</t>
  </si>
  <si>
    <t>Bolzano</t>
  </si>
  <si>
    <t>Breno
Ospitaletto</t>
  </si>
  <si>
    <t>Terni</t>
  </si>
  <si>
    <t>Udine</t>
  </si>
  <si>
    <t>Vicenza</t>
  </si>
  <si>
    <t>Stalowa wola</t>
  </si>
  <si>
    <t>Jesenice
Ravne</t>
  </si>
  <si>
    <t>Amurrio
Basauri
Loiu</t>
  </si>
  <si>
    <t>Los Barrios</t>
  </si>
  <si>
    <t>Reinosa</t>
  </si>
  <si>
    <t>Avesta
Sandviken</t>
  </si>
  <si>
    <t>Aldwarke
Sheffield
Shepcote Lane</t>
  </si>
  <si>
    <t>installed capacity blast furnace/oxygen</t>
  </si>
  <si>
    <t>installed capacity electric arc</t>
  </si>
  <si>
    <t>Linz</t>
  </si>
  <si>
    <t>Ghent</t>
  </si>
  <si>
    <t>Fos-Sur-Mer</t>
  </si>
  <si>
    <t>Duisbirg</t>
  </si>
  <si>
    <t>Dunauijvaros</t>
  </si>
  <si>
    <t>Taranto</t>
  </si>
  <si>
    <t>Ijmuiden</t>
  </si>
  <si>
    <t>Krakov</t>
  </si>
  <si>
    <t>Galati</t>
  </si>
  <si>
    <t>Kosice</t>
  </si>
  <si>
    <t>Avilés
Gijón</t>
  </si>
  <si>
    <t>Lulea</t>
  </si>
  <si>
    <t>Öxelösund</t>
  </si>
  <si>
    <t>Port Talbot</t>
  </si>
  <si>
    <t>Scunthorpe</t>
  </si>
  <si>
    <t>Donawitz
Graz
Kapfenberg
Mitterdorf</t>
  </si>
  <si>
    <t>Pernik</t>
  </si>
  <si>
    <t>Sisak</t>
  </si>
  <si>
    <t>Split</t>
  </si>
  <si>
    <t>Trinec
Ostrava</t>
  </si>
  <si>
    <t>Plzen</t>
  </si>
  <si>
    <t>Imatra</t>
  </si>
  <si>
    <t>Raahe
Tornio</t>
  </si>
  <si>
    <t>Bayonne</t>
  </si>
  <si>
    <t>Bonnieres-Sur-Seine
Gargenville
Montereau</t>
  </si>
  <si>
    <t>Hagondange
Neuves Maisons</t>
  </si>
  <si>
    <t>Dunkirk
St. Saulve
Trith St Leger</t>
  </si>
  <si>
    <t>Chateauneuf, R. de Giers
Ugine</t>
  </si>
  <si>
    <t>Dillingen
Völklingen
Bous/Saar</t>
  </si>
  <si>
    <t>Eisenhüttenstadt
Brandenburg
Henningsdorf</t>
  </si>
  <si>
    <t>Herbertshofen</t>
  </si>
  <si>
    <t>Kehl</t>
  </si>
  <si>
    <t>Georgsmarienhütte
Lingen</t>
  </si>
  <si>
    <t>Salzgitter
Peine</t>
  </si>
  <si>
    <t>Freital
Gröditz
Riesa</t>
  </si>
  <si>
    <t>Unterwellenborn</t>
  </si>
  <si>
    <t>Esch-Sur-Alzette</t>
  </si>
  <si>
    <t>Ozd</t>
  </si>
  <si>
    <t>Aspropyrgos
Eleusis</t>
  </si>
  <si>
    <t>Almyros-Magnisia
Velestino</t>
  </si>
  <si>
    <t>Borgo Valsugana</t>
  </si>
  <si>
    <t>Catania</t>
  </si>
  <si>
    <t>Lesegno</t>
  </si>
  <si>
    <t>Breno
Brescia
Caronno
Cividate al Piano
Cremona
Dalmine
Lonato
Lovere
Odolo
Ospitaletto
San Zeno Naviglio
Sarezzo</t>
  </si>
  <si>
    <t>Camin
Osoppo
Vallese D. Oppeano
Verona
Vicenza</t>
  </si>
  <si>
    <t>Ostrowiec</t>
  </si>
  <si>
    <t>Stalowa Wola</t>
  </si>
  <si>
    <t>Warszawa</t>
  </si>
  <si>
    <t>Dabrowa Gornicza
Chorzow
Czestochowa
Gliwice
Katowice
Zawiercie</t>
  </si>
  <si>
    <t>Maia</t>
  </si>
  <si>
    <t>Seixal</t>
  </si>
  <si>
    <t>Calarasi</t>
  </si>
  <si>
    <t>Hunedoara
Otelu Rosu
Resita</t>
  </si>
  <si>
    <t>Podbrezova</t>
  </si>
  <si>
    <t>Jesenice</t>
  </si>
  <si>
    <t>Celje-Store
Ravne</t>
  </si>
  <si>
    <t>Castellbisbal</t>
  </si>
  <si>
    <t>Getafe</t>
  </si>
  <si>
    <t>Naron</t>
  </si>
  <si>
    <t>Reinosa
Santander</t>
  </si>
  <si>
    <t>Amurrio
Azpeitia
Basauri
Bilbao
Galindo
Loiu
Olaberria
Sestao</t>
  </si>
  <si>
    <t>Jerez de los Caballeros
Los Barrios
Sevilla</t>
  </si>
  <si>
    <t>Zaragoza</t>
  </si>
  <si>
    <t>Avesta
Björneborg
Hagfors
Hofors
Sandviken
Smedjebacken</t>
  </si>
  <si>
    <t>Tremorfa</t>
  </si>
  <si>
    <t>excess heat paper</t>
  </si>
  <si>
    <t>paper %</t>
  </si>
  <si>
    <t>installed capacity ammonia</t>
  </si>
  <si>
    <t>ammonia %</t>
  </si>
  <si>
    <t>Cologne</t>
  </si>
  <si>
    <t>Palos de la Frontera</t>
  </si>
  <si>
    <t>Barreiro</t>
  </si>
  <si>
    <t>installed capacity steel_stainless</t>
  </si>
  <si>
    <t>steel_stainless %</t>
  </si>
  <si>
    <t>excess heat cement</t>
  </si>
  <si>
    <t>excess heat glass</t>
  </si>
  <si>
    <t xml:space="preserve">fuel demand cement </t>
  </si>
  <si>
    <t>excess heat cement %</t>
  </si>
  <si>
    <t>fuel demand cement %</t>
  </si>
  <si>
    <t>fuel demand glass</t>
  </si>
  <si>
    <t>excess heat glass %</t>
  </si>
  <si>
    <t>fuel demand glass %</t>
  </si>
  <si>
    <t>Grandpuits</t>
  </si>
  <si>
    <t>Ottmarsheim</t>
  </si>
  <si>
    <t>Le Grand Quevilly
Le Havre</t>
  </si>
  <si>
    <t>Pardies</t>
  </si>
  <si>
    <t>Sluiskil</t>
  </si>
  <si>
    <t>Tertre</t>
  </si>
  <si>
    <t>Porsgrunn</t>
  </si>
  <si>
    <t>Ferrara</t>
  </si>
  <si>
    <t>Kavalla</t>
  </si>
  <si>
    <t>Billingham</t>
  </si>
  <si>
    <t>Ince</t>
  </si>
  <si>
    <t>Hull</t>
  </si>
  <si>
    <t>Lutherstadt Wittenberg</t>
  </si>
  <si>
    <t>Brunsbuttel</t>
  </si>
  <si>
    <t>Prague</t>
  </si>
  <si>
    <t>Szalombatta</t>
  </si>
  <si>
    <t>Veszprem</t>
  </si>
  <si>
    <t>Sofia</t>
  </si>
  <si>
    <t>Plovdiv</t>
  </si>
  <si>
    <t>Varna</t>
  </si>
  <si>
    <t>Bucarest</t>
  </si>
  <si>
    <t>Brasov</t>
  </si>
  <si>
    <t>Varsovia</t>
  </si>
  <si>
    <t>Lodz</t>
  </si>
  <si>
    <t>Pyzdry</t>
  </si>
  <si>
    <t>installed capacity alu_sek</t>
  </si>
  <si>
    <t>Baunatal</t>
  </si>
  <si>
    <t>Freiberg</t>
  </si>
  <si>
    <t>Göttingen</t>
  </si>
  <si>
    <r>
      <t xml:space="preserve">Hamburg
</t>
    </r>
    <r>
      <rPr>
        <sz val="11"/>
        <rFont val="Arial"/>
        <family val="2"/>
      </rPr>
      <t>Hamburg</t>
    </r>
  </si>
  <si>
    <t>Landshut</t>
  </si>
  <si>
    <t>Lüdenscheid
Lünen
Meinerzhagen
Nachrodt</t>
  </si>
  <si>
    <t>Bernburg
Harzgerode
Hettstedt
Novelis</t>
  </si>
  <si>
    <t>Annaberg
Fridrichshafen
Neu -Ulm</t>
  </si>
  <si>
    <r>
      <t xml:space="preserve">Rheinwerk Neuss
Essen
Voerde
</t>
    </r>
    <r>
      <rPr>
        <sz val="11"/>
        <color theme="1"/>
        <rFont val="Helvetica"/>
      </rPr>
      <t>Essen
Grevenbroich
Heiligenhaus
Hilden
Neuss
Norf</t>
    </r>
  </si>
  <si>
    <t>Rackwitz</t>
  </si>
  <si>
    <t>Deizisau
Stuttgart</t>
  </si>
  <si>
    <t>Garching
Markt Schwaben
Töging</t>
  </si>
  <si>
    <t>Dillingen
Kempten
Weissenhorn</t>
  </si>
  <si>
    <t>Bad Säckingen
Gundelfingen
Rheinfelden
Stockach
Wutöschingen</t>
  </si>
  <si>
    <t>alu_sek %</t>
  </si>
  <si>
    <t>alu_prim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</si>
</sst>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%"/>
    <numFmt numFmtId="165" formatCode="0.0%"/>
  </numFmts>
  <fonts count="22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Helvetica"/>
      <family val="2"/>
    </font>
    <font>
      <sz val="12"/>
      <color theme="1"/>
      <name val="Courier New"/>
      <family val="1"/>
    </font>
    <font>
      <sz val="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Helvetica"/>
      <family val="2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9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Border="1"/>
    <xf numFmtId="0" fontId="5" fillId="0" borderId="0" xfId="0" applyFont="1" applyFill="1" applyBorder="1"/>
    <xf numFmtId="49" fontId="3" fillId="0" borderId="0" xfId="1" applyNumberFormat="1" applyFont="1" applyFill="1" applyBorder="1"/>
    <xf numFmtId="49" fontId="6" fillId="0" borderId="0" xfId="1" applyNumberFormat="1" applyFont="1" applyBorder="1"/>
    <xf numFmtId="49" fontId="6" fillId="0" borderId="0" xfId="1" applyNumberFormat="1" applyFont="1" applyBorder="1" applyAlignment="1">
      <alignment wrapText="1"/>
    </xf>
    <xf numFmtId="0" fontId="6" fillId="0" borderId="0" xfId="1" applyFont="1" applyBorder="1" applyAlignment="1">
      <alignment wrapText="1"/>
    </xf>
    <xf numFmtId="10" fontId="5" fillId="0" borderId="0" xfId="0" applyNumberFormat="1" applyFont="1" applyBorder="1"/>
    <xf numFmtId="49" fontId="3" fillId="0" borderId="0" xfId="1" applyNumberFormat="1" applyFont="1" applyBorder="1"/>
    <xf numFmtId="49" fontId="3" fillId="0" borderId="0" xfId="1" applyNumberFormat="1" applyFont="1" applyFill="1" applyBorder="1" applyAlignment="1">
      <alignment wrapText="1"/>
    </xf>
    <xf numFmtId="0" fontId="6" fillId="0" borderId="0" xfId="1" applyFont="1" applyBorder="1" applyAlignment="1">
      <alignment horizontal="left" vertical="center" wrapText="1"/>
    </xf>
    <xf numFmtId="0" fontId="6" fillId="0" borderId="0" xfId="1" applyFont="1" applyBorder="1"/>
    <xf numFmtId="0" fontId="6" fillId="0" borderId="0" xfId="0" applyFont="1" applyBorder="1"/>
    <xf numFmtId="0" fontId="6" fillId="0" borderId="0" xfId="0" applyFont="1" applyBorder="1" applyAlignment="1">
      <alignment wrapText="1"/>
    </xf>
    <xf numFmtId="49" fontId="7" fillId="0" borderId="0" xfId="1" applyNumberFormat="1" applyFont="1" applyFill="1" applyBorder="1"/>
    <xf numFmtId="49" fontId="7" fillId="0" borderId="0" xfId="1" applyNumberFormat="1" applyFont="1" applyBorder="1"/>
    <xf numFmtId="49" fontId="8" fillId="0" borderId="0" xfId="1" applyNumberFormat="1" applyFont="1" applyBorder="1" applyAlignment="1">
      <alignment wrapText="1"/>
    </xf>
    <xf numFmtId="0" fontId="8" fillId="0" borderId="0" xfId="1" applyFont="1" applyBorder="1" applyAlignment="1">
      <alignment wrapText="1"/>
    </xf>
    <xf numFmtId="49" fontId="7" fillId="0" borderId="0" xfId="1" applyNumberFormat="1" applyFont="1" applyFill="1" applyBorder="1" applyAlignment="1">
      <alignment wrapText="1"/>
    </xf>
    <xf numFmtId="0" fontId="9" fillId="0" borderId="0" xfId="0" applyFont="1" applyBorder="1"/>
    <xf numFmtId="0" fontId="8" fillId="0" borderId="0" xfId="1" applyFont="1" applyBorder="1"/>
    <xf numFmtId="0" fontId="8" fillId="0" borderId="0" xfId="0" applyFont="1" applyBorder="1" applyAlignment="1">
      <alignment wrapText="1"/>
    </xf>
    <xf numFmtId="0" fontId="8" fillId="0" borderId="0" xfId="0" applyFont="1" applyBorder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center"/>
    </xf>
    <xf numFmtId="0" fontId="6" fillId="0" borderId="0" xfId="1" applyFont="1" applyBorder="1" applyAlignment="1">
      <alignment horizontal="justify" wrapText="1"/>
    </xf>
    <xf numFmtId="0" fontId="6" fillId="0" borderId="0" xfId="1" applyFont="1" applyBorder="1" applyAlignment="1">
      <alignment horizontal="justify"/>
    </xf>
    <xf numFmtId="0" fontId="6" fillId="0" borderId="0" xfId="1" applyFont="1" applyFill="1" applyBorder="1"/>
    <xf numFmtId="49" fontId="8" fillId="0" borderId="0" xfId="1" applyNumberFormat="1" applyFont="1" applyBorder="1"/>
    <xf numFmtId="0" fontId="8" fillId="0" borderId="0" xfId="1" applyFont="1" applyBorder="1" applyAlignment="1">
      <alignment horizontal="left" vertical="center" wrapText="1"/>
    </xf>
    <xf numFmtId="0" fontId="10" fillId="0" borderId="0" xfId="0" applyFont="1" applyBorder="1" applyAlignment="1">
      <alignment wrapText="1"/>
    </xf>
    <xf numFmtId="0" fontId="10" fillId="0" borderId="0" xfId="0" applyFont="1" applyBorder="1"/>
    <xf numFmtId="0" fontId="8" fillId="0" borderId="0" xfId="1" applyFont="1" applyBorder="1" applyAlignment="1">
      <alignment horizontal="justify"/>
    </xf>
    <xf numFmtId="0" fontId="8" fillId="0" borderId="0" xfId="1" applyFont="1" applyBorder="1" applyAlignment="1">
      <alignment horizontal="justify" wrapText="1"/>
    </xf>
    <xf numFmtId="0" fontId="8" fillId="0" borderId="0" xfId="1" applyFont="1" applyFill="1" applyBorder="1"/>
    <xf numFmtId="0" fontId="4" fillId="0" borderId="0" xfId="0" applyFont="1" applyBorder="1"/>
    <xf numFmtId="10" fontId="4" fillId="0" borderId="0" xfId="0" applyNumberFormat="1" applyFont="1" applyBorder="1"/>
    <xf numFmtId="0" fontId="3" fillId="0" borderId="0" xfId="0" applyNumberFormat="1" applyFont="1" applyBorder="1" applyAlignment="1">
      <alignment horizontal="center" vertical="top"/>
    </xf>
    <xf numFmtId="0" fontId="5" fillId="0" borderId="0" xfId="0" applyNumberFormat="1" applyFont="1" applyBorder="1"/>
    <xf numFmtId="0" fontId="6" fillId="0" borderId="0" xfId="1" applyNumberFormat="1" applyFont="1" applyBorder="1"/>
    <xf numFmtId="10" fontId="5" fillId="0" borderId="0" xfId="0" applyNumberFormat="1" applyFont="1" applyFill="1" applyBorder="1"/>
    <xf numFmtId="49" fontId="8" fillId="0" borderId="0" xfId="0" applyNumberFormat="1" applyFont="1" applyAlignment="1">
      <alignment wrapText="1"/>
    </xf>
    <xf numFmtId="0" fontId="11" fillId="0" borderId="0" xfId="0" applyFont="1" applyAlignment="1">
      <alignment horizontal="left" vertical="center" indent="8"/>
    </xf>
    <xf numFmtId="0" fontId="0" fillId="0" borderId="0" xfId="0" applyFont="1" applyAlignment="1">
      <alignment horizontal="left" vertical="center" indent="8"/>
    </xf>
    <xf numFmtId="49" fontId="6" fillId="0" borderId="0" xfId="0" applyNumberFormat="1" applyFont="1" applyAlignment="1">
      <alignment wrapText="1"/>
    </xf>
    <xf numFmtId="0" fontId="5" fillId="0" borderId="0" xfId="0" applyFont="1" applyBorder="1" applyAlignment="1">
      <alignment horizontal="center" vertical="center"/>
    </xf>
    <xf numFmtId="0" fontId="12" fillId="0" borderId="0" xfId="0" applyFont="1"/>
    <xf numFmtId="0" fontId="4" fillId="0" borderId="0" xfId="0" applyNumberFormat="1" applyFont="1" applyBorder="1" applyAlignment="1">
      <alignment horizontal="center"/>
    </xf>
    <xf numFmtId="0" fontId="6" fillId="0" borderId="0" xfId="1" applyNumberFormat="1" applyFont="1" applyBorder="1" applyAlignment="1">
      <alignment wrapText="1"/>
    </xf>
    <xf numFmtId="0" fontId="5" fillId="0" borderId="0" xfId="0" applyNumberFormat="1" applyFont="1" applyBorder="1" applyAlignment="1">
      <alignment wrapText="1"/>
    </xf>
    <xf numFmtId="10" fontId="6" fillId="0" borderId="0" xfId="1" applyNumberFormat="1" applyFont="1" applyBorder="1" applyAlignment="1">
      <alignment wrapText="1"/>
    </xf>
    <xf numFmtId="0" fontId="6" fillId="0" borderId="0" xfId="0" applyNumberFormat="1" applyFont="1" applyBorder="1"/>
    <xf numFmtId="0" fontId="6" fillId="0" borderId="0" xfId="1" applyNumberFormat="1" applyFont="1" applyBorder="1" applyAlignment="1">
      <alignment horizontal="justify"/>
    </xf>
    <xf numFmtId="3" fontId="0" fillId="0" borderId="0" xfId="0" applyNumberFormat="1"/>
    <xf numFmtId="1" fontId="4" fillId="0" borderId="0" xfId="0" applyNumberFormat="1" applyFont="1" applyBorder="1" applyAlignment="1">
      <alignment horizontal="center"/>
    </xf>
    <xf numFmtId="1" fontId="5" fillId="0" borderId="0" xfId="0" applyNumberFormat="1" applyFont="1" applyBorder="1"/>
    <xf numFmtId="1" fontId="0" fillId="0" borderId="0" xfId="0" applyNumberFormat="1"/>
    <xf numFmtId="0" fontId="1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49" fontId="8" fillId="0" borderId="0" xfId="0" applyNumberFormat="1" applyFont="1"/>
    <xf numFmtId="0" fontId="8" fillId="0" borderId="0" xfId="0" applyFont="1"/>
    <xf numFmtId="0" fontId="8" fillId="0" borderId="0" xfId="0" applyFont="1" applyAlignment="1">
      <alignment wrapText="1"/>
    </xf>
    <xf numFmtId="49" fontId="7" fillId="0" borderId="0" xfId="0" applyNumberFormat="1" applyFont="1"/>
    <xf numFmtId="49" fontId="7" fillId="0" borderId="0" xfId="0" applyNumberFormat="1" applyFont="1" applyAlignment="1">
      <alignment wrapText="1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wrapText="1"/>
    </xf>
    <xf numFmtId="0" fontId="8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/>
    </xf>
    <xf numFmtId="0" fontId="8" fillId="0" borderId="0" xfId="0" applyFont="1" applyAlignment="1">
      <alignment horizontal="justify"/>
    </xf>
    <xf numFmtId="0" fontId="8" fillId="0" borderId="0" xfId="0" applyFont="1" applyAlignment="1">
      <alignment horizontal="justify" wrapText="1"/>
    </xf>
    <xf numFmtId="164" fontId="4" fillId="0" borderId="0" xfId="0" applyNumberFormat="1" applyFont="1" applyBorder="1" applyAlignment="1">
      <alignment horizontal="center"/>
    </xf>
    <xf numFmtId="164" fontId="5" fillId="0" borderId="0" xfId="0" applyNumberFormat="1" applyFont="1" applyBorder="1"/>
    <xf numFmtId="1" fontId="5" fillId="0" borderId="0" xfId="0" applyNumberFormat="1" applyFont="1"/>
    <xf numFmtId="0" fontId="5" fillId="0" borderId="0" xfId="0" applyNumberFormat="1" applyFont="1" applyFill="1" applyBorder="1"/>
    <xf numFmtId="0" fontId="0" fillId="0" borderId="0" xfId="0" applyNumberFormat="1" applyFill="1" applyBorder="1" applyAlignment="1">
      <alignment vertical="top"/>
    </xf>
    <xf numFmtId="0" fontId="0" fillId="0" borderId="0" xfId="0" applyNumberFormat="1" applyBorder="1" applyAlignment="1">
      <alignment vertical="top"/>
    </xf>
    <xf numFmtId="0" fontId="0" fillId="0" borderId="0" xfId="0" applyBorder="1" applyAlignment="1">
      <alignment vertical="top"/>
    </xf>
    <xf numFmtId="10" fontId="2" fillId="0" borderId="0" xfId="0" applyNumberFormat="1" applyFont="1" applyBorder="1" applyAlignment="1">
      <alignment horizontal="center" vertical="top"/>
    </xf>
    <xf numFmtId="0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10" fontId="0" fillId="0" borderId="0" xfId="0" applyNumberFormat="1" applyFont="1" applyBorder="1"/>
    <xf numFmtId="0" fontId="14" fillId="0" borderId="0" xfId="0" applyNumberFormat="1" applyFont="1" applyBorder="1" applyAlignment="1">
      <alignment vertical="center"/>
    </xf>
    <xf numFmtId="10" fontId="13" fillId="0" borderId="0" xfId="0" applyNumberFormat="1" applyFont="1" applyAlignment="1">
      <alignment horizontal="center"/>
    </xf>
    <xf numFmtId="10" fontId="14" fillId="0" borderId="0" xfId="0" applyNumberFormat="1" applyFont="1"/>
    <xf numFmtId="10" fontId="0" fillId="0" borderId="0" xfId="0" applyNumberFormat="1"/>
    <xf numFmtId="49" fontId="7" fillId="0" borderId="0" xfId="1" applyNumberFormat="1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0" fillId="0" borderId="0" xfId="0" applyAlignment="1">
      <alignment wrapText="1"/>
    </xf>
    <xf numFmtId="165" fontId="5" fillId="0" borderId="0" xfId="2" applyNumberFormat="1" applyFont="1" applyFill="1" applyBorder="1"/>
    <xf numFmtId="0" fontId="5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0" fontId="0" fillId="0" borderId="0" xfId="0" applyNumberFormat="1" applyFont="1" applyFill="1" applyBorder="1"/>
  </cellXfs>
  <cellStyles count="3">
    <cellStyle name="Normal 2" xfId="1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0"/>
  <sheetViews>
    <sheetView zoomScale="92" workbookViewId="0">
      <selection activeCell="F5" sqref="F5"/>
    </sheetView>
  </sheetViews>
  <sheetFormatPr baseColWidth="10" defaultColWidth="10.875" defaultRowHeight="15"/>
  <cols>
    <col min="1" max="1" width="19" style="3" bestFit="1" customWidth="1"/>
    <col min="2" max="2" width="13.5" style="3" hidden="1" customWidth="1"/>
    <col min="3" max="3" width="6.125" style="3" bestFit="1" customWidth="1"/>
    <col min="4" max="4" width="20.125" style="3" customWidth="1"/>
    <col min="5" max="5" width="29.875" style="3" bestFit="1" customWidth="1"/>
    <col min="6" max="6" width="29.875" style="3" customWidth="1"/>
    <col min="7" max="7" width="29.875" style="43" customWidth="1"/>
    <col min="8" max="8" width="18.875" style="3" bestFit="1" customWidth="1"/>
    <col min="9" max="9" width="11.625" style="9" bestFit="1" customWidth="1"/>
    <col min="10" max="10" width="24" style="3" bestFit="1" customWidth="1"/>
    <col min="11" max="11" width="16.875" style="3" bestFit="1" customWidth="1"/>
    <col min="12" max="12" width="20.625" style="3" bestFit="1" customWidth="1"/>
    <col min="13" max="16384" width="10.875" style="3"/>
  </cols>
  <sheetData>
    <row r="1" spans="1:17">
      <c r="A1" s="25" t="s">
        <v>0</v>
      </c>
      <c r="B1" s="25" t="s">
        <v>659</v>
      </c>
      <c r="C1" s="25" t="s">
        <v>1</v>
      </c>
      <c r="D1" s="25" t="s">
        <v>2</v>
      </c>
      <c r="E1" s="25" t="s">
        <v>660</v>
      </c>
      <c r="F1" s="25" t="s">
        <v>831</v>
      </c>
      <c r="G1" s="52" t="s">
        <v>832</v>
      </c>
      <c r="H1" s="25" t="s">
        <v>696</v>
      </c>
      <c r="I1" s="26" t="s">
        <v>695</v>
      </c>
      <c r="J1" s="2"/>
      <c r="K1" s="2"/>
      <c r="L1" s="2"/>
      <c r="N1" s="4"/>
      <c r="O1" s="4"/>
      <c r="P1" s="4"/>
      <c r="Q1" s="4"/>
    </row>
    <row r="2" spans="1:17" ht="30">
      <c r="A2" s="103" t="s">
        <v>3</v>
      </c>
      <c r="B2" s="3" t="s">
        <v>37</v>
      </c>
      <c r="C2" s="6" t="s">
        <v>36</v>
      </c>
      <c r="D2" s="7"/>
      <c r="E2" s="8" t="s">
        <v>622</v>
      </c>
      <c r="F2" s="8"/>
      <c r="G2" s="53"/>
      <c r="K2" s="4"/>
      <c r="L2" s="4"/>
      <c r="M2" s="5"/>
      <c r="N2" s="4"/>
    </row>
    <row r="3" spans="1:17">
      <c r="A3" s="103"/>
      <c r="B3" s="3" t="s">
        <v>38</v>
      </c>
      <c r="C3" s="6" t="s">
        <v>46</v>
      </c>
      <c r="D3" s="7"/>
      <c r="E3" s="8" t="s">
        <v>317</v>
      </c>
      <c r="F3" s="8"/>
      <c r="G3" s="53"/>
      <c r="J3" s="10"/>
      <c r="K3" s="11"/>
      <c r="L3" s="4"/>
      <c r="M3" s="5"/>
      <c r="N3" s="4"/>
    </row>
    <row r="4" spans="1:17">
      <c r="A4" s="103"/>
      <c r="B4" s="3" t="s">
        <v>39</v>
      </c>
      <c r="C4" s="6" t="s">
        <v>40</v>
      </c>
      <c r="D4" s="7" t="s">
        <v>809</v>
      </c>
      <c r="E4" s="8" t="s">
        <v>318</v>
      </c>
      <c r="F4" s="8"/>
      <c r="G4" s="53">
        <v>1200</v>
      </c>
      <c r="H4" s="3">
        <f>SUM($F4:$G4)</f>
        <v>1200</v>
      </c>
      <c r="I4" s="9">
        <f>H4/SUM($H$4:$H$9)</f>
        <v>0.14285714285714285</v>
      </c>
      <c r="K4" s="4"/>
      <c r="L4" s="4"/>
      <c r="M4" s="5"/>
      <c r="N4" s="4"/>
    </row>
    <row r="5" spans="1:17">
      <c r="A5" s="103"/>
      <c r="B5" s="3" t="s">
        <v>40</v>
      </c>
      <c r="C5" s="6" t="s">
        <v>44</v>
      </c>
      <c r="D5" s="7" t="s">
        <v>834</v>
      </c>
      <c r="E5" s="8" t="s">
        <v>319</v>
      </c>
      <c r="F5" s="8">
        <v>5000</v>
      </c>
      <c r="G5" s="53"/>
      <c r="H5" s="3">
        <f t="shared" ref="H5:H64" si="0">SUM($F5:$G5)</f>
        <v>5000</v>
      </c>
      <c r="I5" s="9">
        <f t="shared" ref="I5:I9" si="1">H5/SUM($H$4:$H$9)</f>
        <v>0.59523809523809523</v>
      </c>
      <c r="K5" s="4"/>
      <c r="L5" s="4"/>
      <c r="M5" s="5"/>
      <c r="N5" s="4"/>
    </row>
    <row r="6" spans="1:17">
      <c r="A6" s="103"/>
      <c r="B6" s="3" t="s">
        <v>41</v>
      </c>
      <c r="C6" s="6" t="s">
        <v>45</v>
      </c>
      <c r="D6" s="7"/>
      <c r="E6" s="8" t="s">
        <v>320</v>
      </c>
      <c r="F6" s="8"/>
      <c r="G6" s="53"/>
      <c r="K6" s="4"/>
      <c r="L6" s="4"/>
      <c r="M6" s="5"/>
      <c r="N6" s="4"/>
    </row>
    <row r="7" spans="1:17">
      <c r="A7" s="103"/>
      <c r="B7" s="3" t="s">
        <v>42</v>
      </c>
      <c r="C7" s="6" t="s">
        <v>37</v>
      </c>
      <c r="D7" s="7"/>
      <c r="E7" s="8" t="s">
        <v>321</v>
      </c>
      <c r="F7" s="8"/>
      <c r="G7" s="53"/>
      <c r="K7" s="4"/>
      <c r="L7" s="4"/>
      <c r="M7" s="5"/>
      <c r="N7" s="4"/>
    </row>
    <row r="8" spans="1:17">
      <c r="A8" s="103"/>
      <c r="B8" s="3" t="s">
        <v>43</v>
      </c>
      <c r="C8" s="6" t="s">
        <v>43</v>
      </c>
      <c r="D8" s="7"/>
      <c r="E8" s="8" t="s">
        <v>322</v>
      </c>
      <c r="F8" s="8"/>
      <c r="G8" s="53"/>
      <c r="K8" s="4"/>
      <c r="L8" s="4"/>
      <c r="M8" s="5"/>
      <c r="N8" s="4"/>
    </row>
    <row r="9" spans="1:17" ht="30">
      <c r="A9" s="103"/>
      <c r="B9" s="3" t="s">
        <v>44</v>
      </c>
      <c r="C9" s="6" t="s">
        <v>42</v>
      </c>
      <c r="D9" s="7" t="s">
        <v>808</v>
      </c>
      <c r="E9" s="8" t="s">
        <v>323</v>
      </c>
      <c r="F9" s="8"/>
      <c r="G9" s="53">
        <f>850+350+1000</f>
        <v>2200</v>
      </c>
      <c r="H9" s="3">
        <f t="shared" si="0"/>
        <v>2200</v>
      </c>
      <c r="I9" s="9">
        <f t="shared" si="1"/>
        <v>0.26190476190476192</v>
      </c>
      <c r="K9" s="4"/>
      <c r="L9" s="4"/>
      <c r="M9" s="5"/>
      <c r="N9" s="4"/>
    </row>
    <row r="10" spans="1:17">
      <c r="A10" s="103"/>
      <c r="B10" s="3" t="s">
        <v>45</v>
      </c>
      <c r="C10" s="6" t="s">
        <v>41</v>
      </c>
      <c r="D10" s="7"/>
      <c r="E10" s="8" t="s">
        <v>324</v>
      </c>
      <c r="F10" s="8"/>
      <c r="G10" s="53"/>
      <c r="K10" s="4"/>
      <c r="L10" s="4"/>
      <c r="M10" s="5"/>
      <c r="N10" s="4"/>
    </row>
    <row r="11" spans="1:17">
      <c r="A11" s="103"/>
      <c r="B11" s="3" t="s">
        <v>36</v>
      </c>
      <c r="C11" s="6" t="s">
        <v>39</v>
      </c>
      <c r="D11" s="7"/>
      <c r="E11" s="8" t="s">
        <v>325</v>
      </c>
      <c r="F11" s="8"/>
      <c r="G11" s="53"/>
      <c r="K11" s="4"/>
      <c r="L11" s="4"/>
      <c r="M11" s="5"/>
      <c r="N11" s="4"/>
    </row>
    <row r="12" spans="1:17">
      <c r="A12" s="103"/>
      <c r="B12" s="3" t="s">
        <v>46</v>
      </c>
      <c r="C12" s="6" t="s">
        <v>38</v>
      </c>
      <c r="D12" s="7"/>
      <c r="E12" s="8" t="s">
        <v>326</v>
      </c>
      <c r="F12" s="8"/>
      <c r="G12" s="53"/>
      <c r="K12" s="4"/>
      <c r="L12" s="4"/>
      <c r="M12" s="5"/>
      <c r="N12" s="4"/>
    </row>
    <row r="13" spans="1:17">
      <c r="A13" s="103" t="s">
        <v>4</v>
      </c>
      <c r="B13" s="3" t="s">
        <v>47</v>
      </c>
      <c r="C13" s="6" t="s">
        <v>47</v>
      </c>
      <c r="D13" s="7"/>
      <c r="E13" s="8" t="s">
        <v>327</v>
      </c>
      <c r="F13" s="8"/>
      <c r="G13" s="53"/>
      <c r="K13" s="4"/>
      <c r="L13" s="4"/>
      <c r="M13" s="5"/>
      <c r="N13" s="4"/>
    </row>
    <row r="14" spans="1:17">
      <c r="A14" s="103"/>
      <c r="B14" s="3" t="s">
        <v>48</v>
      </c>
      <c r="C14" s="6" t="s">
        <v>49</v>
      </c>
      <c r="D14" s="7"/>
      <c r="E14" s="8" t="s">
        <v>328</v>
      </c>
      <c r="F14" s="8"/>
      <c r="G14" s="53"/>
      <c r="K14" s="4"/>
      <c r="L14" s="4"/>
      <c r="M14" s="5"/>
      <c r="N14" s="4"/>
    </row>
    <row r="15" spans="1:17">
      <c r="A15" s="103"/>
      <c r="B15" s="3" t="s">
        <v>49</v>
      </c>
      <c r="C15" s="6" t="s">
        <v>50</v>
      </c>
      <c r="D15" s="7"/>
      <c r="E15" s="8" t="s">
        <v>329</v>
      </c>
      <c r="F15" s="8"/>
      <c r="G15" s="53"/>
      <c r="K15" s="4"/>
      <c r="L15" s="4"/>
      <c r="M15" s="5"/>
      <c r="N15" s="4"/>
    </row>
    <row r="16" spans="1:17">
      <c r="A16" s="103"/>
      <c r="B16" s="3" t="s">
        <v>50</v>
      </c>
      <c r="C16" s="6" t="s">
        <v>51</v>
      </c>
      <c r="D16" s="7"/>
      <c r="E16" s="8" t="s">
        <v>330</v>
      </c>
      <c r="F16" s="8"/>
      <c r="G16" s="53"/>
      <c r="K16" s="4"/>
      <c r="L16" s="4"/>
      <c r="M16" s="5"/>
      <c r="N16" s="4"/>
    </row>
    <row r="17" spans="1:14">
      <c r="A17" s="103"/>
      <c r="B17" s="3" t="s">
        <v>51</v>
      </c>
      <c r="C17" s="6" t="s">
        <v>52</v>
      </c>
      <c r="D17" s="7" t="s">
        <v>849</v>
      </c>
      <c r="E17" s="8" t="s">
        <v>331</v>
      </c>
      <c r="F17" s="8"/>
      <c r="G17" s="53">
        <v>1000</v>
      </c>
      <c r="H17" s="3">
        <f t="shared" si="0"/>
        <v>1000</v>
      </c>
      <c r="I17" s="9">
        <v>1</v>
      </c>
      <c r="K17" s="4"/>
      <c r="L17" s="4"/>
      <c r="M17" s="5"/>
      <c r="N17" s="4"/>
    </row>
    <row r="18" spans="1:14">
      <c r="A18" s="103"/>
      <c r="B18" s="3" t="s">
        <v>52</v>
      </c>
      <c r="C18" s="6" t="s">
        <v>48</v>
      </c>
      <c r="D18" s="7"/>
      <c r="E18" s="8" t="s">
        <v>332</v>
      </c>
      <c r="F18" s="8"/>
      <c r="G18" s="53"/>
      <c r="K18" s="4"/>
      <c r="L18" s="4"/>
      <c r="M18" s="5"/>
      <c r="N18" s="4"/>
    </row>
    <row r="19" spans="1:14">
      <c r="A19" s="103" t="s">
        <v>5</v>
      </c>
      <c r="B19" s="3" t="s">
        <v>53</v>
      </c>
      <c r="C19" s="6" t="s">
        <v>54</v>
      </c>
      <c r="D19" s="7"/>
      <c r="E19" s="8" t="s">
        <v>333</v>
      </c>
      <c r="F19" s="8"/>
      <c r="G19" s="53"/>
      <c r="K19" s="4"/>
      <c r="L19" s="4"/>
      <c r="M19" s="5"/>
      <c r="N19" s="4"/>
    </row>
    <row r="20" spans="1:14">
      <c r="A20" s="103"/>
      <c r="B20" s="3" t="s">
        <v>54</v>
      </c>
      <c r="C20" s="6" t="s">
        <v>53</v>
      </c>
      <c r="D20" s="7"/>
      <c r="E20" s="8" t="s">
        <v>334</v>
      </c>
      <c r="F20" s="8"/>
      <c r="G20" s="53"/>
      <c r="K20" s="4"/>
      <c r="L20" s="4"/>
      <c r="M20" s="5"/>
      <c r="N20" s="4"/>
    </row>
    <row r="21" spans="1:14">
      <c r="A21" s="103"/>
      <c r="B21" s="3" t="s">
        <v>55</v>
      </c>
      <c r="C21" s="6" t="s">
        <v>60</v>
      </c>
      <c r="D21" s="7" t="s">
        <v>853</v>
      </c>
      <c r="E21" s="8" t="s">
        <v>335</v>
      </c>
      <c r="F21" s="8"/>
      <c r="G21" s="53">
        <v>150</v>
      </c>
      <c r="H21" s="3">
        <f t="shared" si="0"/>
        <v>150</v>
      </c>
      <c r="I21" s="9">
        <f>H21/SUM($H$21:$H$26)</f>
        <v>5.6179775280898875E-2</v>
      </c>
      <c r="K21" s="4"/>
      <c r="L21" s="4"/>
      <c r="M21" s="5"/>
      <c r="N21" s="4"/>
    </row>
    <row r="22" spans="1:14">
      <c r="A22" s="103"/>
      <c r="B22" s="3" t="s">
        <v>56</v>
      </c>
      <c r="C22" s="6" t="s">
        <v>58</v>
      </c>
      <c r="E22" s="8" t="s">
        <v>336</v>
      </c>
      <c r="F22" s="8"/>
      <c r="G22" s="53"/>
      <c r="K22" s="4"/>
      <c r="L22" s="4"/>
      <c r="M22" s="5"/>
      <c r="N22" s="4"/>
    </row>
    <row r="23" spans="1:14">
      <c r="A23" s="103"/>
      <c r="B23" s="3" t="s">
        <v>57</v>
      </c>
      <c r="C23" s="6" t="s">
        <v>57</v>
      </c>
      <c r="D23" s="7"/>
      <c r="E23" s="8" t="s">
        <v>337</v>
      </c>
      <c r="F23" s="8"/>
      <c r="G23" s="53"/>
      <c r="K23" s="4"/>
      <c r="L23" s="4"/>
      <c r="M23" s="5"/>
      <c r="N23" s="4"/>
    </row>
    <row r="24" spans="1:14">
      <c r="A24" s="103"/>
      <c r="B24" s="3" t="s">
        <v>58</v>
      </c>
      <c r="C24" s="6" t="s">
        <v>59</v>
      </c>
      <c r="D24" s="7"/>
      <c r="E24" s="8" t="s">
        <v>338</v>
      </c>
      <c r="F24" s="8"/>
      <c r="G24" s="53"/>
      <c r="K24" s="4"/>
      <c r="L24" s="4"/>
      <c r="M24" s="5"/>
      <c r="N24" s="4"/>
    </row>
    <row r="25" spans="1:14">
      <c r="A25" s="103"/>
      <c r="B25" s="3" t="s">
        <v>59</v>
      </c>
      <c r="C25" s="6" t="s">
        <v>55</v>
      </c>
      <c r="D25" s="7"/>
      <c r="E25" s="8" t="s">
        <v>339</v>
      </c>
      <c r="F25" s="8"/>
      <c r="G25" s="53"/>
      <c r="K25" s="4"/>
      <c r="L25" s="4"/>
      <c r="M25" s="5"/>
      <c r="N25" s="4"/>
    </row>
    <row r="26" spans="1:14" ht="30">
      <c r="A26" s="103"/>
      <c r="B26" s="3" t="s">
        <v>60</v>
      </c>
      <c r="C26" s="6" t="s">
        <v>56</v>
      </c>
      <c r="D26" s="7" t="s">
        <v>852</v>
      </c>
      <c r="E26" s="8" t="s">
        <v>340</v>
      </c>
      <c r="F26" s="8">
        <v>2400</v>
      </c>
      <c r="G26" s="53">
        <v>120</v>
      </c>
      <c r="H26" s="3">
        <f t="shared" si="0"/>
        <v>2520</v>
      </c>
      <c r="I26" s="9">
        <f t="shared" ref="I26" si="2">H26/SUM($H$21:$H$26)</f>
        <v>0.9438202247191011</v>
      </c>
      <c r="K26" s="4"/>
      <c r="L26" s="4"/>
      <c r="M26" s="5"/>
      <c r="N26" s="4"/>
    </row>
    <row r="27" spans="1:14">
      <c r="A27" s="103" t="s">
        <v>6</v>
      </c>
      <c r="B27" s="3" t="s">
        <v>61</v>
      </c>
      <c r="C27" s="6" t="s">
        <v>64</v>
      </c>
      <c r="D27" s="7"/>
      <c r="E27" s="8" t="s">
        <v>341</v>
      </c>
      <c r="F27" s="8"/>
      <c r="G27" s="53"/>
      <c r="K27" s="4"/>
      <c r="L27" s="4"/>
      <c r="M27" s="5"/>
      <c r="N27" s="4"/>
    </row>
    <row r="28" spans="1:14">
      <c r="A28" s="103"/>
      <c r="B28" s="3" t="s">
        <v>62</v>
      </c>
      <c r="C28" s="6" t="s">
        <v>61</v>
      </c>
      <c r="D28" s="7"/>
      <c r="E28" s="8" t="s">
        <v>342</v>
      </c>
      <c r="F28" s="8"/>
      <c r="G28" s="53"/>
      <c r="K28" s="4"/>
      <c r="L28" s="4"/>
      <c r="M28" s="5"/>
      <c r="N28" s="4"/>
    </row>
    <row r="29" spans="1:14">
      <c r="A29" s="103"/>
      <c r="B29" s="3" t="s">
        <v>63</v>
      </c>
      <c r="C29" s="6" t="s">
        <v>63</v>
      </c>
      <c r="D29" s="7"/>
      <c r="E29" s="8" t="s">
        <v>343</v>
      </c>
      <c r="F29" s="8"/>
      <c r="G29" s="53"/>
      <c r="K29" s="4"/>
      <c r="L29" s="4"/>
      <c r="M29" s="5"/>
      <c r="N29" s="4"/>
    </row>
    <row r="30" spans="1:14">
      <c r="A30" s="103"/>
      <c r="B30" s="3" t="s">
        <v>64</v>
      </c>
      <c r="C30" s="6" t="s">
        <v>65</v>
      </c>
      <c r="D30" s="7"/>
      <c r="E30" s="8" t="s">
        <v>344</v>
      </c>
      <c r="F30" s="8"/>
      <c r="G30" s="53"/>
      <c r="K30" s="4"/>
      <c r="L30" s="4"/>
      <c r="M30" s="5"/>
      <c r="N30" s="4"/>
    </row>
    <row r="31" spans="1:14">
      <c r="A31" s="103"/>
      <c r="B31" s="3" t="s">
        <v>65</v>
      </c>
      <c r="C31" s="6" t="s">
        <v>62</v>
      </c>
      <c r="D31" s="7"/>
      <c r="E31" s="8" t="s">
        <v>345</v>
      </c>
      <c r="F31" s="8"/>
      <c r="G31" s="53"/>
      <c r="K31" s="4"/>
      <c r="L31" s="4"/>
      <c r="M31" s="5"/>
      <c r="N31" s="4"/>
    </row>
    <row r="32" spans="1:14">
      <c r="A32" s="103" t="s">
        <v>7</v>
      </c>
      <c r="B32" s="3" t="s">
        <v>66</v>
      </c>
      <c r="C32" s="6" t="s">
        <v>101</v>
      </c>
      <c r="D32" s="7"/>
      <c r="E32" s="8" t="s">
        <v>346</v>
      </c>
      <c r="F32" s="8"/>
      <c r="G32" s="53"/>
      <c r="K32" s="4"/>
      <c r="L32" s="4"/>
      <c r="M32" s="5"/>
      <c r="N32" s="4"/>
    </row>
    <row r="33" spans="1:14">
      <c r="A33" s="103"/>
      <c r="B33" s="3" t="s">
        <v>67</v>
      </c>
      <c r="C33" s="6" t="s">
        <v>102</v>
      </c>
      <c r="D33" s="7"/>
      <c r="E33" s="8" t="s">
        <v>347</v>
      </c>
      <c r="F33" s="8"/>
      <c r="G33" s="53"/>
      <c r="K33" s="4"/>
      <c r="L33" s="4"/>
      <c r="M33" s="5"/>
      <c r="N33" s="4"/>
    </row>
    <row r="34" spans="1:14">
      <c r="A34" s="103"/>
      <c r="B34" s="3" t="s">
        <v>68</v>
      </c>
      <c r="C34" s="6" t="s">
        <v>103</v>
      </c>
      <c r="D34" s="7" t="s">
        <v>864</v>
      </c>
      <c r="E34" s="8" t="s">
        <v>348</v>
      </c>
      <c r="F34" s="8"/>
      <c r="G34" s="53">
        <v>2500</v>
      </c>
      <c r="H34" s="3">
        <f t="shared" si="0"/>
        <v>2500</v>
      </c>
      <c r="I34" s="9">
        <f>H34/SUM($H$34:$H$69)</f>
        <v>5.7168991538989251E-2</v>
      </c>
      <c r="K34" s="4"/>
      <c r="L34" s="4"/>
      <c r="M34" s="5"/>
      <c r="N34" s="4"/>
    </row>
    <row r="35" spans="1:14">
      <c r="A35" s="103"/>
      <c r="B35" s="3" t="s">
        <v>69</v>
      </c>
      <c r="C35" s="6" t="s">
        <v>100</v>
      </c>
      <c r="D35" s="7"/>
      <c r="E35" s="8" t="s">
        <v>349</v>
      </c>
      <c r="F35" s="8"/>
      <c r="G35" s="53"/>
      <c r="K35" s="4"/>
      <c r="L35" s="4"/>
      <c r="M35" s="5"/>
      <c r="N35" s="4"/>
    </row>
    <row r="36" spans="1:14">
      <c r="A36" s="103"/>
      <c r="B36" s="3" t="s">
        <v>70</v>
      </c>
      <c r="C36" s="6" t="s">
        <v>97</v>
      </c>
      <c r="D36" s="28"/>
      <c r="E36" s="8" t="s">
        <v>350</v>
      </c>
      <c r="F36" s="8"/>
      <c r="G36" s="54"/>
      <c r="K36" s="4"/>
      <c r="L36" s="4"/>
      <c r="M36" s="5"/>
      <c r="N36" s="4"/>
    </row>
    <row r="37" spans="1:14">
      <c r="A37" s="103"/>
      <c r="B37" s="3" t="s">
        <v>71</v>
      </c>
      <c r="C37" s="6" t="s">
        <v>98</v>
      </c>
      <c r="D37" s="7"/>
      <c r="E37" s="8" t="s">
        <v>351</v>
      </c>
      <c r="F37" s="8"/>
      <c r="G37" s="53"/>
      <c r="K37" s="4"/>
      <c r="L37" s="4"/>
      <c r="M37" s="5"/>
      <c r="N37" s="4"/>
    </row>
    <row r="38" spans="1:14">
      <c r="A38" s="103"/>
      <c r="B38" s="3" t="s">
        <v>72</v>
      </c>
      <c r="C38" s="6" t="s">
        <v>95</v>
      </c>
      <c r="D38" s="7"/>
      <c r="E38" s="8" t="s">
        <v>352</v>
      </c>
      <c r="F38" s="8"/>
      <c r="G38" s="53"/>
      <c r="K38" s="4"/>
      <c r="L38" s="4"/>
      <c r="M38" s="5"/>
      <c r="N38" s="4"/>
    </row>
    <row r="39" spans="1:14">
      <c r="A39" s="103"/>
      <c r="B39" s="3" t="s">
        <v>73</v>
      </c>
      <c r="C39" s="6" t="s">
        <v>96</v>
      </c>
      <c r="D39" s="7"/>
      <c r="E39" s="8" t="s">
        <v>353</v>
      </c>
      <c r="F39" s="8"/>
      <c r="G39" s="53"/>
      <c r="K39" s="4"/>
      <c r="L39" s="4"/>
      <c r="M39" s="5"/>
      <c r="N39" s="4"/>
    </row>
    <row r="40" spans="1:14">
      <c r="A40" s="103"/>
      <c r="B40" s="3" t="s">
        <v>74</v>
      </c>
      <c r="C40" s="6" t="s">
        <v>99</v>
      </c>
      <c r="D40" s="7"/>
      <c r="E40" s="8" t="s">
        <v>354</v>
      </c>
      <c r="F40" s="8"/>
      <c r="G40" s="53"/>
      <c r="K40" s="4"/>
      <c r="L40" s="4"/>
      <c r="M40" s="5"/>
      <c r="N40" s="4"/>
    </row>
    <row r="41" spans="1:14">
      <c r="A41" s="103"/>
      <c r="B41" s="3" t="s">
        <v>75</v>
      </c>
      <c r="C41" s="6" t="s">
        <v>93</v>
      </c>
      <c r="D41" s="7"/>
      <c r="E41" s="8" t="s">
        <v>355</v>
      </c>
      <c r="F41" s="8"/>
      <c r="G41" s="53"/>
      <c r="K41" s="4"/>
      <c r="L41" s="4"/>
      <c r="M41" s="5"/>
      <c r="N41" s="4"/>
    </row>
    <row r="42" spans="1:14">
      <c r="A42" s="103"/>
      <c r="B42" s="3" t="s">
        <v>76</v>
      </c>
      <c r="C42" s="6" t="s">
        <v>94</v>
      </c>
      <c r="D42" s="7" t="s">
        <v>863</v>
      </c>
      <c r="E42" s="8" t="s">
        <v>356</v>
      </c>
      <c r="F42" s="8"/>
      <c r="G42" s="53">
        <v>1180</v>
      </c>
      <c r="H42" s="3">
        <f t="shared" si="0"/>
        <v>1180</v>
      </c>
      <c r="I42" s="9">
        <f t="shared" ref="I42:I69" si="3">H42/SUM($H$34:$H$69)</f>
        <v>2.6983764006402927E-2</v>
      </c>
      <c r="K42" s="4"/>
      <c r="L42" s="4"/>
      <c r="M42" s="5"/>
      <c r="N42" s="4"/>
    </row>
    <row r="43" spans="1:14">
      <c r="A43" s="103"/>
      <c r="B43" s="3" t="s">
        <v>77</v>
      </c>
      <c r="C43" s="6" t="s">
        <v>92</v>
      </c>
      <c r="D43" s="7"/>
      <c r="E43" s="8" t="s">
        <v>357</v>
      </c>
      <c r="F43" s="8"/>
      <c r="G43" s="53"/>
      <c r="K43" s="4"/>
      <c r="L43" s="4"/>
      <c r="M43" s="5"/>
      <c r="N43" s="4"/>
    </row>
    <row r="44" spans="1:14" ht="45">
      <c r="A44" s="103"/>
      <c r="B44" s="3" t="s">
        <v>78</v>
      </c>
      <c r="C44" s="6" t="s">
        <v>91</v>
      </c>
      <c r="D44" s="7" t="s">
        <v>862</v>
      </c>
      <c r="E44" s="8" t="s">
        <v>358</v>
      </c>
      <c r="F44" s="8">
        <v>2400</v>
      </c>
      <c r="G44" s="53">
        <f>1800+1000</f>
        <v>2800</v>
      </c>
      <c r="H44" s="3">
        <f t="shared" si="0"/>
        <v>5200</v>
      </c>
      <c r="I44" s="9">
        <f t="shared" si="3"/>
        <v>0.11891150240109764</v>
      </c>
      <c r="M44" s="10"/>
    </row>
    <row r="45" spans="1:14">
      <c r="A45" s="103"/>
      <c r="B45" s="3" t="s">
        <v>79</v>
      </c>
      <c r="C45" s="6" t="s">
        <v>90</v>
      </c>
      <c r="D45" s="7" t="s">
        <v>359</v>
      </c>
      <c r="E45" s="8" t="s">
        <v>359</v>
      </c>
      <c r="F45" s="8">
        <v>3800</v>
      </c>
      <c r="G45" s="53"/>
      <c r="H45" s="3">
        <f t="shared" si="0"/>
        <v>3800</v>
      </c>
      <c r="I45" s="9">
        <f t="shared" si="3"/>
        <v>8.6896867139263659E-2</v>
      </c>
      <c r="M45" s="10"/>
    </row>
    <row r="46" spans="1:14">
      <c r="A46" s="103"/>
      <c r="B46" s="3" t="s">
        <v>80</v>
      </c>
      <c r="C46" s="6" t="s">
        <v>89</v>
      </c>
      <c r="D46" s="7" t="s">
        <v>360</v>
      </c>
      <c r="E46" s="8" t="s">
        <v>360</v>
      </c>
      <c r="F46" s="8"/>
      <c r="G46" s="53">
        <v>1100</v>
      </c>
      <c r="H46" s="3">
        <f t="shared" si="0"/>
        <v>1100</v>
      </c>
      <c r="I46" s="9">
        <f t="shared" si="3"/>
        <v>2.515435627715527E-2</v>
      </c>
      <c r="M46" s="10"/>
    </row>
    <row r="47" spans="1:14">
      <c r="A47" s="103"/>
      <c r="B47" s="3" t="s">
        <v>81</v>
      </c>
      <c r="C47" s="6" t="s">
        <v>88</v>
      </c>
      <c r="D47" s="7"/>
      <c r="E47" s="8" t="s">
        <v>361</v>
      </c>
      <c r="F47" s="8"/>
      <c r="G47" s="53"/>
      <c r="M47" s="10"/>
    </row>
    <row r="48" spans="1:14">
      <c r="A48" s="103"/>
      <c r="B48" s="3" t="s">
        <v>82</v>
      </c>
      <c r="C48" s="6" t="s">
        <v>87</v>
      </c>
      <c r="D48" s="7" t="s">
        <v>816</v>
      </c>
      <c r="E48" s="8" t="s">
        <v>362</v>
      </c>
      <c r="F48" s="8"/>
      <c r="G48" s="53">
        <v>400</v>
      </c>
      <c r="H48" s="3">
        <f t="shared" si="0"/>
        <v>400</v>
      </c>
      <c r="I48" s="9">
        <f t="shared" si="3"/>
        <v>9.1470386462382796E-3</v>
      </c>
      <c r="M48" s="10"/>
    </row>
    <row r="49" spans="1:13">
      <c r="A49" s="103"/>
      <c r="B49" s="3" t="s">
        <v>83</v>
      </c>
      <c r="C49" s="6" t="s">
        <v>86</v>
      </c>
      <c r="D49" s="7"/>
      <c r="E49" s="8" t="s">
        <v>363</v>
      </c>
      <c r="F49" s="8"/>
      <c r="G49" s="53"/>
      <c r="M49" s="10"/>
    </row>
    <row r="50" spans="1:13">
      <c r="A50" s="103"/>
      <c r="B50" s="3" t="s">
        <v>84</v>
      </c>
      <c r="C50" s="6" t="s">
        <v>85</v>
      </c>
      <c r="D50" s="7"/>
      <c r="E50" s="8" t="s">
        <v>364</v>
      </c>
      <c r="F50" s="8"/>
      <c r="G50" s="53"/>
      <c r="M50" s="10"/>
    </row>
    <row r="51" spans="1:13" ht="30">
      <c r="A51" s="103"/>
      <c r="B51" s="3" t="s">
        <v>85</v>
      </c>
      <c r="C51" s="6" t="s">
        <v>84</v>
      </c>
      <c r="D51" s="7" t="s">
        <v>866</v>
      </c>
      <c r="E51" s="8" t="s">
        <v>365</v>
      </c>
      <c r="F51" s="8">
        <v>5200</v>
      </c>
      <c r="G51" s="53">
        <v>1000</v>
      </c>
      <c r="H51" s="3">
        <f t="shared" si="0"/>
        <v>6200</v>
      </c>
      <c r="I51" s="9">
        <f t="shared" si="3"/>
        <v>0.14177909901669333</v>
      </c>
      <c r="M51" s="10"/>
    </row>
    <row r="52" spans="1:13">
      <c r="A52" s="103"/>
      <c r="B52" s="3" t="s">
        <v>86</v>
      </c>
      <c r="C52" s="6" t="s">
        <v>83</v>
      </c>
      <c r="D52" s="7"/>
      <c r="E52" s="8" t="s">
        <v>366</v>
      </c>
      <c r="F52" s="8"/>
      <c r="G52" s="53"/>
      <c r="M52" s="10"/>
    </row>
    <row r="53" spans="1:13">
      <c r="A53" s="103"/>
      <c r="B53" s="3" t="s">
        <v>87</v>
      </c>
      <c r="C53" s="6" t="s">
        <v>82</v>
      </c>
      <c r="D53" s="7"/>
      <c r="E53" s="8" t="s">
        <v>367</v>
      </c>
      <c r="F53" s="8"/>
      <c r="G53" s="53"/>
      <c r="M53" s="10"/>
    </row>
    <row r="54" spans="1:13" ht="30">
      <c r="A54" s="103"/>
      <c r="B54" s="3" t="s">
        <v>88</v>
      </c>
      <c r="C54" s="6" t="s">
        <v>81</v>
      </c>
      <c r="D54" s="7" t="s">
        <v>865</v>
      </c>
      <c r="E54" s="8" t="s">
        <v>368</v>
      </c>
      <c r="F54" s="8"/>
      <c r="G54" s="53">
        <f>1100+620</f>
        <v>1720</v>
      </c>
      <c r="H54" s="3">
        <f t="shared" si="0"/>
        <v>1720</v>
      </c>
      <c r="I54" s="9">
        <f t="shared" si="3"/>
        <v>3.9332266178824606E-2</v>
      </c>
      <c r="M54" s="10"/>
    </row>
    <row r="55" spans="1:13">
      <c r="A55" s="103"/>
      <c r="B55" s="3" t="s">
        <v>89</v>
      </c>
      <c r="C55" s="6" t="s">
        <v>78</v>
      </c>
      <c r="D55" s="3" t="s">
        <v>836</v>
      </c>
      <c r="E55" s="8" t="s">
        <v>369</v>
      </c>
      <c r="F55" s="8">
        <v>11560</v>
      </c>
      <c r="H55" s="3">
        <f t="shared" si="0"/>
        <v>11560</v>
      </c>
      <c r="I55" s="9">
        <f t="shared" si="3"/>
        <v>0.26434941687628633</v>
      </c>
      <c r="M55" s="10"/>
    </row>
    <row r="56" spans="1:13">
      <c r="A56" s="103"/>
      <c r="B56" s="3" t="s">
        <v>90</v>
      </c>
      <c r="C56" s="6" t="s">
        <v>77</v>
      </c>
      <c r="D56" s="28"/>
      <c r="E56" s="8" t="s">
        <v>370</v>
      </c>
      <c r="F56" s="8"/>
      <c r="G56" s="54"/>
      <c r="M56" s="10"/>
    </row>
    <row r="57" spans="1:13">
      <c r="A57" s="103"/>
      <c r="B57" s="3" t="s">
        <v>91</v>
      </c>
      <c r="C57" s="6" t="s">
        <v>76</v>
      </c>
      <c r="D57" s="7"/>
      <c r="E57" s="8" t="s">
        <v>371</v>
      </c>
      <c r="F57" s="8"/>
      <c r="G57" s="53"/>
      <c r="M57" s="10"/>
    </row>
    <row r="58" spans="1:13">
      <c r="A58" s="103"/>
      <c r="B58" s="3" t="s">
        <v>92</v>
      </c>
      <c r="C58" s="6" t="s">
        <v>79</v>
      </c>
      <c r="D58" s="7"/>
      <c r="E58" s="8" t="s">
        <v>372</v>
      </c>
      <c r="F58" s="8"/>
      <c r="G58" s="53"/>
      <c r="M58" s="10"/>
    </row>
    <row r="59" spans="1:13" ht="30">
      <c r="A59" s="103"/>
      <c r="B59" s="3" t="s">
        <v>93</v>
      </c>
      <c r="C59" s="6" t="s">
        <v>80</v>
      </c>
      <c r="D59" s="7" t="s">
        <v>817</v>
      </c>
      <c r="E59" s="8" t="s">
        <v>373</v>
      </c>
      <c r="F59" s="8"/>
      <c r="G59" s="53">
        <f>600+150+480</f>
        <v>1230</v>
      </c>
      <c r="H59" s="3">
        <f t="shared" si="0"/>
        <v>1230</v>
      </c>
      <c r="I59" s="9">
        <f t="shared" si="3"/>
        <v>2.8127143837182712E-2</v>
      </c>
      <c r="M59" s="10"/>
    </row>
    <row r="60" spans="1:13">
      <c r="A60" s="103"/>
      <c r="B60" s="3" t="s">
        <v>94</v>
      </c>
      <c r="C60" s="6" t="s">
        <v>75</v>
      </c>
      <c r="D60" s="7"/>
      <c r="E60" s="8" t="s">
        <v>374</v>
      </c>
      <c r="F60" s="8"/>
      <c r="G60" s="53"/>
      <c r="M60" s="10"/>
    </row>
    <row r="61" spans="1:13">
      <c r="A61" s="103"/>
      <c r="B61" s="3" t="s">
        <v>95</v>
      </c>
      <c r="C61" s="6" t="s">
        <v>73</v>
      </c>
      <c r="D61" s="7"/>
      <c r="E61" s="8" t="s">
        <v>375</v>
      </c>
      <c r="F61" s="8"/>
      <c r="G61" s="53"/>
      <c r="M61" s="10"/>
    </row>
    <row r="62" spans="1:13">
      <c r="A62" s="103"/>
      <c r="B62" s="3" t="s">
        <v>96</v>
      </c>
      <c r="C62" s="6" t="s">
        <v>74</v>
      </c>
      <c r="E62" s="8" t="s">
        <v>376</v>
      </c>
      <c r="F62" s="8"/>
      <c r="M62" s="10"/>
    </row>
    <row r="63" spans="1:13" ht="45">
      <c r="A63" s="103"/>
      <c r="B63" s="3" t="s">
        <v>97</v>
      </c>
      <c r="C63" s="6" t="s">
        <v>72</v>
      </c>
      <c r="D63" s="7" t="s">
        <v>861</v>
      </c>
      <c r="E63" s="8" t="s">
        <v>377</v>
      </c>
      <c r="F63" s="8">
        <f>2760+3240</f>
        <v>6000</v>
      </c>
      <c r="G63" s="53">
        <f>350+300</f>
        <v>650</v>
      </c>
      <c r="H63" s="3">
        <f t="shared" si="0"/>
        <v>6650</v>
      </c>
      <c r="I63" s="9">
        <f t="shared" si="3"/>
        <v>0.15206951749371142</v>
      </c>
      <c r="M63" s="10"/>
    </row>
    <row r="64" spans="1:13" ht="45">
      <c r="A64" s="103"/>
      <c r="B64" s="3" t="s">
        <v>98</v>
      </c>
      <c r="C64" s="6" t="s">
        <v>69</v>
      </c>
      <c r="D64" s="7" t="s">
        <v>867</v>
      </c>
      <c r="E64" s="8" t="s">
        <v>378</v>
      </c>
      <c r="F64" s="8"/>
      <c r="G64" s="43">
        <f>90+100+900</f>
        <v>1090</v>
      </c>
      <c r="H64" s="3">
        <f t="shared" si="0"/>
        <v>1090</v>
      </c>
      <c r="I64" s="9">
        <f t="shared" si="3"/>
        <v>2.4925680310999315E-2</v>
      </c>
      <c r="M64" s="10"/>
    </row>
    <row r="65" spans="1:13">
      <c r="A65" s="103"/>
      <c r="B65" s="3" t="s">
        <v>99</v>
      </c>
      <c r="C65" s="6" t="s">
        <v>70</v>
      </c>
      <c r="D65" s="7"/>
      <c r="E65" s="8" t="s">
        <v>379</v>
      </c>
      <c r="F65" s="8"/>
      <c r="G65" s="53"/>
      <c r="M65" s="10"/>
    </row>
    <row r="66" spans="1:13">
      <c r="A66" s="103"/>
      <c r="B66" s="3" t="s">
        <v>100</v>
      </c>
      <c r="C66" s="6" t="s">
        <v>68</v>
      </c>
      <c r="E66" s="8" t="s">
        <v>380</v>
      </c>
      <c r="F66" s="8"/>
      <c r="M66" s="10"/>
    </row>
    <row r="67" spans="1:13">
      <c r="A67" s="103"/>
      <c r="B67" s="3" t="s">
        <v>101</v>
      </c>
      <c r="C67" s="6" t="s">
        <v>71</v>
      </c>
      <c r="D67" s="7"/>
      <c r="E67" s="8" t="s">
        <v>381</v>
      </c>
      <c r="F67" s="8"/>
      <c r="G67" s="53"/>
      <c r="M67" s="10"/>
    </row>
    <row r="68" spans="1:13">
      <c r="A68" s="103"/>
      <c r="B68" s="3" t="s">
        <v>102</v>
      </c>
      <c r="C68" s="6" t="s">
        <v>67</v>
      </c>
      <c r="E68" s="8" t="s">
        <v>382</v>
      </c>
      <c r="F68" s="8"/>
      <c r="M68" s="10"/>
    </row>
    <row r="69" spans="1:13">
      <c r="A69" s="103"/>
      <c r="B69" s="3" t="s">
        <v>103</v>
      </c>
      <c r="C69" s="6" t="s">
        <v>66</v>
      </c>
      <c r="D69" s="7" t="s">
        <v>868</v>
      </c>
      <c r="E69" s="8" t="s">
        <v>383</v>
      </c>
      <c r="F69" s="8"/>
      <c r="G69" s="53">
        <v>1100</v>
      </c>
      <c r="H69" s="3">
        <f t="shared" ref="H69:H126" si="4">SUM($F69:$G69)</f>
        <v>1100</v>
      </c>
      <c r="I69" s="9">
        <f t="shared" si="3"/>
        <v>2.515435627715527E-2</v>
      </c>
      <c r="M69" s="10"/>
    </row>
    <row r="70" spans="1:13">
      <c r="A70" s="50" t="s">
        <v>623</v>
      </c>
      <c r="B70" s="3" t="s">
        <v>384</v>
      </c>
      <c r="C70" s="6" t="s">
        <v>384</v>
      </c>
      <c r="D70" s="7"/>
      <c r="E70" s="8" t="s">
        <v>385</v>
      </c>
      <c r="F70" s="8"/>
      <c r="G70" s="53"/>
      <c r="M70" s="10"/>
    </row>
    <row r="71" spans="1:13">
      <c r="A71" s="103" t="s">
        <v>8</v>
      </c>
      <c r="B71" s="3" t="s">
        <v>104</v>
      </c>
      <c r="C71" s="6" t="s">
        <v>106</v>
      </c>
      <c r="D71" s="7"/>
      <c r="E71" s="8" t="s">
        <v>386</v>
      </c>
      <c r="F71" s="8"/>
      <c r="G71" s="53"/>
      <c r="M71" s="10"/>
    </row>
    <row r="72" spans="1:13">
      <c r="A72" s="103"/>
      <c r="B72" s="3" t="s">
        <v>105</v>
      </c>
      <c r="C72" s="6" t="s">
        <v>105</v>
      </c>
      <c r="D72" s="7"/>
      <c r="E72" s="8" t="s">
        <v>387</v>
      </c>
      <c r="F72" s="8"/>
      <c r="G72" s="53"/>
      <c r="M72" s="10"/>
    </row>
    <row r="73" spans="1:13">
      <c r="A73" s="103"/>
      <c r="B73" s="3" t="s">
        <v>106</v>
      </c>
      <c r="C73" s="6" t="s">
        <v>104</v>
      </c>
      <c r="D73" s="7"/>
      <c r="E73" s="8" t="s">
        <v>388</v>
      </c>
      <c r="F73" s="8"/>
      <c r="G73" s="53"/>
      <c r="M73" s="10"/>
    </row>
    <row r="74" spans="1:13" ht="30">
      <c r="A74" s="103" t="s">
        <v>9</v>
      </c>
      <c r="B74" s="3" t="s">
        <v>107</v>
      </c>
      <c r="C74" s="6" t="s">
        <v>114</v>
      </c>
      <c r="D74" s="7" t="s">
        <v>871</v>
      </c>
      <c r="E74" s="8" t="s">
        <v>389</v>
      </c>
      <c r="F74" s="8"/>
      <c r="G74" s="53">
        <f>400+800</f>
        <v>1200</v>
      </c>
      <c r="H74" s="3">
        <f t="shared" si="4"/>
        <v>1200</v>
      </c>
      <c r="I74" s="9">
        <f>H74/SUM($H$74:$H$82)</f>
        <v>0.34782608695652173</v>
      </c>
      <c r="M74" s="10"/>
    </row>
    <row r="75" spans="1:13">
      <c r="A75" s="103"/>
      <c r="B75" s="3" t="s">
        <v>108</v>
      </c>
      <c r="C75" s="6" t="s">
        <v>390</v>
      </c>
      <c r="D75" s="7"/>
      <c r="E75" s="8" t="s">
        <v>391</v>
      </c>
      <c r="F75" s="8"/>
      <c r="G75" s="53"/>
      <c r="M75" s="10"/>
    </row>
    <row r="76" spans="1:13">
      <c r="A76" s="103"/>
      <c r="B76" s="3" t="s">
        <v>109</v>
      </c>
      <c r="C76" s="6" t="s">
        <v>392</v>
      </c>
      <c r="D76" s="7"/>
      <c r="E76" s="8" t="s">
        <v>393</v>
      </c>
      <c r="F76" s="8"/>
      <c r="G76" s="53"/>
    </row>
    <row r="77" spans="1:13">
      <c r="A77" s="103"/>
      <c r="B77" s="3" t="s">
        <v>110</v>
      </c>
      <c r="C77" s="6" t="s">
        <v>394</v>
      </c>
      <c r="D77" s="7"/>
      <c r="E77" s="8" t="s">
        <v>395</v>
      </c>
      <c r="F77" s="8"/>
      <c r="G77" s="53"/>
    </row>
    <row r="78" spans="1:13">
      <c r="A78" s="103"/>
      <c r="B78" s="3" t="s">
        <v>111</v>
      </c>
      <c r="C78" s="6" t="s">
        <v>115</v>
      </c>
      <c r="D78" s="7"/>
      <c r="E78" s="8" t="s">
        <v>396</v>
      </c>
      <c r="F78" s="8"/>
      <c r="G78" s="53"/>
    </row>
    <row r="79" spans="1:13">
      <c r="A79" s="103"/>
      <c r="B79" s="3" t="s">
        <v>112</v>
      </c>
      <c r="C79" s="6" t="s">
        <v>110</v>
      </c>
      <c r="D79" s="7" t="s">
        <v>780</v>
      </c>
      <c r="E79" s="8" t="s">
        <v>397</v>
      </c>
      <c r="F79" s="8"/>
      <c r="G79" s="53">
        <v>600</v>
      </c>
      <c r="H79" s="3">
        <f t="shared" si="4"/>
        <v>600</v>
      </c>
      <c r="I79" s="9">
        <f t="shared" ref="I79:I82" si="5">H79/SUM($H$74:$H$82)</f>
        <v>0.17391304347826086</v>
      </c>
    </row>
    <row r="80" spans="1:13">
      <c r="A80" s="103"/>
      <c r="B80" s="3" t="s">
        <v>113</v>
      </c>
      <c r="C80" s="6" t="s">
        <v>112</v>
      </c>
      <c r="D80" s="7"/>
      <c r="E80" s="8" t="s">
        <v>398</v>
      </c>
      <c r="F80" s="8"/>
      <c r="G80" s="53"/>
    </row>
    <row r="81" spans="1:9">
      <c r="A81" s="103"/>
      <c r="B81" s="3" t="s">
        <v>114</v>
      </c>
      <c r="C81" s="6" t="s">
        <v>111</v>
      </c>
      <c r="D81" s="7"/>
      <c r="E81" s="8" t="s">
        <v>399</v>
      </c>
      <c r="F81" s="8"/>
      <c r="G81" s="53"/>
    </row>
    <row r="82" spans="1:9" ht="30">
      <c r="A82" s="103"/>
      <c r="B82" s="3" t="s">
        <v>115</v>
      </c>
      <c r="C82" s="6" t="s">
        <v>107</v>
      </c>
      <c r="D82" s="7" t="s">
        <v>872</v>
      </c>
      <c r="E82" s="8" t="s">
        <v>400</v>
      </c>
      <c r="F82" s="8"/>
      <c r="G82" s="53">
        <f>1200+450</f>
        <v>1650</v>
      </c>
      <c r="H82" s="3">
        <f t="shared" si="4"/>
        <v>1650</v>
      </c>
      <c r="I82" s="9">
        <f t="shared" si="5"/>
        <v>0.47826086956521741</v>
      </c>
    </row>
    <row r="83" spans="1:9">
      <c r="A83" s="103"/>
      <c r="C83" s="6" t="s">
        <v>401</v>
      </c>
      <c r="D83" s="7"/>
      <c r="E83" s="8" t="s">
        <v>402</v>
      </c>
      <c r="F83" s="8"/>
      <c r="G83" s="53"/>
    </row>
    <row r="84" spans="1:9">
      <c r="A84" s="103"/>
      <c r="C84" s="6" t="s">
        <v>113</v>
      </c>
      <c r="D84" s="7"/>
      <c r="E84" s="8" t="s">
        <v>403</v>
      </c>
      <c r="F84" s="8"/>
      <c r="G84" s="53"/>
    </row>
    <row r="85" spans="1:9">
      <c r="A85" s="103"/>
      <c r="C85" s="6" t="s">
        <v>108</v>
      </c>
      <c r="D85" s="7"/>
      <c r="E85" s="8" t="s">
        <v>404</v>
      </c>
      <c r="F85" s="8"/>
      <c r="G85" s="53"/>
    </row>
    <row r="86" spans="1:9">
      <c r="A86" s="103"/>
      <c r="C86" s="6" t="s">
        <v>109</v>
      </c>
      <c r="D86" s="7"/>
      <c r="E86" s="8" t="s">
        <v>405</v>
      </c>
      <c r="F86" s="8"/>
      <c r="G86" s="53"/>
    </row>
    <row r="87" spans="1:9">
      <c r="A87" s="103" t="s">
        <v>10</v>
      </c>
      <c r="B87" s="3" t="s">
        <v>116</v>
      </c>
      <c r="C87" s="6" t="s">
        <v>120</v>
      </c>
      <c r="D87" s="7" t="s">
        <v>891</v>
      </c>
      <c r="E87" s="8" t="s">
        <v>406</v>
      </c>
      <c r="F87" s="8"/>
      <c r="G87" s="53">
        <v>700</v>
      </c>
      <c r="H87" s="3">
        <f t="shared" si="4"/>
        <v>700</v>
      </c>
      <c r="I87" s="9">
        <f>H87/SUM($H$87:$H$105)</f>
        <v>3.108348134991119E-2</v>
      </c>
    </row>
    <row r="88" spans="1:9" ht="30">
      <c r="A88" s="103"/>
      <c r="B88" s="3" t="s">
        <v>117</v>
      </c>
      <c r="C88" s="6" t="s">
        <v>117</v>
      </c>
      <c r="D88" s="7" t="s">
        <v>843</v>
      </c>
      <c r="E88" s="8" t="s">
        <v>407</v>
      </c>
      <c r="F88" s="8">
        <f>4200+1200</f>
        <v>5400</v>
      </c>
      <c r="G88" s="53"/>
      <c r="H88" s="3">
        <f t="shared" si="4"/>
        <v>5400</v>
      </c>
      <c r="I88" s="9">
        <f t="shared" ref="I88:I101" si="6">H88/SUM($H$87:$H$105)</f>
        <v>0.23978685612788633</v>
      </c>
    </row>
    <row r="89" spans="1:9" ht="30">
      <c r="A89" s="103"/>
      <c r="B89" s="3" t="s">
        <v>118</v>
      </c>
      <c r="C89" s="6" t="s">
        <v>128</v>
      </c>
      <c r="D89" s="7" t="s">
        <v>892</v>
      </c>
      <c r="E89" s="8" t="s">
        <v>408</v>
      </c>
      <c r="F89" s="8"/>
      <c r="G89" s="53">
        <f>240+750</f>
        <v>990</v>
      </c>
      <c r="H89" s="3">
        <f t="shared" si="4"/>
        <v>990</v>
      </c>
      <c r="I89" s="9">
        <f t="shared" si="6"/>
        <v>4.3960923623445829E-2</v>
      </c>
    </row>
    <row r="90" spans="1:9" ht="120">
      <c r="A90" s="103"/>
      <c r="B90" s="3" t="s">
        <v>119</v>
      </c>
      <c r="C90" s="6" t="s">
        <v>118</v>
      </c>
      <c r="D90" s="7" t="s">
        <v>893</v>
      </c>
      <c r="E90" s="8" t="s">
        <v>409</v>
      </c>
      <c r="F90" s="8"/>
      <c r="G90" s="53">
        <f>150+360+800+740+1100+400+130+2450+2000</f>
        <v>8130</v>
      </c>
      <c r="H90" s="3">
        <f t="shared" si="4"/>
        <v>8130</v>
      </c>
      <c r="I90" s="9">
        <f t="shared" si="6"/>
        <v>0.36101243339253997</v>
      </c>
    </row>
    <row r="91" spans="1:9">
      <c r="A91" s="103"/>
      <c r="B91" s="3" t="s">
        <v>120</v>
      </c>
      <c r="C91" s="6" t="s">
        <v>123</v>
      </c>
      <c r="D91" s="7"/>
      <c r="E91" s="8" t="s">
        <v>410</v>
      </c>
      <c r="F91" s="8"/>
      <c r="G91" s="53"/>
    </row>
    <row r="92" spans="1:9">
      <c r="A92" s="103"/>
      <c r="B92" s="3" t="s">
        <v>121</v>
      </c>
      <c r="C92" s="6" t="s">
        <v>119</v>
      </c>
      <c r="D92" s="7"/>
      <c r="E92" s="8" t="s">
        <v>411</v>
      </c>
      <c r="F92" s="8"/>
      <c r="G92" s="53"/>
    </row>
    <row r="93" spans="1:9">
      <c r="A93" s="103"/>
      <c r="B93" s="3" t="s">
        <v>122</v>
      </c>
      <c r="C93" s="6" t="s">
        <v>129</v>
      </c>
      <c r="D93" s="7" t="s">
        <v>895</v>
      </c>
      <c r="E93" s="8" t="s">
        <v>412</v>
      </c>
      <c r="F93" s="8"/>
      <c r="G93" s="53">
        <v>500</v>
      </c>
      <c r="H93" s="3">
        <f t="shared" si="4"/>
        <v>500</v>
      </c>
      <c r="I93" s="9">
        <f t="shared" si="6"/>
        <v>2.2202486678507993E-2</v>
      </c>
    </row>
    <row r="94" spans="1:9">
      <c r="A94" s="103"/>
      <c r="B94" s="3" t="s">
        <v>123</v>
      </c>
      <c r="C94" s="6" t="s">
        <v>124</v>
      </c>
      <c r="D94" s="7" t="s">
        <v>890</v>
      </c>
      <c r="E94" s="8" t="s">
        <v>413</v>
      </c>
      <c r="F94" s="8"/>
      <c r="G94" s="53">
        <v>600</v>
      </c>
      <c r="H94" s="3">
        <f t="shared" si="4"/>
        <v>600</v>
      </c>
      <c r="I94" s="9">
        <f t="shared" si="6"/>
        <v>2.664298401420959E-2</v>
      </c>
    </row>
    <row r="95" spans="1:9">
      <c r="A95" s="103"/>
      <c r="B95" s="3" t="s">
        <v>124</v>
      </c>
      <c r="C95" s="6" t="s">
        <v>126</v>
      </c>
      <c r="D95" s="7"/>
      <c r="E95" s="8" t="s">
        <v>414</v>
      </c>
      <c r="F95" s="8"/>
      <c r="G95" s="53"/>
    </row>
    <row r="96" spans="1:9">
      <c r="A96" s="103"/>
      <c r="B96" s="3" t="s">
        <v>125</v>
      </c>
      <c r="C96" s="6" t="s">
        <v>127</v>
      </c>
      <c r="D96" s="7"/>
      <c r="E96" s="8" t="s">
        <v>415</v>
      </c>
      <c r="F96" s="8"/>
      <c r="G96" s="53"/>
    </row>
    <row r="97" spans="1:9">
      <c r="A97" s="103"/>
      <c r="B97" s="3" t="s">
        <v>126</v>
      </c>
      <c r="C97" s="6" t="s">
        <v>121</v>
      </c>
      <c r="D97" s="7"/>
      <c r="E97" s="8" t="s">
        <v>416</v>
      </c>
      <c r="F97" s="8"/>
      <c r="G97" s="53"/>
    </row>
    <row r="98" spans="1:9">
      <c r="A98" s="103"/>
      <c r="B98" s="3" t="s">
        <v>127</v>
      </c>
      <c r="C98" s="6" t="s">
        <v>125</v>
      </c>
      <c r="D98" s="7" t="s">
        <v>889</v>
      </c>
      <c r="E98" s="8" t="s">
        <v>417</v>
      </c>
      <c r="F98" s="8"/>
      <c r="G98" s="53">
        <v>2400</v>
      </c>
      <c r="H98" s="3">
        <f t="shared" si="4"/>
        <v>2400</v>
      </c>
      <c r="I98" s="9">
        <f t="shared" si="6"/>
        <v>0.10657193605683836</v>
      </c>
    </row>
    <row r="99" spans="1:9">
      <c r="A99" s="103"/>
      <c r="B99" s="3" t="s">
        <v>128</v>
      </c>
      <c r="C99" s="6" t="s">
        <v>122</v>
      </c>
      <c r="D99" s="7"/>
      <c r="E99" s="8" t="s">
        <v>418</v>
      </c>
      <c r="F99" s="8"/>
      <c r="G99" s="53"/>
    </row>
    <row r="100" spans="1:9">
      <c r="A100" s="103"/>
      <c r="B100" s="3" t="s">
        <v>129</v>
      </c>
      <c r="C100" s="6" t="s">
        <v>419</v>
      </c>
      <c r="D100" s="7"/>
      <c r="E100" s="8" t="s">
        <v>420</v>
      </c>
      <c r="F100" s="8"/>
      <c r="G100" s="53"/>
    </row>
    <row r="101" spans="1:9" ht="45">
      <c r="A101" s="103"/>
      <c r="B101" s="3" t="s">
        <v>130</v>
      </c>
      <c r="C101" s="6" t="s">
        <v>130</v>
      </c>
      <c r="D101" s="7" t="s">
        <v>894</v>
      </c>
      <c r="E101" s="8" t="s">
        <v>421</v>
      </c>
      <c r="F101" s="8"/>
      <c r="G101" s="53">
        <f>1300+1200+1300</f>
        <v>3800</v>
      </c>
      <c r="H101" s="3">
        <f t="shared" si="4"/>
        <v>3800</v>
      </c>
      <c r="I101" s="9">
        <f t="shared" si="6"/>
        <v>0.16873889875666073</v>
      </c>
    </row>
    <row r="102" spans="1:9">
      <c r="A102" s="103"/>
      <c r="C102" s="6" t="s">
        <v>116</v>
      </c>
      <c r="D102" s="7"/>
      <c r="E102" s="8" t="s">
        <v>422</v>
      </c>
      <c r="F102" s="8"/>
      <c r="G102" s="53"/>
    </row>
    <row r="103" spans="1:9">
      <c r="A103" s="103"/>
      <c r="C103" s="6" t="s">
        <v>423</v>
      </c>
      <c r="D103" s="7"/>
      <c r="E103" s="8" t="s">
        <v>424</v>
      </c>
      <c r="F103" s="8"/>
      <c r="G103" s="53"/>
    </row>
    <row r="104" spans="1:9">
      <c r="A104" s="103"/>
      <c r="C104" s="6" t="s">
        <v>425</v>
      </c>
      <c r="D104" s="7"/>
      <c r="E104" s="8" t="s">
        <v>426</v>
      </c>
      <c r="F104" s="8"/>
      <c r="G104" s="53"/>
    </row>
    <row r="105" spans="1:9">
      <c r="A105" s="103"/>
      <c r="C105" s="6" t="s">
        <v>427</v>
      </c>
      <c r="D105" s="7"/>
      <c r="E105" s="8" t="s">
        <v>428</v>
      </c>
      <c r="F105" s="8"/>
      <c r="G105" s="53"/>
    </row>
    <row r="106" spans="1:9" ht="45">
      <c r="A106" s="103" t="s">
        <v>11</v>
      </c>
      <c r="B106" s="3" t="s">
        <v>131</v>
      </c>
      <c r="C106" s="6" t="s">
        <v>132</v>
      </c>
      <c r="D106" s="7" t="s">
        <v>857</v>
      </c>
      <c r="E106" s="8" t="s">
        <v>429</v>
      </c>
      <c r="F106" s="8"/>
      <c r="G106" s="53">
        <f>550+700+720</f>
        <v>1970</v>
      </c>
      <c r="H106" s="3">
        <f t="shared" si="4"/>
        <v>1970</v>
      </c>
      <c r="I106" s="9">
        <f>H106/SUM($H$106:$H$132)</f>
        <v>0.10434322033898305</v>
      </c>
    </row>
    <row r="107" spans="1:9">
      <c r="A107" s="103"/>
      <c r="B107" s="3" t="s">
        <v>132</v>
      </c>
      <c r="C107" s="6" t="s">
        <v>143</v>
      </c>
      <c r="D107" s="7"/>
      <c r="E107" s="8" t="s">
        <v>430</v>
      </c>
      <c r="F107" s="8"/>
      <c r="G107" s="53"/>
    </row>
    <row r="108" spans="1:9" ht="30">
      <c r="A108" s="103"/>
      <c r="B108" s="3" t="s">
        <v>133</v>
      </c>
      <c r="C108" s="6" t="s">
        <v>141</v>
      </c>
      <c r="D108" s="7" t="s">
        <v>812</v>
      </c>
      <c r="E108" s="8" t="s">
        <v>431</v>
      </c>
      <c r="F108" s="8"/>
      <c r="G108" s="53">
        <f>90+150</f>
        <v>240</v>
      </c>
      <c r="H108" s="3">
        <f t="shared" si="4"/>
        <v>240</v>
      </c>
      <c r="I108" s="9">
        <f t="shared" ref="I108:I126" si="7">H108/SUM($H$106:$H$132)</f>
        <v>1.2711864406779662E-2</v>
      </c>
    </row>
    <row r="109" spans="1:9">
      <c r="A109" s="103"/>
      <c r="B109" s="3" t="s">
        <v>134</v>
      </c>
      <c r="C109" s="6" t="s">
        <v>138</v>
      </c>
      <c r="E109" s="8" t="s">
        <v>432</v>
      </c>
      <c r="F109" s="8"/>
      <c r="G109" s="53"/>
    </row>
    <row r="110" spans="1:9">
      <c r="A110" s="103"/>
      <c r="B110" s="3" t="s">
        <v>135</v>
      </c>
      <c r="C110" s="12" t="s">
        <v>145</v>
      </c>
      <c r="D110" s="8"/>
      <c r="E110" s="13" t="s">
        <v>433</v>
      </c>
      <c r="F110" s="13"/>
      <c r="G110" s="44"/>
    </row>
    <row r="111" spans="1:9">
      <c r="A111" s="103"/>
      <c r="B111" s="3" t="s">
        <v>136</v>
      </c>
      <c r="C111" s="12" t="s">
        <v>137</v>
      </c>
      <c r="D111" s="28"/>
      <c r="E111" s="13" t="s">
        <v>434</v>
      </c>
      <c r="F111" s="13"/>
      <c r="G111" s="44"/>
    </row>
    <row r="112" spans="1:9" ht="45">
      <c r="A112" s="103"/>
      <c r="B112" s="3" t="s">
        <v>137</v>
      </c>
      <c r="C112" s="6" t="s">
        <v>134</v>
      </c>
      <c r="D112" s="28" t="s">
        <v>859</v>
      </c>
      <c r="E112" s="8" t="s">
        <v>435</v>
      </c>
      <c r="F112" s="8">
        <v>6750</v>
      </c>
      <c r="G112" s="53">
        <f>730+800</f>
        <v>1530</v>
      </c>
      <c r="H112" s="3">
        <f t="shared" si="4"/>
        <v>8280</v>
      </c>
      <c r="I112" s="9">
        <f t="shared" si="7"/>
        <v>0.4385593220338983</v>
      </c>
    </row>
    <row r="113" spans="1:9">
      <c r="A113" s="103"/>
      <c r="B113" s="3" t="s">
        <v>138</v>
      </c>
      <c r="C113" s="6" t="s">
        <v>151</v>
      </c>
      <c r="D113" s="51"/>
      <c r="E113" s="8" t="s">
        <v>436</v>
      </c>
      <c r="F113" s="8"/>
      <c r="G113" s="53"/>
    </row>
    <row r="114" spans="1:9">
      <c r="A114" s="103"/>
      <c r="B114" s="3" t="s">
        <v>139</v>
      </c>
      <c r="C114" s="6" t="s">
        <v>133</v>
      </c>
      <c r="D114" s="7"/>
      <c r="E114" s="8" t="s">
        <v>437</v>
      </c>
      <c r="F114" s="8"/>
      <c r="G114" s="53"/>
    </row>
    <row r="115" spans="1:9">
      <c r="A115" s="103"/>
      <c r="B115" s="3" t="s">
        <v>140</v>
      </c>
      <c r="C115" s="6" t="s">
        <v>148</v>
      </c>
      <c r="D115" s="7"/>
      <c r="E115" s="8" t="s">
        <v>438</v>
      </c>
      <c r="F115" s="8"/>
      <c r="G115" s="53"/>
    </row>
    <row r="116" spans="1:9" ht="30">
      <c r="A116" s="103"/>
      <c r="B116" s="3" t="s">
        <v>141</v>
      </c>
      <c r="C116" s="6" t="s">
        <v>135</v>
      </c>
      <c r="D116" s="7" t="s">
        <v>858</v>
      </c>
      <c r="E116" s="8" t="s">
        <v>439</v>
      </c>
      <c r="F116" s="8"/>
      <c r="G116" s="53">
        <f>460+800</f>
        <v>1260</v>
      </c>
      <c r="H116" s="3">
        <f t="shared" si="4"/>
        <v>1260</v>
      </c>
      <c r="I116" s="9">
        <f t="shared" si="7"/>
        <v>6.6737288135593223E-2</v>
      </c>
    </row>
    <row r="117" spans="1:9">
      <c r="A117" s="103"/>
      <c r="B117" s="3" t="s">
        <v>142</v>
      </c>
      <c r="C117" s="6" t="s">
        <v>136</v>
      </c>
      <c r="D117" s="7"/>
      <c r="E117" s="8" t="s">
        <v>440</v>
      </c>
      <c r="F117" s="8"/>
      <c r="G117" s="53"/>
    </row>
    <row r="118" spans="1:9">
      <c r="A118" s="103"/>
      <c r="B118" s="3" t="s">
        <v>143</v>
      </c>
      <c r="C118" s="6" t="s">
        <v>140</v>
      </c>
      <c r="D118" s="7"/>
      <c r="E118" s="8" t="s">
        <v>441</v>
      </c>
      <c r="F118" s="8"/>
      <c r="G118" s="53"/>
    </row>
    <row r="119" spans="1:9">
      <c r="A119" s="103"/>
      <c r="B119" s="3" t="s">
        <v>144</v>
      </c>
      <c r="C119" s="6" t="s">
        <v>139</v>
      </c>
      <c r="D119" s="7" t="s">
        <v>856</v>
      </c>
      <c r="E119" s="8" t="s">
        <v>442</v>
      </c>
      <c r="F119" s="8"/>
      <c r="G119" s="53">
        <v>1200</v>
      </c>
      <c r="H119" s="3">
        <f t="shared" si="4"/>
        <v>1200</v>
      </c>
      <c r="I119" s="9">
        <f t="shared" si="7"/>
        <v>6.3559322033898302E-2</v>
      </c>
    </row>
    <row r="120" spans="1:9">
      <c r="A120" s="103"/>
      <c r="B120" s="3" t="s">
        <v>145</v>
      </c>
      <c r="C120" s="6" t="s">
        <v>142</v>
      </c>
      <c r="D120" s="7"/>
      <c r="E120" s="8" t="s">
        <v>443</v>
      </c>
      <c r="F120" s="8"/>
      <c r="G120" s="53"/>
    </row>
    <row r="121" spans="1:9">
      <c r="A121" s="103"/>
      <c r="B121" s="3" t="s">
        <v>146</v>
      </c>
      <c r="C121" s="6" t="s">
        <v>144</v>
      </c>
      <c r="D121" s="7"/>
      <c r="E121" s="8" t="s">
        <v>444</v>
      </c>
      <c r="F121" s="8"/>
      <c r="G121" s="53"/>
    </row>
    <row r="122" spans="1:9">
      <c r="A122" s="103"/>
      <c r="B122" s="3" t="s">
        <v>147</v>
      </c>
      <c r="C122" s="6" t="s">
        <v>146</v>
      </c>
      <c r="D122" s="7"/>
      <c r="E122" s="8" t="s">
        <v>445</v>
      </c>
      <c r="F122" s="8"/>
      <c r="G122" s="53"/>
    </row>
    <row r="123" spans="1:9">
      <c r="A123" s="103"/>
      <c r="B123" s="3" t="s">
        <v>148</v>
      </c>
      <c r="C123" s="6" t="s">
        <v>147</v>
      </c>
      <c r="D123" s="7"/>
      <c r="E123" s="8" t="s">
        <v>446</v>
      </c>
      <c r="F123" s="8"/>
      <c r="G123" s="53"/>
    </row>
    <row r="124" spans="1:9">
      <c r="A124" s="103"/>
      <c r="B124" s="3" t="s">
        <v>149</v>
      </c>
      <c r="C124" s="6" t="s">
        <v>150</v>
      </c>
      <c r="D124" s="7"/>
      <c r="E124" s="8" t="s">
        <v>447</v>
      </c>
      <c r="F124" s="8"/>
      <c r="G124" s="53"/>
    </row>
    <row r="125" spans="1:9" ht="45">
      <c r="A125" s="103"/>
      <c r="B125" s="3" t="s">
        <v>150</v>
      </c>
      <c r="C125" s="6" t="s">
        <v>152</v>
      </c>
      <c r="D125" s="7" t="s">
        <v>860</v>
      </c>
      <c r="E125" s="8" t="s">
        <v>448</v>
      </c>
      <c r="F125" s="8"/>
      <c r="G125" s="53">
        <f>100+250</f>
        <v>350</v>
      </c>
      <c r="H125" s="3">
        <f t="shared" si="4"/>
        <v>350</v>
      </c>
      <c r="I125" s="9">
        <f t="shared" si="7"/>
        <v>1.8538135593220338E-2</v>
      </c>
    </row>
    <row r="126" spans="1:9">
      <c r="A126" s="103"/>
      <c r="B126" s="3" t="s">
        <v>151</v>
      </c>
      <c r="C126" s="6" t="s">
        <v>149</v>
      </c>
      <c r="D126" s="7" t="s">
        <v>835</v>
      </c>
      <c r="E126" s="8" t="s">
        <v>449</v>
      </c>
      <c r="F126" s="8">
        <v>5100</v>
      </c>
      <c r="G126" s="53">
        <v>480</v>
      </c>
      <c r="H126" s="3">
        <f t="shared" si="4"/>
        <v>5580</v>
      </c>
      <c r="I126" s="9">
        <f t="shared" si="7"/>
        <v>0.29555084745762711</v>
      </c>
    </row>
    <row r="127" spans="1:9">
      <c r="A127" s="103"/>
      <c r="B127" s="3" t="s">
        <v>152</v>
      </c>
      <c r="C127" s="6" t="s">
        <v>131</v>
      </c>
      <c r="D127" s="7"/>
      <c r="E127" s="8" t="s">
        <v>450</v>
      </c>
      <c r="F127" s="8"/>
      <c r="G127" s="53"/>
    </row>
    <row r="128" spans="1:9">
      <c r="A128" s="103"/>
      <c r="C128" s="6" t="s">
        <v>451</v>
      </c>
      <c r="D128" s="7"/>
      <c r="E128" s="8" t="s">
        <v>452</v>
      </c>
      <c r="F128" s="8"/>
      <c r="G128" s="53"/>
    </row>
    <row r="129" spans="1:9">
      <c r="A129" s="103"/>
      <c r="C129" s="6" t="s">
        <v>453</v>
      </c>
      <c r="D129" s="7"/>
      <c r="E129" s="8" t="s">
        <v>454</v>
      </c>
      <c r="F129" s="8"/>
      <c r="G129" s="53"/>
    </row>
    <row r="130" spans="1:9">
      <c r="A130" s="103"/>
      <c r="C130" s="6" t="s">
        <v>455</v>
      </c>
      <c r="D130" s="7"/>
      <c r="E130" s="8" t="s">
        <v>456</v>
      </c>
      <c r="F130" s="8"/>
      <c r="G130" s="53"/>
    </row>
    <row r="131" spans="1:9">
      <c r="A131" s="103"/>
      <c r="C131" s="6" t="s">
        <v>457</v>
      </c>
      <c r="D131" s="7"/>
      <c r="E131" s="8" t="s">
        <v>458</v>
      </c>
      <c r="F131" s="8"/>
      <c r="G131" s="53"/>
    </row>
    <row r="132" spans="1:9">
      <c r="A132" s="103"/>
      <c r="C132" s="6" t="s">
        <v>459</v>
      </c>
      <c r="D132" s="7"/>
      <c r="E132" s="8" t="s">
        <v>460</v>
      </c>
      <c r="F132" s="8"/>
      <c r="G132" s="53"/>
    </row>
    <row r="133" spans="1:9">
      <c r="A133" s="103" t="s">
        <v>12</v>
      </c>
      <c r="B133" s="3" t="s">
        <v>153</v>
      </c>
      <c r="C133" s="13" t="s">
        <v>461</v>
      </c>
      <c r="D133" s="8" t="s">
        <v>850</v>
      </c>
      <c r="E133" s="13" t="s">
        <v>462</v>
      </c>
      <c r="F133" s="13"/>
      <c r="G133" s="44">
        <v>350</v>
      </c>
      <c r="H133" s="3">
        <f t="shared" ref="H133:H194" si="8">SUM($F133:$G133)</f>
        <v>350</v>
      </c>
      <c r="I133" s="9">
        <f>H133/SUM($H$133:$H$134)</f>
        <v>0.65420560747663548</v>
      </c>
    </row>
    <row r="134" spans="1:9">
      <c r="A134" s="103"/>
      <c r="B134" s="3" t="s">
        <v>154</v>
      </c>
      <c r="C134" s="6" t="s">
        <v>154</v>
      </c>
      <c r="D134" s="7" t="s">
        <v>851</v>
      </c>
      <c r="E134" s="8" t="s">
        <v>463</v>
      </c>
      <c r="F134" s="8"/>
      <c r="G134" s="53">
        <v>185</v>
      </c>
      <c r="H134" s="3">
        <f t="shared" si="8"/>
        <v>185</v>
      </c>
      <c r="I134" s="9">
        <f>H134/SUM($H$133:$H$134)</f>
        <v>0.34579439252336447</v>
      </c>
    </row>
    <row r="135" spans="1:9">
      <c r="A135" s="103"/>
      <c r="C135" s="6" t="s">
        <v>464</v>
      </c>
      <c r="D135" s="7"/>
      <c r="E135" s="8" t="s">
        <v>465</v>
      </c>
      <c r="F135" s="8"/>
      <c r="G135" s="53"/>
    </row>
    <row r="136" spans="1:9">
      <c r="A136" s="103"/>
      <c r="C136" s="6" t="s">
        <v>466</v>
      </c>
      <c r="D136" s="7"/>
      <c r="E136" s="8" t="s">
        <v>467</v>
      </c>
      <c r="F136" s="8"/>
      <c r="G136" s="53"/>
    </row>
    <row r="137" spans="1:9">
      <c r="A137" s="103" t="s">
        <v>13</v>
      </c>
      <c r="B137" s="3" t="s">
        <v>155</v>
      </c>
      <c r="C137" s="6" t="s">
        <v>163</v>
      </c>
      <c r="D137" s="7" t="s">
        <v>875</v>
      </c>
      <c r="E137" s="8" t="s">
        <v>468</v>
      </c>
      <c r="F137" s="8"/>
      <c r="G137" s="53">
        <v>600</v>
      </c>
      <c r="H137" s="3">
        <f t="shared" si="8"/>
        <v>600</v>
      </c>
      <c r="I137" s="9">
        <f>H137/SUM($H$137:$H$155)</f>
        <v>1.7636684303350969E-2</v>
      </c>
    </row>
    <row r="138" spans="1:9">
      <c r="A138" s="103"/>
      <c r="B138" s="3" t="s">
        <v>156</v>
      </c>
      <c r="C138" s="6" t="s">
        <v>156</v>
      </c>
      <c r="D138" s="7" t="s">
        <v>818</v>
      </c>
      <c r="E138" s="8" t="s">
        <v>469</v>
      </c>
      <c r="F138" s="8"/>
      <c r="G138" s="53">
        <v>260</v>
      </c>
      <c r="H138" s="3">
        <f t="shared" si="8"/>
        <v>260</v>
      </c>
      <c r="I138" s="9">
        <f t="shared" ref="I138:I155" si="9">H138/SUM($H$137:$H$155)</f>
        <v>7.6425631981187538E-3</v>
      </c>
    </row>
    <row r="139" spans="1:9">
      <c r="A139" s="103"/>
      <c r="B139" s="3" t="s">
        <v>157</v>
      </c>
      <c r="C139" s="6" t="s">
        <v>167</v>
      </c>
      <c r="D139" s="7"/>
      <c r="E139" s="8" t="s">
        <v>470</v>
      </c>
      <c r="F139" s="8"/>
      <c r="G139" s="53"/>
    </row>
    <row r="140" spans="1:9" ht="180">
      <c r="A140" s="103"/>
      <c r="B140" s="3" t="s">
        <v>158</v>
      </c>
      <c r="C140" s="6" t="s">
        <v>166</v>
      </c>
      <c r="D140" s="7" t="s">
        <v>876</v>
      </c>
      <c r="E140" s="8" t="s">
        <v>471</v>
      </c>
      <c r="F140" s="8"/>
      <c r="G140" s="53">
        <f>100+1200+650+780+250+3850+700+1100+600+150+900+150+800+540</f>
        <v>11770</v>
      </c>
      <c r="H140" s="3">
        <f t="shared" si="8"/>
        <v>11770</v>
      </c>
      <c r="I140" s="9">
        <f t="shared" si="9"/>
        <v>0.34597295708406822</v>
      </c>
    </row>
    <row r="141" spans="1:9">
      <c r="A141" s="103"/>
      <c r="B141" s="3" t="s">
        <v>159</v>
      </c>
      <c r="C141" s="6" t="s">
        <v>175</v>
      </c>
      <c r="D141" s="7"/>
      <c r="E141" s="8" t="s">
        <v>472</v>
      </c>
      <c r="F141" s="8"/>
      <c r="G141" s="53"/>
    </row>
    <row r="142" spans="1:9">
      <c r="A142" s="103"/>
      <c r="B142" s="3" t="s">
        <v>160</v>
      </c>
      <c r="C142" s="6" t="s">
        <v>164</v>
      </c>
      <c r="D142" s="7"/>
      <c r="E142" s="8" t="s">
        <v>473</v>
      </c>
      <c r="F142" s="8"/>
      <c r="G142" s="53"/>
    </row>
    <row r="143" spans="1:9">
      <c r="A143" s="103"/>
      <c r="B143" s="3" t="s">
        <v>161</v>
      </c>
      <c r="C143" s="6" t="s">
        <v>171</v>
      </c>
      <c r="D143" s="7"/>
      <c r="E143" s="8" t="s">
        <v>474</v>
      </c>
      <c r="F143" s="8"/>
      <c r="G143" s="53"/>
    </row>
    <row r="144" spans="1:9">
      <c r="A144" s="103"/>
      <c r="B144" s="3" t="s">
        <v>162</v>
      </c>
      <c r="C144" s="6" t="s">
        <v>174</v>
      </c>
      <c r="D144" s="3" t="s">
        <v>838</v>
      </c>
      <c r="E144" s="8" t="s">
        <v>475</v>
      </c>
      <c r="F144" s="8">
        <v>11500</v>
      </c>
      <c r="G144" s="53"/>
      <c r="H144" s="3">
        <f t="shared" si="8"/>
        <v>11500</v>
      </c>
      <c r="I144" s="9">
        <f t="shared" si="9"/>
        <v>0.33803644914756026</v>
      </c>
    </row>
    <row r="145" spans="1:9">
      <c r="A145" s="103"/>
      <c r="B145" s="3" t="s">
        <v>163</v>
      </c>
      <c r="C145" s="6" t="s">
        <v>173</v>
      </c>
      <c r="D145" s="7"/>
      <c r="E145" s="8" t="s">
        <v>476</v>
      </c>
      <c r="F145" s="8"/>
      <c r="G145" s="53"/>
    </row>
    <row r="146" spans="1:9">
      <c r="A146" s="103"/>
      <c r="B146" s="3" t="s">
        <v>164</v>
      </c>
      <c r="C146" s="6" t="s">
        <v>172</v>
      </c>
      <c r="D146" s="7"/>
      <c r="E146" s="8" t="s">
        <v>477</v>
      </c>
      <c r="F146" s="8"/>
      <c r="G146" s="53"/>
    </row>
    <row r="147" spans="1:9">
      <c r="A147" s="103"/>
      <c r="B147" s="3" t="s">
        <v>165</v>
      </c>
      <c r="C147" s="6" t="s">
        <v>161</v>
      </c>
      <c r="D147" s="3" t="s">
        <v>874</v>
      </c>
      <c r="E147" s="8" t="s">
        <v>478</v>
      </c>
      <c r="F147" s="8"/>
      <c r="G147" s="53">
        <v>500</v>
      </c>
      <c r="H147" s="3">
        <f t="shared" si="8"/>
        <v>500</v>
      </c>
      <c r="I147" s="9">
        <f t="shared" si="9"/>
        <v>1.4697236919459141E-2</v>
      </c>
    </row>
    <row r="148" spans="1:9">
      <c r="A148" s="103"/>
      <c r="B148" s="3" t="s">
        <v>166</v>
      </c>
      <c r="C148" s="6" t="s">
        <v>162</v>
      </c>
      <c r="D148" s="7"/>
      <c r="E148" s="8" t="s">
        <v>479</v>
      </c>
      <c r="F148" s="8"/>
      <c r="G148" s="53"/>
      <c r="I148" s="9">
        <f t="shared" si="9"/>
        <v>0</v>
      </c>
    </row>
    <row r="149" spans="1:9" ht="30">
      <c r="A149" s="103"/>
      <c r="B149" s="3" t="s">
        <v>167</v>
      </c>
      <c r="C149" s="6" t="s">
        <v>158</v>
      </c>
      <c r="D149" s="7" t="s">
        <v>819</v>
      </c>
      <c r="E149" s="8" t="s">
        <v>480</v>
      </c>
      <c r="F149" s="8"/>
      <c r="G149" s="53">
        <v>200</v>
      </c>
      <c r="H149" s="3">
        <f t="shared" si="8"/>
        <v>200</v>
      </c>
      <c r="I149" s="9">
        <f t="shared" si="9"/>
        <v>5.8788947677836569E-3</v>
      </c>
    </row>
    <row r="150" spans="1:9">
      <c r="A150" s="103"/>
      <c r="B150" s="3" t="s">
        <v>168</v>
      </c>
      <c r="C150" s="6" t="s">
        <v>159</v>
      </c>
      <c r="D150" s="7" t="s">
        <v>873</v>
      </c>
      <c r="E150" s="8" t="s">
        <v>481</v>
      </c>
      <c r="F150" s="8"/>
      <c r="G150" s="53">
        <v>600</v>
      </c>
      <c r="H150" s="3">
        <f t="shared" si="8"/>
        <v>600</v>
      </c>
      <c r="I150" s="9">
        <f t="shared" si="9"/>
        <v>1.7636684303350969E-2</v>
      </c>
    </row>
    <row r="151" spans="1:9" ht="75">
      <c r="A151" s="103"/>
      <c r="B151" s="3" t="s">
        <v>169</v>
      </c>
      <c r="C151" s="6" t="s">
        <v>155</v>
      </c>
      <c r="D151" s="28" t="s">
        <v>877</v>
      </c>
      <c r="E151" s="8" t="s">
        <v>482</v>
      </c>
      <c r="F151" s="8"/>
      <c r="G151" s="53">
        <f>600+2200+450+1250+170+1200</f>
        <v>5870</v>
      </c>
      <c r="H151" s="3">
        <f t="shared" si="8"/>
        <v>5870</v>
      </c>
      <c r="I151" s="9">
        <f t="shared" si="9"/>
        <v>0.17254556143445032</v>
      </c>
    </row>
    <row r="152" spans="1:9">
      <c r="A152" s="103"/>
      <c r="B152" s="3" t="s">
        <v>170</v>
      </c>
      <c r="C152" s="6" t="s">
        <v>169</v>
      </c>
      <c r="D152" s="7" t="s">
        <v>822</v>
      </c>
      <c r="E152" s="8" t="s">
        <v>483</v>
      </c>
      <c r="F152" s="8"/>
      <c r="G152" s="53">
        <f>500+770</f>
        <v>1270</v>
      </c>
      <c r="H152" s="3">
        <f t="shared" si="8"/>
        <v>1270</v>
      </c>
      <c r="I152" s="9">
        <f t="shared" si="9"/>
        <v>3.7330981775426222E-2</v>
      </c>
    </row>
    <row r="153" spans="1:9">
      <c r="A153" s="103"/>
      <c r="B153" s="3" t="s">
        <v>171</v>
      </c>
      <c r="C153" s="6" t="s">
        <v>170</v>
      </c>
      <c r="D153" s="7"/>
      <c r="E153" s="8" t="s">
        <v>484</v>
      </c>
      <c r="F153" s="8"/>
      <c r="G153" s="53"/>
    </row>
    <row r="154" spans="1:9">
      <c r="A154" s="103"/>
      <c r="B154" s="3" t="s">
        <v>172</v>
      </c>
      <c r="C154" s="6" t="s">
        <v>160</v>
      </c>
      <c r="D154" s="7"/>
      <c r="E154" s="8" t="s">
        <v>485</v>
      </c>
      <c r="F154" s="8"/>
      <c r="G154" s="53"/>
    </row>
    <row r="155" spans="1:9">
      <c r="A155" s="103"/>
      <c r="B155" s="3" t="s">
        <v>173</v>
      </c>
      <c r="C155" s="6" t="s">
        <v>157</v>
      </c>
      <c r="D155" s="7" t="s">
        <v>821</v>
      </c>
      <c r="E155" s="8" t="s">
        <v>486</v>
      </c>
      <c r="F155" s="8"/>
      <c r="G155" s="53">
        <v>1450</v>
      </c>
      <c r="H155" s="3">
        <f t="shared" si="8"/>
        <v>1450</v>
      </c>
      <c r="I155" s="9">
        <f t="shared" si="9"/>
        <v>4.2621987066431513E-2</v>
      </c>
    </row>
    <row r="156" spans="1:9">
      <c r="A156" s="103"/>
      <c r="B156" s="3" t="s">
        <v>174</v>
      </c>
      <c r="C156" s="6" t="s">
        <v>165</v>
      </c>
      <c r="D156" s="7"/>
      <c r="E156" s="8" t="s">
        <v>487</v>
      </c>
      <c r="F156" s="8"/>
      <c r="G156" s="53"/>
    </row>
    <row r="157" spans="1:9">
      <c r="A157" s="103"/>
      <c r="B157" s="3" t="s">
        <v>175</v>
      </c>
      <c r="C157" s="6" t="s">
        <v>168</v>
      </c>
      <c r="D157" s="7"/>
      <c r="E157" s="8" t="s">
        <v>488</v>
      </c>
      <c r="F157" s="8"/>
      <c r="G157" s="53"/>
    </row>
    <row r="158" spans="1:9">
      <c r="A158" s="29" t="s">
        <v>625</v>
      </c>
      <c r="C158" s="6" t="s">
        <v>489</v>
      </c>
      <c r="D158" s="7"/>
      <c r="E158" s="8" t="s">
        <v>490</v>
      </c>
      <c r="F158" s="8"/>
      <c r="G158" s="53"/>
    </row>
    <row r="159" spans="1:9">
      <c r="A159" s="29" t="s">
        <v>14</v>
      </c>
      <c r="B159" s="3" t="s">
        <v>176</v>
      </c>
      <c r="C159" s="6" t="s">
        <v>176</v>
      </c>
      <c r="D159" s="7"/>
      <c r="E159" s="8" t="s">
        <v>491</v>
      </c>
      <c r="F159" s="8"/>
      <c r="G159" s="53"/>
    </row>
    <row r="160" spans="1:9">
      <c r="A160" s="103" t="s">
        <v>624</v>
      </c>
      <c r="B160" s="4" t="s">
        <v>492</v>
      </c>
      <c r="C160" s="6" t="s">
        <v>492</v>
      </c>
      <c r="D160" s="7"/>
      <c r="E160" s="8" t="s">
        <v>493</v>
      </c>
      <c r="F160" s="8"/>
      <c r="G160" s="53"/>
    </row>
    <row r="161" spans="1:9">
      <c r="A161" s="103"/>
      <c r="B161" s="4" t="s">
        <v>494</v>
      </c>
      <c r="C161" s="6" t="s">
        <v>494</v>
      </c>
      <c r="D161" s="7"/>
      <c r="E161" s="8" t="s">
        <v>495</v>
      </c>
      <c r="F161" s="8"/>
      <c r="G161" s="53"/>
    </row>
    <row r="162" spans="1:9">
      <c r="A162" s="29" t="s">
        <v>15</v>
      </c>
      <c r="B162" s="3" t="s">
        <v>177</v>
      </c>
      <c r="C162" s="6" t="s">
        <v>177</v>
      </c>
      <c r="D162" s="7" t="s">
        <v>869</v>
      </c>
      <c r="E162" s="8" t="s">
        <v>15</v>
      </c>
      <c r="F162" s="8"/>
      <c r="G162" s="53">
        <v>2250</v>
      </c>
      <c r="H162" s="3">
        <f t="shared" si="8"/>
        <v>2250</v>
      </c>
      <c r="I162" s="9">
        <v>1</v>
      </c>
    </row>
    <row r="163" spans="1:9">
      <c r="A163" s="103" t="s">
        <v>16</v>
      </c>
      <c r="B163" s="3" t="s">
        <v>178</v>
      </c>
      <c r="C163" s="6" t="s">
        <v>182</v>
      </c>
      <c r="D163" s="7"/>
      <c r="E163" s="8" t="s">
        <v>496</v>
      </c>
      <c r="F163" s="8"/>
      <c r="G163" s="53"/>
    </row>
    <row r="164" spans="1:9">
      <c r="A164" s="103"/>
      <c r="B164" s="3" t="s">
        <v>179</v>
      </c>
      <c r="C164" s="6" t="s">
        <v>181</v>
      </c>
      <c r="D164" s="7"/>
      <c r="E164" s="8" t="s">
        <v>497</v>
      </c>
      <c r="F164" s="8"/>
      <c r="G164" s="53"/>
    </row>
    <row r="165" spans="1:9">
      <c r="A165" s="103"/>
      <c r="B165" s="3" t="s">
        <v>180</v>
      </c>
      <c r="C165" s="6" t="s">
        <v>180</v>
      </c>
      <c r="D165" s="7" t="s">
        <v>837</v>
      </c>
      <c r="E165" s="8" t="s">
        <v>498</v>
      </c>
      <c r="F165" s="8">
        <v>1650</v>
      </c>
      <c r="G165" s="53"/>
      <c r="H165" s="3">
        <f t="shared" si="8"/>
        <v>1650</v>
      </c>
      <c r="I165" s="9">
        <f>H165/SUM($H$165:$H$168)</f>
        <v>0.80487804878048785</v>
      </c>
    </row>
    <row r="166" spans="1:9">
      <c r="A166" s="103"/>
      <c r="B166" s="3" t="s">
        <v>181</v>
      </c>
      <c r="C166" s="6" t="s">
        <v>179</v>
      </c>
      <c r="D166" s="7"/>
      <c r="E166" s="8" t="s">
        <v>499</v>
      </c>
      <c r="F166" s="8"/>
      <c r="G166" s="53"/>
    </row>
    <row r="167" spans="1:9">
      <c r="A167" s="103"/>
      <c r="B167" s="3" t="s">
        <v>182</v>
      </c>
      <c r="C167" s="6" t="s">
        <v>184</v>
      </c>
      <c r="D167" s="7"/>
      <c r="E167" s="8" t="s">
        <v>500</v>
      </c>
      <c r="F167" s="8"/>
      <c r="G167" s="53"/>
    </row>
    <row r="168" spans="1:9">
      <c r="A168" s="103"/>
      <c r="B168" s="3" t="s">
        <v>183</v>
      </c>
      <c r="C168" s="6" t="s">
        <v>183</v>
      </c>
      <c r="D168" s="3" t="s">
        <v>870</v>
      </c>
      <c r="E168" s="8" t="s">
        <v>501</v>
      </c>
      <c r="F168" s="8"/>
      <c r="G168" s="53">
        <v>400</v>
      </c>
      <c r="H168" s="3">
        <f t="shared" si="8"/>
        <v>400</v>
      </c>
      <c r="I168" s="9">
        <f t="shared" ref="I168" si="10">H168/SUM($H$165:$H$168)</f>
        <v>0.1951219512195122</v>
      </c>
    </row>
    <row r="169" spans="1:9">
      <c r="A169" s="103"/>
      <c r="B169" s="3" t="s">
        <v>184</v>
      </c>
      <c r="C169" s="6" t="s">
        <v>178</v>
      </c>
      <c r="D169" s="7"/>
      <c r="E169" s="8" t="s">
        <v>502</v>
      </c>
      <c r="F169" s="8"/>
      <c r="G169" s="53"/>
    </row>
    <row r="170" spans="1:9">
      <c r="A170" s="103"/>
      <c r="B170" s="3" t="s">
        <v>185</v>
      </c>
      <c r="C170" s="6" t="s">
        <v>185</v>
      </c>
      <c r="D170" s="7"/>
      <c r="E170" s="8" t="s">
        <v>503</v>
      </c>
      <c r="F170" s="8"/>
      <c r="G170" s="53"/>
    </row>
    <row r="171" spans="1:9">
      <c r="A171" s="29" t="s">
        <v>505</v>
      </c>
      <c r="C171" s="6" t="s">
        <v>504</v>
      </c>
      <c r="D171" s="7"/>
      <c r="E171" s="8" t="s">
        <v>505</v>
      </c>
      <c r="F171" s="8"/>
      <c r="G171" s="53"/>
    </row>
    <row r="172" spans="1:9">
      <c r="A172" s="103" t="s">
        <v>17</v>
      </c>
      <c r="B172" s="3" t="s">
        <v>186</v>
      </c>
      <c r="C172" s="6" t="s">
        <v>193</v>
      </c>
      <c r="D172" s="7"/>
      <c r="E172" s="8" t="s">
        <v>506</v>
      </c>
      <c r="F172" s="8"/>
      <c r="G172" s="53"/>
    </row>
    <row r="173" spans="1:9">
      <c r="A173" s="103"/>
      <c r="B173" s="3" t="s">
        <v>187</v>
      </c>
      <c r="C173" s="6" t="s">
        <v>195</v>
      </c>
      <c r="D173" s="7"/>
      <c r="E173" s="8" t="s">
        <v>507</v>
      </c>
      <c r="F173" s="8"/>
      <c r="G173" s="53"/>
    </row>
    <row r="174" spans="1:9">
      <c r="A174" s="103"/>
      <c r="B174" s="3" t="s">
        <v>188</v>
      </c>
      <c r="C174" s="6" t="s">
        <v>197</v>
      </c>
      <c r="D174" s="7"/>
      <c r="E174" s="8" t="s">
        <v>508</v>
      </c>
      <c r="F174" s="8"/>
      <c r="G174" s="53"/>
    </row>
    <row r="175" spans="1:9">
      <c r="A175" s="103"/>
      <c r="B175" s="3" t="s">
        <v>189</v>
      </c>
      <c r="C175" s="6" t="s">
        <v>188</v>
      </c>
      <c r="D175" s="7"/>
      <c r="E175" s="8" t="s">
        <v>509</v>
      </c>
      <c r="F175" s="8"/>
      <c r="G175" s="53"/>
    </row>
    <row r="176" spans="1:9">
      <c r="A176" s="103"/>
      <c r="B176" s="3" t="s">
        <v>190</v>
      </c>
      <c r="C176" s="6" t="s">
        <v>194</v>
      </c>
      <c r="D176" s="7"/>
      <c r="E176" s="8" t="s">
        <v>510</v>
      </c>
      <c r="F176" s="8"/>
      <c r="G176" s="53"/>
    </row>
    <row r="177" spans="1:9">
      <c r="A177" s="103"/>
      <c r="B177" s="3" t="s">
        <v>191</v>
      </c>
      <c r="C177" s="6" t="s">
        <v>196</v>
      </c>
      <c r="D177" s="7"/>
      <c r="E177" s="8" t="s">
        <v>511</v>
      </c>
      <c r="F177" s="8"/>
      <c r="G177" s="53"/>
    </row>
    <row r="178" spans="1:9">
      <c r="A178" s="103"/>
      <c r="B178" s="3" t="s">
        <v>192</v>
      </c>
      <c r="C178" s="6" t="s">
        <v>190</v>
      </c>
      <c r="D178" s="7"/>
      <c r="E178" s="8" t="s">
        <v>512</v>
      </c>
      <c r="F178" s="8"/>
      <c r="G178" s="53"/>
    </row>
    <row r="179" spans="1:9">
      <c r="A179" s="103"/>
      <c r="B179" s="3" t="s">
        <v>193</v>
      </c>
      <c r="C179" s="6" t="s">
        <v>189</v>
      </c>
      <c r="D179" s="7" t="s">
        <v>839</v>
      </c>
      <c r="E179" s="8" t="s">
        <v>513</v>
      </c>
      <c r="F179" s="8">
        <v>7500</v>
      </c>
      <c r="G179" s="53"/>
      <c r="H179" s="3">
        <f t="shared" si="8"/>
        <v>7500</v>
      </c>
      <c r="I179" s="9">
        <v>1</v>
      </c>
    </row>
    <row r="180" spans="1:9">
      <c r="A180" s="103"/>
      <c r="B180" s="3" t="s">
        <v>194</v>
      </c>
      <c r="C180" s="6" t="s">
        <v>186</v>
      </c>
      <c r="D180" s="7"/>
      <c r="E180" s="8" t="s">
        <v>514</v>
      </c>
      <c r="F180" s="8"/>
      <c r="G180" s="53"/>
    </row>
    <row r="181" spans="1:9">
      <c r="A181" s="103"/>
      <c r="B181" s="3" t="s">
        <v>195</v>
      </c>
      <c r="C181" s="6" t="s">
        <v>187</v>
      </c>
      <c r="E181" s="8" t="s">
        <v>515</v>
      </c>
      <c r="F181" s="8"/>
      <c r="G181" s="53"/>
    </row>
    <row r="182" spans="1:9">
      <c r="A182" s="103"/>
      <c r="B182" s="3" t="s">
        <v>196</v>
      </c>
      <c r="C182" s="6" t="s">
        <v>191</v>
      </c>
      <c r="E182" s="8" t="s">
        <v>516</v>
      </c>
      <c r="F182" s="8"/>
      <c r="G182" s="53"/>
    </row>
    <row r="183" spans="1:9">
      <c r="A183" s="103"/>
      <c r="B183" s="3" t="s">
        <v>197</v>
      </c>
      <c r="C183" s="6" t="s">
        <v>192</v>
      </c>
      <c r="E183" s="8" t="s">
        <v>517</v>
      </c>
      <c r="F183" s="8"/>
      <c r="G183" s="53"/>
    </row>
    <row r="184" spans="1:9">
      <c r="A184" s="103" t="s">
        <v>18</v>
      </c>
      <c r="B184" s="3" t="s">
        <v>198</v>
      </c>
      <c r="C184" s="6" t="s">
        <v>206</v>
      </c>
      <c r="D184" s="7"/>
      <c r="E184" s="8" t="s">
        <v>518</v>
      </c>
      <c r="F184" s="8"/>
      <c r="G184" s="53"/>
    </row>
    <row r="185" spans="1:9">
      <c r="A185" s="103"/>
      <c r="B185" s="3" t="s">
        <v>199</v>
      </c>
      <c r="C185" s="6" t="s">
        <v>204</v>
      </c>
      <c r="D185" s="7"/>
      <c r="E185" s="8" t="s">
        <v>519</v>
      </c>
      <c r="F185" s="8"/>
      <c r="G185" s="53"/>
    </row>
    <row r="186" spans="1:9">
      <c r="A186" s="103"/>
      <c r="B186" s="3" t="s">
        <v>200</v>
      </c>
      <c r="C186" s="6" t="s">
        <v>203</v>
      </c>
      <c r="D186" s="7"/>
      <c r="E186" s="8" t="s">
        <v>520</v>
      </c>
      <c r="F186" s="8"/>
      <c r="G186" s="53"/>
    </row>
    <row r="187" spans="1:9">
      <c r="A187" s="103"/>
      <c r="B187" s="3" t="s">
        <v>201</v>
      </c>
      <c r="C187" s="6" t="s">
        <v>205</v>
      </c>
      <c r="D187" s="7"/>
      <c r="E187" s="8" t="s">
        <v>521</v>
      </c>
      <c r="F187" s="8"/>
      <c r="G187" s="53"/>
    </row>
    <row r="188" spans="1:9" ht="60">
      <c r="A188" s="103"/>
      <c r="B188" s="3" t="s">
        <v>202</v>
      </c>
      <c r="C188" s="6" t="s">
        <v>200</v>
      </c>
      <c r="D188" s="7" t="s">
        <v>848</v>
      </c>
      <c r="E188" s="8" t="s">
        <v>522</v>
      </c>
      <c r="F188" s="8">
        <v>1570</v>
      </c>
      <c r="G188" s="53">
        <f>365+180+300</f>
        <v>845</v>
      </c>
      <c r="H188" s="3">
        <f t="shared" si="8"/>
        <v>2415</v>
      </c>
      <c r="I188" s="55">
        <f>H188/SUM($H$188:$H$189)</f>
        <v>0.28698752228163993</v>
      </c>
    </row>
    <row r="189" spans="1:9">
      <c r="A189" s="103"/>
      <c r="B189" s="3" t="s">
        <v>203</v>
      </c>
      <c r="C189" s="6" t="s">
        <v>202</v>
      </c>
      <c r="D189" s="7" t="s">
        <v>833</v>
      </c>
      <c r="E189" s="8" t="s">
        <v>523</v>
      </c>
      <c r="F189" s="8">
        <v>6000</v>
      </c>
      <c r="G189" s="53"/>
      <c r="H189" s="3">
        <f t="shared" si="8"/>
        <v>6000</v>
      </c>
      <c r="I189" s="55">
        <f>H189/SUM($H$188:$H$189)</f>
        <v>0.71301247771836007</v>
      </c>
    </row>
    <row r="190" spans="1:9">
      <c r="A190" s="103"/>
      <c r="B190" s="3" t="s">
        <v>204</v>
      </c>
      <c r="C190" s="6" t="s">
        <v>201</v>
      </c>
      <c r="D190" s="7"/>
      <c r="E190" s="8" t="s">
        <v>524</v>
      </c>
      <c r="F190" s="8"/>
      <c r="G190" s="53"/>
    </row>
    <row r="191" spans="1:9">
      <c r="A191" s="103"/>
      <c r="B191" s="3" t="s">
        <v>205</v>
      </c>
      <c r="C191" s="6" t="s">
        <v>199</v>
      </c>
      <c r="D191" s="7"/>
      <c r="E191" s="8" t="s">
        <v>525</v>
      </c>
      <c r="F191" s="8"/>
      <c r="G191" s="53"/>
    </row>
    <row r="192" spans="1:9">
      <c r="A192" s="103"/>
      <c r="B192" s="3" t="s">
        <v>206</v>
      </c>
      <c r="C192" s="6" t="s">
        <v>198</v>
      </c>
      <c r="D192" s="7"/>
      <c r="E192" s="8" t="s">
        <v>526</v>
      </c>
      <c r="F192" s="8"/>
      <c r="G192" s="53"/>
    </row>
    <row r="193" spans="1:9">
      <c r="A193" s="103" t="s">
        <v>19</v>
      </c>
      <c r="B193" s="3" t="s">
        <v>207</v>
      </c>
      <c r="C193" s="6" t="s">
        <v>219</v>
      </c>
      <c r="D193" s="7" t="s">
        <v>840</v>
      </c>
      <c r="E193" s="8" t="s">
        <v>527</v>
      </c>
      <c r="F193" s="8">
        <v>2600</v>
      </c>
      <c r="G193" s="53"/>
      <c r="H193" s="3">
        <f t="shared" si="8"/>
        <v>2600</v>
      </c>
      <c r="I193" s="9">
        <f>H193/SUM($H$193:$H$209)</f>
        <v>0.21505376344086022</v>
      </c>
    </row>
    <row r="194" spans="1:9" ht="90">
      <c r="A194" s="103"/>
      <c r="B194" s="3" t="s">
        <v>208</v>
      </c>
      <c r="C194" s="6" t="s">
        <v>210</v>
      </c>
      <c r="D194" s="7" t="s">
        <v>881</v>
      </c>
      <c r="E194" s="8" t="s">
        <v>528</v>
      </c>
      <c r="F194" s="8">
        <v>5000</v>
      </c>
      <c r="G194" s="53">
        <f>145+800+250+65+1340</f>
        <v>2600</v>
      </c>
      <c r="H194" s="3">
        <f t="shared" si="8"/>
        <v>7600</v>
      </c>
      <c r="I194" s="9">
        <f t="shared" ref="I194:I208" si="11">H194/SUM($H$193:$H$209)</f>
        <v>0.62861869313482222</v>
      </c>
    </row>
    <row r="195" spans="1:9">
      <c r="A195" s="103"/>
      <c r="B195" s="3" t="s">
        <v>209</v>
      </c>
      <c r="C195" s="6" t="s">
        <v>221</v>
      </c>
      <c r="D195" s="7"/>
      <c r="E195" s="8" t="s">
        <v>529</v>
      </c>
      <c r="F195" s="8"/>
      <c r="G195" s="53"/>
    </row>
    <row r="196" spans="1:9">
      <c r="A196" s="103"/>
      <c r="B196" s="3" t="s">
        <v>210</v>
      </c>
      <c r="C196" s="6" t="s">
        <v>207</v>
      </c>
      <c r="D196" s="7"/>
      <c r="E196" s="8" t="s">
        <v>530</v>
      </c>
      <c r="F196" s="8"/>
      <c r="G196" s="53"/>
    </row>
    <row r="197" spans="1:9">
      <c r="A197" s="103"/>
      <c r="B197" s="3" t="s">
        <v>211</v>
      </c>
      <c r="C197" s="6" t="s">
        <v>216</v>
      </c>
      <c r="D197" s="7"/>
      <c r="E197" s="8" t="s">
        <v>531</v>
      </c>
      <c r="F197" s="8"/>
      <c r="G197" s="53"/>
    </row>
    <row r="198" spans="1:9">
      <c r="A198" s="103"/>
      <c r="B198" s="3" t="s">
        <v>212</v>
      </c>
      <c r="C198" s="6" t="s">
        <v>218</v>
      </c>
      <c r="D198" s="7"/>
      <c r="E198" s="8" t="s">
        <v>532</v>
      </c>
      <c r="F198" s="8"/>
      <c r="G198" s="53"/>
    </row>
    <row r="199" spans="1:9">
      <c r="A199" s="103"/>
      <c r="B199" s="3" t="s">
        <v>213</v>
      </c>
      <c r="C199" s="6" t="s">
        <v>213</v>
      </c>
      <c r="D199" s="7"/>
      <c r="E199" s="8" t="s">
        <v>533</v>
      </c>
      <c r="F199" s="8"/>
      <c r="G199" s="53"/>
    </row>
    <row r="200" spans="1:9">
      <c r="A200" s="103"/>
      <c r="B200" s="3" t="s">
        <v>214</v>
      </c>
      <c r="C200" s="6" t="s">
        <v>220</v>
      </c>
      <c r="D200" s="7"/>
      <c r="E200" s="8" t="s">
        <v>534</v>
      </c>
      <c r="F200" s="8"/>
      <c r="G200" s="53"/>
    </row>
    <row r="201" spans="1:9">
      <c r="A201" s="103"/>
      <c r="B201" s="3" t="s">
        <v>215</v>
      </c>
      <c r="C201" s="6" t="s">
        <v>208</v>
      </c>
      <c r="D201" s="7"/>
      <c r="E201" s="8" t="s">
        <v>535</v>
      </c>
      <c r="F201" s="8"/>
      <c r="G201" s="53"/>
    </row>
    <row r="202" spans="1:9">
      <c r="A202" s="103"/>
      <c r="B202" s="3" t="s">
        <v>216</v>
      </c>
      <c r="C202" s="6" t="s">
        <v>211</v>
      </c>
      <c r="D202" s="7"/>
      <c r="E202" s="8" t="s">
        <v>536</v>
      </c>
      <c r="F202" s="8"/>
      <c r="G202" s="53"/>
    </row>
    <row r="203" spans="1:9">
      <c r="A203" s="103"/>
      <c r="B203" s="3" t="s">
        <v>217</v>
      </c>
      <c r="C203" s="6" t="s">
        <v>223</v>
      </c>
      <c r="D203" s="7"/>
      <c r="E203" s="8" t="s">
        <v>537</v>
      </c>
      <c r="F203" s="8"/>
      <c r="G203" s="53"/>
    </row>
    <row r="204" spans="1:9">
      <c r="A204" s="103"/>
      <c r="B204" s="3" t="s">
        <v>218</v>
      </c>
      <c r="C204" s="6" t="s">
        <v>222</v>
      </c>
      <c r="D204" s="7" t="s">
        <v>878</v>
      </c>
      <c r="E204" s="8" t="s">
        <v>538</v>
      </c>
      <c r="F204" s="8"/>
      <c r="G204" s="53">
        <v>900</v>
      </c>
      <c r="H204" s="3">
        <f t="shared" ref="H204:H253" si="12">SUM($F204:$G204)</f>
        <v>900</v>
      </c>
      <c r="I204" s="9">
        <f t="shared" si="11"/>
        <v>7.4441687344913146E-2</v>
      </c>
    </row>
    <row r="205" spans="1:9">
      <c r="A205" s="103"/>
      <c r="B205" s="3" t="s">
        <v>219</v>
      </c>
      <c r="C205" s="6" t="s">
        <v>217</v>
      </c>
      <c r="D205" s="7"/>
      <c r="E205" s="8" t="s">
        <v>539</v>
      </c>
      <c r="F205" s="8"/>
      <c r="G205" s="53"/>
    </row>
    <row r="206" spans="1:9">
      <c r="A206" s="103"/>
      <c r="B206" s="3" t="s">
        <v>220</v>
      </c>
      <c r="C206" s="6" t="s">
        <v>209</v>
      </c>
      <c r="D206" s="7" t="s">
        <v>879</v>
      </c>
      <c r="E206" s="8" t="s">
        <v>540</v>
      </c>
      <c r="F206" s="8"/>
      <c r="G206" s="53">
        <v>240</v>
      </c>
      <c r="H206" s="3">
        <f t="shared" si="12"/>
        <v>240</v>
      </c>
      <c r="I206" s="9">
        <f t="shared" si="11"/>
        <v>1.9851116625310174E-2</v>
      </c>
    </row>
    <row r="207" spans="1:9">
      <c r="A207" s="103"/>
      <c r="B207" s="3" t="s">
        <v>221</v>
      </c>
      <c r="C207" s="6" t="s">
        <v>212</v>
      </c>
      <c r="D207" s="7"/>
      <c r="E207" s="8" t="s">
        <v>541</v>
      </c>
      <c r="F207" s="8"/>
      <c r="G207" s="53"/>
    </row>
    <row r="208" spans="1:9">
      <c r="A208" s="103"/>
      <c r="B208" s="3" t="s">
        <v>222</v>
      </c>
      <c r="C208" s="6" t="s">
        <v>214</v>
      </c>
      <c r="D208" s="7" t="s">
        <v>880</v>
      </c>
      <c r="E208" s="8" t="s">
        <v>542</v>
      </c>
      <c r="F208" s="8"/>
      <c r="G208" s="53">
        <v>750</v>
      </c>
      <c r="H208" s="3">
        <f t="shared" si="12"/>
        <v>750</v>
      </c>
      <c r="I208" s="9">
        <f t="shared" si="11"/>
        <v>6.2034739454094295E-2</v>
      </c>
    </row>
    <row r="209" spans="1:9">
      <c r="A209" s="103"/>
      <c r="B209" s="3" t="s">
        <v>223</v>
      </c>
      <c r="C209" s="6" t="s">
        <v>215</v>
      </c>
      <c r="E209" s="8" t="s">
        <v>543</v>
      </c>
      <c r="F209" s="8"/>
      <c r="G209" s="53"/>
    </row>
    <row r="210" spans="1:9">
      <c r="A210" s="103" t="s">
        <v>20</v>
      </c>
      <c r="B210" s="3" t="s">
        <v>224</v>
      </c>
      <c r="C210" s="6" t="s">
        <v>226</v>
      </c>
      <c r="D210" s="7" t="s">
        <v>882</v>
      </c>
      <c r="E210" s="8" t="s">
        <v>544</v>
      </c>
      <c r="F210" s="8"/>
      <c r="G210" s="53">
        <v>600</v>
      </c>
      <c r="H210" s="3">
        <f t="shared" si="12"/>
        <v>600</v>
      </c>
      <c r="I210" s="9">
        <f>H210/SUM($H$210:$H$213)</f>
        <v>0.35294117647058826</v>
      </c>
    </row>
    <row r="211" spans="1:9">
      <c r="A211" s="103"/>
      <c r="B211" s="3" t="s">
        <v>225</v>
      </c>
      <c r="C211" s="6" t="s">
        <v>225</v>
      </c>
      <c r="D211" s="7"/>
      <c r="E211" s="8" t="s">
        <v>545</v>
      </c>
      <c r="F211" s="8"/>
      <c r="G211" s="53"/>
    </row>
    <row r="212" spans="1:9">
      <c r="A212" s="103"/>
      <c r="B212" s="3" t="s">
        <v>226</v>
      </c>
      <c r="C212" s="6" t="s">
        <v>228</v>
      </c>
      <c r="D212" s="7"/>
      <c r="E212" s="8" t="s">
        <v>546</v>
      </c>
      <c r="F212" s="8"/>
      <c r="G212" s="53"/>
    </row>
    <row r="213" spans="1:9">
      <c r="A213" s="103"/>
      <c r="B213" s="3" t="s">
        <v>227</v>
      </c>
      <c r="C213" s="6" t="s">
        <v>224</v>
      </c>
      <c r="D213" s="7" t="s">
        <v>883</v>
      </c>
      <c r="E213" s="8" t="s">
        <v>547</v>
      </c>
      <c r="F213" s="8"/>
      <c r="G213" s="53">
        <v>1100</v>
      </c>
      <c r="H213" s="3">
        <f t="shared" si="12"/>
        <v>1100</v>
      </c>
      <c r="I213" s="9">
        <f t="shared" ref="I213" si="13">H213/SUM($H$210:$H$213)</f>
        <v>0.6470588235294118</v>
      </c>
    </row>
    <row r="214" spans="1:9">
      <c r="A214" s="103"/>
      <c r="B214" s="3" t="s">
        <v>228</v>
      </c>
      <c r="C214" s="6" t="s">
        <v>227</v>
      </c>
      <c r="E214" s="8" t="s">
        <v>548</v>
      </c>
      <c r="F214" s="8"/>
      <c r="G214" s="53"/>
    </row>
    <row r="215" spans="1:9">
      <c r="A215" s="103"/>
      <c r="C215" s="6" t="s">
        <v>549</v>
      </c>
      <c r="D215" s="7"/>
      <c r="E215" s="8" t="s">
        <v>550</v>
      </c>
      <c r="F215" s="8"/>
      <c r="G215" s="53"/>
    </row>
    <row r="216" spans="1:9">
      <c r="A216" s="103"/>
      <c r="C216" s="6" t="s">
        <v>551</v>
      </c>
      <c r="D216" s="7"/>
      <c r="E216" s="8" t="s">
        <v>552</v>
      </c>
      <c r="F216" s="8"/>
      <c r="G216" s="53"/>
    </row>
    <row r="217" spans="1:9">
      <c r="A217" s="103" t="s">
        <v>21</v>
      </c>
      <c r="B217" s="3" t="s">
        <v>229</v>
      </c>
      <c r="C217" s="6" t="s">
        <v>231</v>
      </c>
      <c r="D217" s="7"/>
      <c r="E217" s="8" t="s">
        <v>553</v>
      </c>
      <c r="F217" s="8"/>
      <c r="G217" s="53"/>
    </row>
    <row r="218" spans="1:9">
      <c r="A218" s="103"/>
      <c r="B218" s="3" t="s">
        <v>230</v>
      </c>
      <c r="C218" s="6" t="s">
        <v>236</v>
      </c>
      <c r="D218" s="7"/>
      <c r="E218" s="8" t="s">
        <v>554</v>
      </c>
      <c r="F218" s="8"/>
      <c r="G218" s="53"/>
    </row>
    <row r="219" spans="1:9">
      <c r="A219" s="103"/>
      <c r="B219" s="3" t="s">
        <v>231</v>
      </c>
      <c r="C219" s="6" t="s">
        <v>232</v>
      </c>
      <c r="D219" s="7"/>
      <c r="E219" s="8" t="s">
        <v>555</v>
      </c>
      <c r="F219" s="8"/>
      <c r="G219" s="53"/>
    </row>
    <row r="220" spans="1:9">
      <c r="A220" s="103"/>
      <c r="B220" s="3" t="s">
        <v>232</v>
      </c>
      <c r="C220" s="6" t="s">
        <v>230</v>
      </c>
      <c r="D220" s="7" t="s">
        <v>841</v>
      </c>
      <c r="E220" s="8" t="s">
        <v>556</v>
      </c>
      <c r="F220" s="8">
        <v>3200</v>
      </c>
      <c r="G220" s="53"/>
      <c r="H220" s="3">
        <f t="shared" si="12"/>
        <v>3200</v>
      </c>
      <c r="I220" s="9">
        <f>H220/SUM($H$220:$H$224)</f>
        <v>0.58181818181818179</v>
      </c>
    </row>
    <row r="221" spans="1:9">
      <c r="A221" s="103"/>
      <c r="B221" s="3" t="s">
        <v>233</v>
      </c>
      <c r="C221" s="6" t="s">
        <v>234</v>
      </c>
      <c r="D221" s="7" t="s">
        <v>884</v>
      </c>
      <c r="E221" s="8" t="s">
        <v>557</v>
      </c>
      <c r="F221" s="8"/>
      <c r="G221" s="53">
        <v>470</v>
      </c>
      <c r="H221" s="3">
        <f t="shared" si="12"/>
        <v>470</v>
      </c>
      <c r="I221" s="9">
        <f t="shared" ref="I221:I224" si="14">H221/SUM($H$220:$H$224)</f>
        <v>8.545454545454545E-2</v>
      </c>
    </row>
    <row r="222" spans="1:9">
      <c r="A222" s="103"/>
      <c r="B222" s="3" t="s">
        <v>234</v>
      </c>
      <c r="C222" s="6" t="s">
        <v>233</v>
      </c>
      <c r="D222" s="7"/>
      <c r="E222" s="8" t="s">
        <v>558</v>
      </c>
      <c r="F222" s="8"/>
      <c r="G222" s="53"/>
    </row>
    <row r="223" spans="1:9">
      <c r="A223" s="103"/>
      <c r="B223" s="3" t="s">
        <v>235</v>
      </c>
      <c r="C223" s="6" t="s">
        <v>229</v>
      </c>
      <c r="D223" s="7"/>
      <c r="E223" s="8" t="s">
        <v>559</v>
      </c>
      <c r="F223" s="8"/>
      <c r="G223" s="53"/>
    </row>
    <row r="224" spans="1:9" ht="45">
      <c r="A224" s="103"/>
      <c r="B224" s="3" t="s">
        <v>236</v>
      </c>
      <c r="C224" s="6" t="s">
        <v>235</v>
      </c>
      <c r="D224" s="7" t="s">
        <v>885</v>
      </c>
      <c r="E224" s="8" t="s">
        <v>560</v>
      </c>
      <c r="F224" s="8"/>
      <c r="G224" s="53">
        <f>550+830+450</f>
        <v>1830</v>
      </c>
      <c r="H224" s="3">
        <f t="shared" si="12"/>
        <v>1830</v>
      </c>
      <c r="I224" s="9">
        <f t="shared" si="14"/>
        <v>0.3327272727272727</v>
      </c>
    </row>
    <row r="225" spans="1:9" ht="30">
      <c r="A225" s="103" t="s">
        <v>22</v>
      </c>
      <c r="B225" s="3" t="s">
        <v>237</v>
      </c>
      <c r="C225" s="6" t="s">
        <v>237</v>
      </c>
      <c r="D225" s="7" t="s">
        <v>888</v>
      </c>
      <c r="E225" s="8" t="s">
        <v>561</v>
      </c>
      <c r="F225" s="8"/>
      <c r="G225" s="53">
        <f>150+140</f>
        <v>290</v>
      </c>
      <c r="H225" s="3">
        <f t="shared" si="12"/>
        <v>290</v>
      </c>
      <c r="I225" s="9">
        <f>H225/SUM(H$225:H$226)</f>
        <v>0.36708860759493672</v>
      </c>
    </row>
    <row r="226" spans="1:9">
      <c r="A226" s="103"/>
      <c r="B226" s="3" t="s">
        <v>238</v>
      </c>
      <c r="C226" s="6" t="s">
        <v>238</v>
      </c>
      <c r="D226" s="7" t="s">
        <v>887</v>
      </c>
      <c r="E226" s="8" t="s">
        <v>562</v>
      </c>
      <c r="F226" s="8"/>
      <c r="G226" s="53">
        <v>500</v>
      </c>
      <c r="H226" s="3">
        <f t="shared" si="12"/>
        <v>500</v>
      </c>
      <c r="I226" s="9">
        <f>H226/SUM(H$225:H$226)</f>
        <v>0.63291139240506333</v>
      </c>
    </row>
    <row r="227" spans="1:9">
      <c r="A227" s="103" t="s">
        <v>23</v>
      </c>
      <c r="B227" s="3" t="s">
        <v>239</v>
      </c>
      <c r="C227" s="6" t="s">
        <v>241</v>
      </c>
      <c r="D227" s="7"/>
      <c r="E227" s="8" t="s">
        <v>563</v>
      </c>
      <c r="F227" s="8"/>
      <c r="G227" s="53"/>
    </row>
    <row r="228" spans="1:9">
      <c r="A228" s="103"/>
      <c r="B228" s="3" t="s">
        <v>240</v>
      </c>
      <c r="C228" s="6" t="s">
        <v>239</v>
      </c>
      <c r="D228" s="7"/>
      <c r="E228" s="8" t="s">
        <v>564</v>
      </c>
      <c r="F228" s="8"/>
      <c r="G228" s="53"/>
    </row>
    <row r="229" spans="1:9">
      <c r="A229" s="103"/>
      <c r="B229" s="3" t="s">
        <v>241</v>
      </c>
      <c r="C229" s="6" t="s">
        <v>242</v>
      </c>
      <c r="D229" s="7" t="s">
        <v>886</v>
      </c>
      <c r="E229" s="8" t="s">
        <v>565</v>
      </c>
      <c r="F229" s="8"/>
      <c r="G229" s="53">
        <v>350</v>
      </c>
      <c r="H229" s="3">
        <f t="shared" si="12"/>
        <v>350</v>
      </c>
      <c r="I229" s="9">
        <f>H229/SUM(H$229:H$230)</f>
        <v>7.2164948453608241E-2</v>
      </c>
    </row>
    <row r="230" spans="1:9">
      <c r="A230" s="103"/>
      <c r="B230" s="3" t="s">
        <v>242</v>
      </c>
      <c r="C230" s="6" t="s">
        <v>240</v>
      </c>
      <c r="D230" s="7" t="s">
        <v>842</v>
      </c>
      <c r="E230" s="8" t="s">
        <v>566</v>
      </c>
      <c r="F230" s="8">
        <v>4500</v>
      </c>
      <c r="G230" s="53"/>
      <c r="H230" s="3">
        <f t="shared" si="12"/>
        <v>4500</v>
      </c>
      <c r="I230" s="9">
        <f>H230/SUM(H$229:H$230)</f>
        <v>0.92783505154639179</v>
      </c>
    </row>
    <row r="231" spans="1:9">
      <c r="A231" s="103" t="s">
        <v>24</v>
      </c>
      <c r="B231" s="3" t="s">
        <v>243</v>
      </c>
      <c r="C231" s="6" t="s">
        <v>243</v>
      </c>
      <c r="D231" s="7"/>
      <c r="E231" s="8" t="s">
        <v>567</v>
      </c>
      <c r="F231" s="8"/>
      <c r="G231" s="53"/>
    </row>
    <row r="232" spans="1:9">
      <c r="A232" s="103"/>
      <c r="B232" s="3" t="s">
        <v>244</v>
      </c>
      <c r="C232" s="6" t="s">
        <v>245</v>
      </c>
      <c r="D232" s="7"/>
      <c r="E232" s="8" t="s">
        <v>568</v>
      </c>
      <c r="F232" s="8"/>
      <c r="G232" s="53"/>
    </row>
    <row r="233" spans="1:9">
      <c r="A233" s="103"/>
      <c r="B233" s="3" t="s">
        <v>245</v>
      </c>
      <c r="C233" s="6" t="s">
        <v>244</v>
      </c>
      <c r="D233" s="7" t="s">
        <v>854</v>
      </c>
      <c r="E233" s="8" t="s">
        <v>569</v>
      </c>
      <c r="F233" s="8"/>
      <c r="G233" s="53">
        <v>360</v>
      </c>
      <c r="H233" s="3">
        <f t="shared" si="12"/>
        <v>360</v>
      </c>
      <c r="I233" s="9">
        <f>H233/SUM(H$233:H$234)</f>
        <v>8.4507042253521125E-2</v>
      </c>
    </row>
    <row r="234" spans="1:9" ht="30">
      <c r="A234" s="103"/>
      <c r="B234" s="3" t="s">
        <v>246</v>
      </c>
      <c r="C234" s="6" t="s">
        <v>246</v>
      </c>
      <c r="D234" s="7" t="s">
        <v>855</v>
      </c>
      <c r="E234" s="8" t="s">
        <v>570</v>
      </c>
      <c r="F234" s="8">
        <v>2600</v>
      </c>
      <c r="G234" s="53">
        <v>1300</v>
      </c>
      <c r="H234" s="3">
        <f t="shared" si="12"/>
        <v>3900</v>
      </c>
      <c r="I234" s="9">
        <f>H234/SUM(H$233:H$234)</f>
        <v>0.91549295774647887</v>
      </c>
    </row>
    <row r="235" spans="1:9">
      <c r="A235" s="103"/>
      <c r="C235" s="6" t="s">
        <v>571</v>
      </c>
      <c r="D235" s="7"/>
      <c r="E235" s="8" t="s">
        <v>572</v>
      </c>
      <c r="F235" s="8"/>
      <c r="G235" s="53"/>
    </row>
    <row r="236" spans="1:9">
      <c r="A236" s="103" t="s">
        <v>25</v>
      </c>
      <c r="B236" s="3" t="s">
        <v>247</v>
      </c>
      <c r="C236" s="6" t="s">
        <v>247</v>
      </c>
      <c r="D236" s="7"/>
      <c r="E236" s="8" t="s">
        <v>573</v>
      </c>
      <c r="F236" s="8"/>
      <c r="G236" s="53"/>
    </row>
    <row r="237" spans="1:9">
      <c r="A237" s="103"/>
      <c r="B237" s="3" t="s">
        <v>248</v>
      </c>
      <c r="C237" s="6" t="s">
        <v>248</v>
      </c>
      <c r="D237" s="7" t="s">
        <v>845</v>
      </c>
      <c r="E237" s="8" t="s">
        <v>574</v>
      </c>
      <c r="F237" s="8">
        <v>1700</v>
      </c>
      <c r="G237" s="53"/>
      <c r="H237" s="3">
        <f t="shared" si="12"/>
        <v>1700</v>
      </c>
      <c r="I237" s="9">
        <f>H237/SUM(H$237:H$243)</f>
        <v>0.29335634167385677</v>
      </c>
    </row>
    <row r="238" spans="1:9">
      <c r="A238" s="103"/>
      <c r="B238" s="3" t="s">
        <v>249</v>
      </c>
      <c r="C238" s="6" t="s">
        <v>252</v>
      </c>
      <c r="D238" s="7"/>
      <c r="E238" s="8" t="s">
        <v>575</v>
      </c>
      <c r="F238" s="8"/>
      <c r="G238" s="53"/>
    </row>
    <row r="239" spans="1:9">
      <c r="A239" s="103"/>
      <c r="B239" s="3" t="s">
        <v>250</v>
      </c>
      <c r="C239" s="6" t="s">
        <v>254</v>
      </c>
      <c r="D239" s="7"/>
      <c r="E239" s="8" t="s">
        <v>576</v>
      </c>
      <c r="F239" s="8"/>
      <c r="G239" s="53"/>
    </row>
    <row r="240" spans="1:9">
      <c r="A240" s="103"/>
      <c r="B240" s="3" t="s">
        <v>251</v>
      </c>
      <c r="C240" s="6" t="s">
        <v>251</v>
      </c>
      <c r="E240" s="8" t="s">
        <v>577</v>
      </c>
      <c r="F240" s="8"/>
      <c r="G240" s="53"/>
    </row>
    <row r="241" spans="1:9" ht="90">
      <c r="A241" s="103"/>
      <c r="B241" s="3" t="s">
        <v>252</v>
      </c>
      <c r="C241" s="6" t="s">
        <v>253</v>
      </c>
      <c r="D241" s="7" t="s">
        <v>896</v>
      </c>
      <c r="E241" s="8" t="s">
        <v>578</v>
      </c>
      <c r="F241" s="8"/>
      <c r="G241" s="53">
        <f>500+95+120+500+200+480</f>
        <v>1895</v>
      </c>
      <c r="H241" s="3">
        <f t="shared" si="12"/>
        <v>1895</v>
      </c>
      <c r="I241" s="9">
        <f t="shared" ref="I241:I243" si="15">H241/SUM(H$237:H$243)</f>
        <v>0.32700603968938741</v>
      </c>
    </row>
    <row r="242" spans="1:9">
      <c r="A242" s="103"/>
      <c r="B242" s="3" t="s">
        <v>253</v>
      </c>
      <c r="C242" s="6" t="s">
        <v>250</v>
      </c>
      <c r="D242" s="7"/>
      <c r="E242" s="8" t="s">
        <v>579</v>
      </c>
      <c r="F242" s="8"/>
      <c r="G242" s="53"/>
    </row>
    <row r="243" spans="1:9">
      <c r="A243" s="103"/>
      <c r="B243" s="3" t="s">
        <v>254</v>
      </c>
      <c r="C243" s="6" t="s">
        <v>249</v>
      </c>
      <c r="D243" s="7" t="s">
        <v>844</v>
      </c>
      <c r="E243" s="8" t="s">
        <v>580</v>
      </c>
      <c r="F243" s="8">
        <v>2200</v>
      </c>
      <c r="G243" s="53"/>
      <c r="H243" s="3">
        <f t="shared" si="12"/>
        <v>2200</v>
      </c>
      <c r="I243" s="9">
        <f t="shared" si="15"/>
        <v>0.37963761863675582</v>
      </c>
    </row>
    <row r="244" spans="1:9">
      <c r="A244" s="103" t="s">
        <v>26</v>
      </c>
      <c r="B244" s="3" t="s">
        <v>255</v>
      </c>
      <c r="C244" s="6" t="s">
        <v>294</v>
      </c>
      <c r="E244" s="8" t="s">
        <v>581</v>
      </c>
      <c r="F244" s="8"/>
      <c r="G244" s="53"/>
    </row>
    <row r="245" spans="1:9">
      <c r="A245" s="103"/>
      <c r="B245" s="3" t="s">
        <v>256</v>
      </c>
      <c r="C245" s="6" t="s">
        <v>268</v>
      </c>
      <c r="D245" s="7"/>
      <c r="E245" s="8" t="s">
        <v>582</v>
      </c>
      <c r="F245" s="8"/>
      <c r="G245" s="53"/>
    </row>
    <row r="246" spans="1:9">
      <c r="A246" s="103"/>
      <c r="B246" s="3" t="s">
        <v>257</v>
      </c>
      <c r="C246" s="6" t="s">
        <v>280</v>
      </c>
      <c r="D246" s="7"/>
      <c r="E246" s="8" t="s">
        <v>583</v>
      </c>
      <c r="F246" s="8"/>
      <c r="G246" s="53"/>
    </row>
    <row r="247" spans="1:9">
      <c r="A247" s="103"/>
      <c r="B247" s="3" t="s">
        <v>258</v>
      </c>
      <c r="C247" s="6" t="s">
        <v>270</v>
      </c>
      <c r="D247" s="7"/>
      <c r="E247" s="8" t="s">
        <v>584</v>
      </c>
      <c r="F247" s="8"/>
      <c r="G247" s="53"/>
    </row>
    <row r="248" spans="1:9">
      <c r="A248" s="103"/>
      <c r="B248" s="3" t="s">
        <v>259</v>
      </c>
      <c r="C248" s="6" t="s">
        <v>285</v>
      </c>
      <c r="D248" s="7"/>
      <c r="E248" s="8" t="s">
        <v>585</v>
      </c>
      <c r="F248" s="8"/>
      <c r="G248" s="53"/>
    </row>
    <row r="249" spans="1:9">
      <c r="A249" s="103"/>
      <c r="B249" s="3" t="s">
        <v>260</v>
      </c>
      <c r="C249" s="6" t="s">
        <v>264</v>
      </c>
      <c r="D249" s="7"/>
      <c r="E249" s="8" t="s">
        <v>586</v>
      </c>
      <c r="F249" s="8"/>
      <c r="G249" s="53"/>
    </row>
    <row r="250" spans="1:9">
      <c r="A250" s="103"/>
      <c r="B250" s="3" t="s">
        <v>261</v>
      </c>
      <c r="C250" s="6" t="s">
        <v>269</v>
      </c>
      <c r="D250" s="7"/>
      <c r="E250" s="8" t="s">
        <v>587</v>
      </c>
      <c r="F250" s="8"/>
      <c r="G250" s="53"/>
    </row>
    <row r="251" spans="1:9" ht="30">
      <c r="A251" s="103"/>
      <c r="B251" s="3" t="s">
        <v>262</v>
      </c>
      <c r="C251" s="6" t="s">
        <v>277</v>
      </c>
      <c r="D251" s="7" t="s">
        <v>847</v>
      </c>
      <c r="E251" s="8" t="s">
        <v>588</v>
      </c>
      <c r="F251" s="8">
        <v>3200</v>
      </c>
      <c r="G251" s="53"/>
      <c r="H251" s="3">
        <f t="shared" si="12"/>
        <v>3200</v>
      </c>
      <c r="I251" s="9">
        <f>H251/SUM(H$251:H$278)</f>
        <v>0.28699551569506726</v>
      </c>
    </row>
    <row r="252" spans="1:9">
      <c r="A252" s="103"/>
      <c r="B252" s="3" t="s">
        <v>263</v>
      </c>
      <c r="C252" s="6" t="s">
        <v>295</v>
      </c>
      <c r="D252" s="7"/>
      <c r="E252" s="8" t="s">
        <v>589</v>
      </c>
      <c r="F252" s="8"/>
      <c r="G252" s="53"/>
    </row>
    <row r="253" spans="1:9" ht="45">
      <c r="A253" s="103"/>
      <c r="B253" s="3" t="s">
        <v>264</v>
      </c>
      <c r="C253" s="6" t="s">
        <v>266</v>
      </c>
      <c r="D253" s="7" t="s">
        <v>830</v>
      </c>
      <c r="E253" s="8" t="s">
        <v>590</v>
      </c>
      <c r="F253" s="8"/>
      <c r="G253" s="53">
        <f>1200+150+500</f>
        <v>1850</v>
      </c>
      <c r="H253" s="3">
        <f t="shared" si="12"/>
        <v>1850</v>
      </c>
      <c r="I253" s="9">
        <f t="shared" ref="I253:I278" si="16">H253/SUM(H$251:H$278)</f>
        <v>0.16591928251121077</v>
      </c>
    </row>
    <row r="254" spans="1:9">
      <c r="A254" s="103"/>
      <c r="B254" s="3" t="s">
        <v>265</v>
      </c>
      <c r="C254" s="6" t="s">
        <v>263</v>
      </c>
      <c r="D254" s="7"/>
      <c r="E254" s="8" t="s">
        <v>591</v>
      </c>
      <c r="F254" s="8"/>
      <c r="G254" s="53"/>
    </row>
    <row r="255" spans="1:9">
      <c r="A255" s="103"/>
      <c r="B255" s="3" t="s">
        <v>266</v>
      </c>
      <c r="C255" s="6" t="s">
        <v>279</v>
      </c>
      <c r="D255" s="7"/>
      <c r="E255" s="8" t="s">
        <v>592</v>
      </c>
      <c r="F255" s="8"/>
      <c r="G255" s="53"/>
    </row>
    <row r="256" spans="1:9" ht="30">
      <c r="A256" s="103"/>
      <c r="B256" s="3" t="s">
        <v>267</v>
      </c>
      <c r="C256" s="6" t="s">
        <v>272</v>
      </c>
      <c r="D256" s="7"/>
      <c r="E256" s="8" t="s">
        <v>593</v>
      </c>
      <c r="F256" s="8"/>
      <c r="G256" s="53"/>
    </row>
    <row r="257" spans="1:7">
      <c r="A257" s="103"/>
      <c r="B257" s="3" t="s">
        <v>268</v>
      </c>
      <c r="C257" s="6" t="s">
        <v>271</v>
      </c>
      <c r="D257" s="7"/>
      <c r="E257" s="8" t="s">
        <v>594</v>
      </c>
      <c r="F257" s="8"/>
      <c r="G257" s="53"/>
    </row>
    <row r="258" spans="1:7" ht="30">
      <c r="A258" s="103"/>
      <c r="B258" s="3" t="s">
        <v>269</v>
      </c>
      <c r="C258" s="6" t="s">
        <v>275</v>
      </c>
      <c r="D258" s="7"/>
      <c r="E258" s="8" t="s">
        <v>595</v>
      </c>
      <c r="F258" s="8"/>
      <c r="G258" s="53"/>
    </row>
    <row r="259" spans="1:7">
      <c r="A259" s="103"/>
      <c r="B259" s="3" t="s">
        <v>270</v>
      </c>
      <c r="C259" s="6" t="s">
        <v>267</v>
      </c>
      <c r="D259" s="7"/>
      <c r="E259" s="8" t="s">
        <v>596</v>
      </c>
      <c r="F259" s="8"/>
      <c r="G259" s="53"/>
    </row>
    <row r="260" spans="1:7">
      <c r="A260" s="103"/>
      <c r="B260" s="3" t="s">
        <v>271</v>
      </c>
      <c r="C260" s="6" t="s">
        <v>274</v>
      </c>
      <c r="D260" s="7"/>
      <c r="E260" s="8" t="s">
        <v>597</v>
      </c>
      <c r="F260" s="8"/>
      <c r="G260" s="53"/>
    </row>
    <row r="261" spans="1:7">
      <c r="A261" s="103"/>
      <c r="B261" s="3" t="s">
        <v>272</v>
      </c>
      <c r="C261" s="6" t="s">
        <v>282</v>
      </c>
      <c r="D261" s="7"/>
      <c r="E261" s="8" t="s">
        <v>598</v>
      </c>
      <c r="F261" s="8"/>
      <c r="G261" s="53"/>
    </row>
    <row r="262" spans="1:7">
      <c r="A262" s="103"/>
      <c r="B262" s="3" t="s">
        <v>273</v>
      </c>
      <c r="C262" s="6" t="s">
        <v>287</v>
      </c>
      <c r="D262" s="7"/>
      <c r="E262" s="8" t="s">
        <v>599</v>
      </c>
      <c r="F262" s="8"/>
      <c r="G262" s="53"/>
    </row>
    <row r="263" spans="1:7">
      <c r="A263" s="103"/>
      <c r="B263" s="3" t="s">
        <v>274</v>
      </c>
      <c r="C263" s="6" t="s">
        <v>265</v>
      </c>
      <c r="D263" s="7"/>
      <c r="E263" s="8" t="s">
        <v>600</v>
      </c>
      <c r="F263" s="8"/>
      <c r="G263" s="53"/>
    </row>
    <row r="264" spans="1:7">
      <c r="A264" s="103"/>
      <c r="B264" s="3" t="s">
        <v>275</v>
      </c>
      <c r="C264" s="6" t="s">
        <v>293</v>
      </c>
      <c r="D264" s="7"/>
      <c r="E264" s="8" t="s">
        <v>601</v>
      </c>
      <c r="F264" s="8"/>
      <c r="G264" s="53"/>
    </row>
    <row r="265" spans="1:7">
      <c r="A265" s="103"/>
      <c r="B265" s="3" t="s">
        <v>276</v>
      </c>
      <c r="C265" s="6" t="s">
        <v>292</v>
      </c>
      <c r="D265" s="7"/>
      <c r="E265" s="8" t="s">
        <v>602</v>
      </c>
      <c r="F265" s="8"/>
      <c r="G265" s="53"/>
    </row>
    <row r="266" spans="1:7">
      <c r="A266" s="103"/>
      <c r="B266" s="3" t="s">
        <v>277</v>
      </c>
      <c r="C266" s="6" t="s">
        <v>291</v>
      </c>
      <c r="D266" s="7"/>
      <c r="E266" s="8" t="s">
        <v>603</v>
      </c>
      <c r="F266" s="8"/>
      <c r="G266" s="53"/>
    </row>
    <row r="267" spans="1:7">
      <c r="A267" s="103"/>
      <c r="B267" s="3" t="s">
        <v>278</v>
      </c>
      <c r="C267" s="6" t="s">
        <v>290</v>
      </c>
      <c r="D267" s="7"/>
      <c r="E267" s="8" t="s">
        <v>604</v>
      </c>
      <c r="F267" s="8"/>
      <c r="G267" s="53"/>
    </row>
    <row r="268" spans="1:7" ht="30">
      <c r="A268" s="103"/>
      <c r="B268" s="3" t="s">
        <v>279</v>
      </c>
      <c r="C268" s="6" t="s">
        <v>289</v>
      </c>
      <c r="D268" s="7"/>
      <c r="E268" s="8" t="s">
        <v>605</v>
      </c>
      <c r="F268" s="8"/>
      <c r="G268" s="53"/>
    </row>
    <row r="269" spans="1:7" ht="30">
      <c r="A269" s="103"/>
      <c r="B269" s="3" t="s">
        <v>280</v>
      </c>
      <c r="C269" s="6" t="s">
        <v>286</v>
      </c>
      <c r="D269" s="7"/>
      <c r="E269" s="8" t="s">
        <v>606</v>
      </c>
      <c r="F269" s="8"/>
      <c r="G269" s="53"/>
    </row>
    <row r="270" spans="1:7">
      <c r="A270" s="103"/>
      <c r="B270" s="3" t="s">
        <v>281</v>
      </c>
      <c r="C270" s="6" t="s">
        <v>283</v>
      </c>
      <c r="D270" s="7"/>
      <c r="E270" s="8" t="s">
        <v>607</v>
      </c>
      <c r="F270" s="8"/>
      <c r="G270" s="53"/>
    </row>
    <row r="271" spans="1:7">
      <c r="A271" s="103"/>
      <c r="B271" s="3" t="s">
        <v>282</v>
      </c>
      <c r="C271" s="6" t="s">
        <v>276</v>
      </c>
      <c r="D271" s="7"/>
      <c r="E271" s="8" t="s">
        <v>608</v>
      </c>
      <c r="F271" s="8"/>
      <c r="G271" s="53"/>
    </row>
    <row r="272" spans="1:7">
      <c r="A272" s="103"/>
      <c r="B272" s="3" t="s">
        <v>283</v>
      </c>
      <c r="C272" s="6" t="s">
        <v>273</v>
      </c>
      <c r="D272" s="7"/>
      <c r="E272" s="8" t="s">
        <v>609</v>
      </c>
      <c r="F272" s="8"/>
      <c r="G272" s="53"/>
    </row>
    <row r="273" spans="1:9" ht="30">
      <c r="A273" s="103"/>
      <c r="B273" s="3" t="s">
        <v>284</v>
      </c>
      <c r="C273" s="6" t="s">
        <v>288</v>
      </c>
      <c r="D273" s="7"/>
      <c r="E273" s="8" t="s">
        <v>610</v>
      </c>
      <c r="F273" s="8"/>
      <c r="G273" s="53"/>
    </row>
    <row r="274" spans="1:9">
      <c r="A274" s="103"/>
      <c r="B274" s="3" t="s">
        <v>285</v>
      </c>
      <c r="C274" s="6" t="s">
        <v>284</v>
      </c>
      <c r="D274" s="7"/>
      <c r="E274" s="8" t="s">
        <v>611</v>
      </c>
      <c r="F274" s="8"/>
      <c r="G274" s="53"/>
    </row>
    <row r="275" spans="1:9">
      <c r="A275" s="103"/>
      <c r="B275" s="3" t="s">
        <v>286</v>
      </c>
      <c r="C275" s="6" t="s">
        <v>281</v>
      </c>
      <c r="D275" s="7"/>
      <c r="E275" s="8" t="s">
        <v>612</v>
      </c>
      <c r="F275" s="8"/>
      <c r="G275" s="53"/>
    </row>
    <row r="276" spans="1:9">
      <c r="A276" s="103"/>
      <c r="B276" s="3" t="s">
        <v>287</v>
      </c>
      <c r="C276" s="6" t="s">
        <v>278</v>
      </c>
      <c r="D276" s="7"/>
      <c r="E276" s="8" t="s">
        <v>613</v>
      </c>
      <c r="F276" s="8"/>
      <c r="G276" s="53"/>
    </row>
    <row r="277" spans="1:9">
      <c r="A277" s="103"/>
      <c r="B277" s="3" t="s">
        <v>288</v>
      </c>
      <c r="C277" s="6" t="s">
        <v>255</v>
      </c>
      <c r="D277" s="7" t="s">
        <v>846</v>
      </c>
      <c r="E277" s="8" t="s">
        <v>614</v>
      </c>
      <c r="F277" s="8">
        <v>4900</v>
      </c>
      <c r="G277" s="53"/>
      <c r="H277" s="3">
        <f t="shared" ref="H277:H278" si="17">SUM($F277:$G277)</f>
        <v>4900</v>
      </c>
      <c r="I277" s="9">
        <f t="shared" si="16"/>
        <v>0.43946188340807174</v>
      </c>
    </row>
    <row r="278" spans="1:9">
      <c r="A278" s="103"/>
      <c r="B278" s="3" t="s">
        <v>289</v>
      </c>
      <c r="C278" s="6" t="s">
        <v>256</v>
      </c>
      <c r="D278" s="7" t="s">
        <v>897</v>
      </c>
      <c r="E278" s="8" t="s">
        <v>615</v>
      </c>
      <c r="F278" s="8"/>
      <c r="G278" s="53">
        <v>1200</v>
      </c>
      <c r="H278" s="3">
        <f t="shared" si="17"/>
        <v>1200</v>
      </c>
      <c r="I278" s="9">
        <f t="shared" si="16"/>
        <v>0.10762331838565023</v>
      </c>
    </row>
    <row r="279" spans="1:9">
      <c r="A279" s="103"/>
      <c r="B279" s="3" t="s">
        <v>290</v>
      </c>
      <c r="C279" s="6" t="s">
        <v>261</v>
      </c>
      <c r="D279" s="7"/>
      <c r="E279" s="8" t="s">
        <v>616</v>
      </c>
      <c r="F279" s="8"/>
      <c r="G279" s="53"/>
    </row>
    <row r="280" spans="1:9">
      <c r="A280" s="103"/>
      <c r="B280" s="3" t="s">
        <v>291</v>
      </c>
      <c r="C280" s="6" t="s">
        <v>259</v>
      </c>
      <c r="D280" s="7"/>
      <c r="E280" s="8" t="s">
        <v>617</v>
      </c>
      <c r="F280" s="8"/>
      <c r="G280" s="53"/>
    </row>
    <row r="281" spans="1:9">
      <c r="A281" s="103"/>
      <c r="B281" s="3" t="s">
        <v>292</v>
      </c>
      <c r="C281" s="6" t="s">
        <v>260</v>
      </c>
      <c r="D281" s="28"/>
      <c r="E281" s="8" t="s">
        <v>618</v>
      </c>
      <c r="F281" s="8"/>
      <c r="G281" s="53"/>
    </row>
    <row r="282" spans="1:9">
      <c r="A282" s="103"/>
      <c r="B282" s="3" t="s">
        <v>293</v>
      </c>
      <c r="C282" s="6" t="s">
        <v>258</v>
      </c>
      <c r="D282" s="7"/>
      <c r="E282" s="8" t="s">
        <v>619</v>
      </c>
      <c r="F282" s="8"/>
      <c r="G282" s="53"/>
    </row>
    <row r="283" spans="1:9">
      <c r="A283" s="103"/>
      <c r="B283" s="3" t="s">
        <v>294</v>
      </c>
      <c r="C283" s="6" t="s">
        <v>257</v>
      </c>
      <c r="D283" s="7"/>
      <c r="E283" s="8" t="s">
        <v>620</v>
      </c>
      <c r="F283" s="8"/>
      <c r="G283" s="53"/>
    </row>
    <row r="284" spans="1:9">
      <c r="A284" s="103"/>
      <c r="B284" s="3" t="s">
        <v>295</v>
      </c>
      <c r="C284" s="6" t="s">
        <v>262</v>
      </c>
      <c r="D284" s="7"/>
      <c r="E284" s="8" t="s">
        <v>621</v>
      </c>
      <c r="F284" s="8"/>
      <c r="G284" s="53"/>
    </row>
    <row r="285" spans="1:9">
      <c r="A285" s="103" t="s">
        <v>27</v>
      </c>
      <c r="B285" s="3" t="s">
        <v>296</v>
      </c>
      <c r="C285" s="14" t="s">
        <v>298</v>
      </c>
      <c r="E285" s="13" t="s">
        <v>630</v>
      </c>
      <c r="F285" s="13"/>
      <c r="G285" s="44"/>
    </row>
    <row r="286" spans="1:9">
      <c r="A286" s="103"/>
      <c r="B286" s="3" t="s">
        <v>297</v>
      </c>
      <c r="C286" s="13" t="s">
        <v>297</v>
      </c>
      <c r="E286" s="13" t="s">
        <v>631</v>
      </c>
      <c r="F286" s="13"/>
      <c r="G286" s="44"/>
    </row>
    <row r="287" spans="1:9">
      <c r="A287" s="103"/>
      <c r="B287" s="3" t="s">
        <v>298</v>
      </c>
      <c r="C287" s="13" t="s">
        <v>299</v>
      </c>
      <c r="E287" s="13" t="s">
        <v>632</v>
      </c>
      <c r="F287" s="13"/>
      <c r="G287" s="44"/>
    </row>
    <row r="288" spans="1:9">
      <c r="A288" s="103"/>
      <c r="B288" s="3" t="s">
        <v>299</v>
      </c>
      <c r="C288" s="6" t="s">
        <v>626</v>
      </c>
      <c r="E288" s="13" t="s">
        <v>633</v>
      </c>
      <c r="F288" s="13"/>
      <c r="G288" s="44"/>
    </row>
    <row r="289" spans="1:7">
      <c r="A289" s="103"/>
      <c r="B289" s="3" t="s">
        <v>300</v>
      </c>
      <c r="C289" s="14" t="s">
        <v>627</v>
      </c>
      <c r="E289" s="13" t="s">
        <v>634</v>
      </c>
      <c r="F289" s="13"/>
      <c r="G289" s="44"/>
    </row>
    <row r="290" spans="1:7">
      <c r="A290" s="103"/>
      <c r="B290" s="3" t="s">
        <v>301</v>
      </c>
      <c r="C290" s="14" t="s">
        <v>628</v>
      </c>
      <c r="E290" s="13" t="s">
        <v>635</v>
      </c>
      <c r="F290" s="13"/>
      <c r="G290" s="44"/>
    </row>
    <row r="291" spans="1:7">
      <c r="A291" s="103"/>
      <c r="B291" s="3" t="s">
        <v>302</v>
      </c>
      <c r="C291" s="14" t="s">
        <v>629</v>
      </c>
      <c r="E291" s="13" t="s">
        <v>636</v>
      </c>
      <c r="F291" s="13"/>
      <c r="G291" s="44"/>
    </row>
    <row r="292" spans="1:7">
      <c r="A292" s="103" t="s">
        <v>637</v>
      </c>
      <c r="B292" s="3" t="s">
        <v>303</v>
      </c>
      <c r="C292" s="14" t="s">
        <v>305</v>
      </c>
      <c r="D292" s="15"/>
      <c r="E292" s="14" t="s">
        <v>638</v>
      </c>
      <c r="F292" s="14"/>
      <c r="G292" s="56"/>
    </row>
    <row r="293" spans="1:7">
      <c r="A293" s="103"/>
      <c r="B293" s="3" t="s">
        <v>304</v>
      </c>
      <c r="C293" s="14" t="s">
        <v>307</v>
      </c>
      <c r="D293" s="15"/>
      <c r="E293" s="14" t="s">
        <v>639</v>
      </c>
      <c r="F293" s="14"/>
      <c r="G293" s="56"/>
    </row>
    <row r="294" spans="1:7">
      <c r="A294" s="103"/>
      <c r="B294" s="3" t="s">
        <v>305</v>
      </c>
      <c r="C294" s="14" t="s">
        <v>309</v>
      </c>
      <c r="D294" s="15"/>
      <c r="E294" s="14" t="s">
        <v>640</v>
      </c>
      <c r="F294" s="14"/>
      <c r="G294" s="56"/>
    </row>
    <row r="295" spans="1:7">
      <c r="A295" s="103"/>
      <c r="B295" s="3" t="s">
        <v>306</v>
      </c>
      <c r="C295" s="14" t="s">
        <v>303</v>
      </c>
      <c r="D295" s="15"/>
      <c r="E295" s="14" t="s">
        <v>641</v>
      </c>
      <c r="F295" s="14"/>
      <c r="G295" s="56"/>
    </row>
    <row r="296" spans="1:7">
      <c r="A296" s="103"/>
      <c r="B296" s="3" t="s">
        <v>307</v>
      </c>
      <c r="C296" s="14" t="s">
        <v>308</v>
      </c>
      <c r="D296" s="15"/>
      <c r="E296" s="14" t="s">
        <v>642</v>
      </c>
      <c r="F296" s="14"/>
      <c r="G296" s="56"/>
    </row>
    <row r="297" spans="1:7">
      <c r="A297" s="103"/>
      <c r="B297" s="3" t="s">
        <v>308</v>
      </c>
      <c r="C297" s="14" t="s">
        <v>304</v>
      </c>
      <c r="D297" s="15"/>
      <c r="E297" s="14" t="s">
        <v>643</v>
      </c>
      <c r="F297" s="14"/>
      <c r="G297" s="56"/>
    </row>
    <row r="298" spans="1:7">
      <c r="A298" s="103"/>
      <c r="B298" s="3" t="s">
        <v>309</v>
      </c>
      <c r="C298" s="14" t="s">
        <v>306</v>
      </c>
      <c r="D298" s="15"/>
      <c r="E298" s="14" t="s">
        <v>644</v>
      </c>
      <c r="F298" s="14"/>
      <c r="G298" s="56"/>
    </row>
    <row r="299" spans="1:7">
      <c r="A299" s="29" t="s">
        <v>28</v>
      </c>
      <c r="B299" s="3" t="s">
        <v>310</v>
      </c>
      <c r="C299" s="31" t="s">
        <v>310</v>
      </c>
      <c r="D299" s="30"/>
      <c r="E299" s="31" t="s">
        <v>645</v>
      </c>
      <c r="F299" s="31"/>
      <c r="G299" s="57"/>
    </row>
    <row r="300" spans="1:7">
      <c r="A300" s="50" t="s">
        <v>29</v>
      </c>
      <c r="B300" s="3" t="s">
        <v>311</v>
      </c>
      <c r="C300" s="13" t="s">
        <v>311</v>
      </c>
      <c r="D300" s="8"/>
      <c r="E300" s="8" t="s">
        <v>646</v>
      </c>
      <c r="F300" s="8"/>
      <c r="G300" s="53"/>
    </row>
    <row r="301" spans="1:7">
      <c r="A301" s="103" t="s">
        <v>30</v>
      </c>
      <c r="B301" s="3" t="s">
        <v>35</v>
      </c>
      <c r="C301" s="13" t="s">
        <v>33</v>
      </c>
      <c r="D301" s="8"/>
      <c r="E301" s="13" t="s">
        <v>647</v>
      </c>
      <c r="F301" s="13"/>
      <c r="G301" s="44"/>
    </row>
    <row r="302" spans="1:7">
      <c r="A302" s="103"/>
      <c r="B302" s="3" t="s">
        <v>34</v>
      </c>
      <c r="C302" s="13" t="s">
        <v>34</v>
      </c>
      <c r="D302" s="8"/>
      <c r="E302" s="13" t="s">
        <v>648</v>
      </c>
      <c r="F302" s="13"/>
      <c r="G302" s="44"/>
    </row>
    <row r="303" spans="1:7">
      <c r="A303" s="103"/>
      <c r="B303" s="3" t="s">
        <v>33</v>
      </c>
      <c r="C303" s="13" t="s">
        <v>35</v>
      </c>
      <c r="D303" s="8"/>
      <c r="E303" s="13" t="s">
        <v>649</v>
      </c>
      <c r="F303" s="13"/>
      <c r="G303" s="44"/>
    </row>
    <row r="304" spans="1:7">
      <c r="A304" s="103" t="s">
        <v>31</v>
      </c>
      <c r="B304" s="3" t="s">
        <v>312</v>
      </c>
      <c r="C304" s="13" t="s">
        <v>315</v>
      </c>
      <c r="D304" s="8"/>
      <c r="E304" s="13" t="s">
        <v>650</v>
      </c>
      <c r="F304" s="13"/>
      <c r="G304" s="44"/>
    </row>
    <row r="305" spans="1:7">
      <c r="A305" s="103"/>
      <c r="B305" s="3" t="s">
        <v>313</v>
      </c>
      <c r="C305" s="13" t="s">
        <v>314</v>
      </c>
      <c r="D305" s="8"/>
      <c r="E305" s="13" t="s">
        <v>651</v>
      </c>
      <c r="F305" s="13"/>
      <c r="G305" s="44"/>
    </row>
    <row r="306" spans="1:7">
      <c r="A306" s="103"/>
      <c r="B306" s="3" t="s">
        <v>314</v>
      </c>
      <c r="C306" s="13" t="s">
        <v>313</v>
      </c>
      <c r="D306" s="8"/>
      <c r="E306" s="8" t="s">
        <v>652</v>
      </c>
      <c r="F306" s="8"/>
      <c r="G306" s="53"/>
    </row>
    <row r="307" spans="1:7">
      <c r="A307" s="103"/>
      <c r="B307" s="3" t="s">
        <v>315</v>
      </c>
      <c r="C307" s="13" t="s">
        <v>312</v>
      </c>
      <c r="D307" s="8"/>
      <c r="E307" s="8" t="s">
        <v>653</v>
      </c>
      <c r="F307" s="8"/>
      <c r="G307" s="53"/>
    </row>
    <row r="308" spans="1:7">
      <c r="A308" s="29" t="s">
        <v>32</v>
      </c>
      <c r="B308" s="3" t="s">
        <v>316</v>
      </c>
      <c r="C308" s="32" t="s">
        <v>656</v>
      </c>
    </row>
    <row r="309" spans="1:7">
      <c r="A309" s="29" t="s">
        <v>655</v>
      </c>
      <c r="B309" s="3" t="s">
        <v>658</v>
      </c>
      <c r="C309" s="32" t="s">
        <v>658</v>
      </c>
      <c r="E309" s="3" t="s">
        <v>655</v>
      </c>
    </row>
    <row r="310" spans="1:7">
      <c r="A310" s="29" t="s">
        <v>654</v>
      </c>
      <c r="C310" s="32" t="s">
        <v>657</v>
      </c>
      <c r="E310" s="3" t="s">
        <v>654</v>
      </c>
    </row>
  </sheetData>
  <mergeCells count="27">
    <mergeCell ref="A292:A298"/>
    <mergeCell ref="A301:A303"/>
    <mergeCell ref="A304:A307"/>
    <mergeCell ref="A225:A226"/>
    <mergeCell ref="A227:A230"/>
    <mergeCell ref="A231:A235"/>
    <mergeCell ref="A236:A243"/>
    <mergeCell ref="A244:A284"/>
    <mergeCell ref="A285:A291"/>
    <mergeCell ref="A217:A224"/>
    <mergeCell ref="A74:A86"/>
    <mergeCell ref="A87:A105"/>
    <mergeCell ref="A106:A132"/>
    <mergeCell ref="A133:A136"/>
    <mergeCell ref="A137:A157"/>
    <mergeCell ref="A160:A161"/>
    <mergeCell ref="A163:A170"/>
    <mergeCell ref="A172:A183"/>
    <mergeCell ref="A184:A192"/>
    <mergeCell ref="A193:A209"/>
    <mergeCell ref="A210:A216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0"/>
  <sheetViews>
    <sheetView tabSelected="1" topLeftCell="A226" zoomScaleNormal="100" workbookViewId="0">
      <selection activeCell="G125" sqref="G125"/>
    </sheetView>
  </sheetViews>
  <sheetFormatPr baseColWidth="10" defaultColWidth="10.875" defaultRowHeight="15"/>
  <cols>
    <col min="1" max="1" width="19" style="3" bestFit="1" customWidth="1"/>
    <col min="2" max="2" width="13.5" style="3" hidden="1" customWidth="1"/>
    <col min="3" max="3" width="6.125" style="3" bestFit="1" customWidth="1"/>
    <col min="4" max="4" width="4.125" style="3" hidden="1" customWidth="1"/>
    <col min="5" max="5" width="29.875" style="3" hidden="1" customWidth="1"/>
    <col min="6" max="6" width="21" style="43" bestFit="1" customWidth="1"/>
    <col min="7" max="7" width="21" style="43" customWidth="1"/>
    <col min="8" max="8" width="22.5" style="9" customWidth="1"/>
    <col min="9" max="9" width="24" style="9" bestFit="1" customWidth="1"/>
    <col min="10" max="10" width="16.875" style="3" bestFit="1" customWidth="1"/>
    <col min="11" max="11" width="20.625" style="3" bestFit="1" customWidth="1"/>
    <col min="12" max="16384" width="10.875" style="3"/>
  </cols>
  <sheetData>
    <row r="1" spans="1:16">
      <c r="A1" s="25" t="s">
        <v>0</v>
      </c>
      <c r="B1" s="25" t="s">
        <v>659</v>
      </c>
      <c r="C1" s="25" t="s">
        <v>1</v>
      </c>
      <c r="D1" s="25" t="s">
        <v>2</v>
      </c>
      <c r="E1" s="25" t="s">
        <v>660</v>
      </c>
      <c r="F1" s="52" t="s">
        <v>907</v>
      </c>
      <c r="G1" s="52" t="s">
        <v>909</v>
      </c>
      <c r="H1" s="26" t="s">
        <v>910</v>
      </c>
      <c r="I1" s="85" t="s">
        <v>911</v>
      </c>
      <c r="J1" s="1"/>
      <c r="K1" s="1"/>
      <c r="M1" s="4"/>
      <c r="N1" s="4"/>
      <c r="O1" s="4"/>
      <c r="P1" s="4"/>
    </row>
    <row r="2" spans="1:16" ht="29.25">
      <c r="A2" s="103" t="s">
        <v>3</v>
      </c>
      <c r="B2" s="3" t="s">
        <v>37</v>
      </c>
      <c r="C2" s="33" t="s">
        <v>36</v>
      </c>
      <c r="D2" s="18"/>
      <c r="E2" s="19" t="s">
        <v>622</v>
      </c>
      <c r="H2" s="9">
        <f>F2/SUM(F$2:F$12)</f>
        <v>0</v>
      </c>
      <c r="I2" s="9">
        <f>G2/SUM(G$2:G$12)</f>
        <v>0</v>
      </c>
      <c r="J2" s="4"/>
      <c r="K2" s="4"/>
      <c r="L2" s="16"/>
      <c r="M2" s="4"/>
    </row>
    <row r="3" spans="1:16">
      <c r="A3" s="103"/>
      <c r="B3" s="3" t="s">
        <v>38</v>
      </c>
      <c r="C3" s="33" t="s">
        <v>46</v>
      </c>
      <c r="D3" s="18"/>
      <c r="E3" s="19" t="s">
        <v>317</v>
      </c>
      <c r="H3" s="9">
        <f t="shared" ref="H3:I12" si="0">F3/SUM(F$2:F$12)</f>
        <v>0</v>
      </c>
      <c r="I3" s="9">
        <f t="shared" si="0"/>
        <v>0</v>
      </c>
      <c r="J3" s="20"/>
      <c r="K3" s="4"/>
      <c r="L3" s="16"/>
      <c r="M3" s="4"/>
    </row>
    <row r="4" spans="1:16">
      <c r="A4" s="103"/>
      <c r="B4" s="3" t="s">
        <v>39</v>
      </c>
      <c r="C4" s="33" t="s">
        <v>40</v>
      </c>
      <c r="D4" s="18"/>
      <c r="E4" s="19" t="s">
        <v>318</v>
      </c>
      <c r="H4" s="9">
        <f t="shared" si="0"/>
        <v>0</v>
      </c>
      <c r="I4" s="9">
        <f t="shared" si="0"/>
        <v>0</v>
      </c>
      <c r="J4" s="4"/>
      <c r="K4" s="4"/>
      <c r="L4" s="16"/>
      <c r="M4" s="4"/>
    </row>
    <row r="5" spans="1:16">
      <c r="A5" s="103"/>
      <c r="B5" s="3" t="s">
        <v>40</v>
      </c>
      <c r="C5" s="33" t="s">
        <v>44</v>
      </c>
      <c r="D5" s="18"/>
      <c r="E5" s="19" t="s">
        <v>319</v>
      </c>
      <c r="H5" s="9">
        <f t="shared" si="0"/>
        <v>0</v>
      </c>
      <c r="I5" s="9">
        <f t="shared" si="0"/>
        <v>0</v>
      </c>
      <c r="J5" s="4"/>
      <c r="K5" s="4"/>
      <c r="L5" s="16"/>
      <c r="M5" s="4"/>
    </row>
    <row r="6" spans="1:16">
      <c r="A6" s="103"/>
      <c r="B6" s="3" t="s">
        <v>41</v>
      </c>
      <c r="C6" s="33" t="s">
        <v>45</v>
      </c>
      <c r="D6" s="18"/>
      <c r="E6" s="19" t="s">
        <v>320</v>
      </c>
      <c r="H6" s="9">
        <f t="shared" si="0"/>
        <v>0</v>
      </c>
      <c r="I6" s="9">
        <f t="shared" si="0"/>
        <v>0</v>
      </c>
      <c r="J6" s="4"/>
      <c r="K6" s="4"/>
      <c r="L6" s="16"/>
      <c r="M6" s="4"/>
    </row>
    <row r="7" spans="1:16">
      <c r="A7" s="103"/>
      <c r="B7" s="3" t="s">
        <v>42</v>
      </c>
      <c r="C7" s="33" t="s">
        <v>37</v>
      </c>
      <c r="D7" s="18"/>
      <c r="E7" s="19" t="s">
        <v>321</v>
      </c>
      <c r="H7" s="9">
        <f t="shared" si="0"/>
        <v>0</v>
      </c>
      <c r="I7" s="9">
        <f t="shared" si="0"/>
        <v>0</v>
      </c>
      <c r="J7" s="4"/>
      <c r="K7" s="4"/>
      <c r="L7" s="16"/>
      <c r="M7" s="4"/>
    </row>
    <row r="8" spans="1:16">
      <c r="A8" s="103"/>
      <c r="B8" s="3" t="s">
        <v>43</v>
      </c>
      <c r="C8" s="33" t="s">
        <v>43</v>
      </c>
      <c r="D8" s="18"/>
      <c r="E8" s="19" t="s">
        <v>322</v>
      </c>
      <c r="H8" s="9">
        <f t="shared" si="0"/>
        <v>0</v>
      </c>
      <c r="I8" s="9">
        <f t="shared" si="0"/>
        <v>0</v>
      </c>
      <c r="J8" s="4"/>
      <c r="K8" s="4"/>
      <c r="L8" s="16"/>
      <c r="M8" s="4"/>
    </row>
    <row r="9" spans="1:16" ht="15.75">
      <c r="A9" s="103"/>
      <c r="B9" s="3" t="s">
        <v>44</v>
      </c>
      <c r="C9" s="33" t="s">
        <v>42</v>
      </c>
      <c r="D9" s="18"/>
      <c r="E9" s="19" t="s">
        <v>323</v>
      </c>
      <c r="F9" s="83">
        <f>764.222460718619+1584.273359</f>
        <v>2348.4958197186188</v>
      </c>
      <c r="G9" s="83">
        <f>2936.732187+11425.82465</f>
        <v>14362.556837</v>
      </c>
      <c r="H9" s="9">
        <f t="shared" si="0"/>
        <v>0.65003506590265381</v>
      </c>
      <c r="I9" s="9">
        <f t="shared" si="0"/>
        <v>0.74722169587631349</v>
      </c>
      <c r="J9" s="4"/>
      <c r="K9" s="4"/>
      <c r="L9" s="16"/>
      <c r="M9" s="4"/>
    </row>
    <row r="10" spans="1:16" ht="15.75">
      <c r="A10" s="103"/>
      <c r="B10" s="3" t="s">
        <v>45</v>
      </c>
      <c r="C10" s="33" t="s">
        <v>41</v>
      </c>
      <c r="D10" s="18"/>
      <c r="E10" s="19" t="s">
        <v>324</v>
      </c>
      <c r="F10" s="83">
        <v>1264.37976639679</v>
      </c>
      <c r="G10" s="83">
        <v>4858.722358</v>
      </c>
      <c r="H10" s="9">
        <f t="shared" si="0"/>
        <v>0.34996493409734619</v>
      </c>
      <c r="I10" s="9">
        <f t="shared" si="0"/>
        <v>0.25277830412368663</v>
      </c>
      <c r="J10" s="4"/>
      <c r="K10" s="4"/>
      <c r="L10" s="16"/>
      <c r="M10" s="4"/>
    </row>
    <row r="11" spans="1:16">
      <c r="A11" s="103"/>
      <c r="B11" s="3" t="s">
        <v>36</v>
      </c>
      <c r="C11" s="33" t="s">
        <v>39</v>
      </c>
      <c r="D11" s="18"/>
      <c r="E11" s="19" t="s">
        <v>325</v>
      </c>
      <c r="H11" s="9">
        <f t="shared" si="0"/>
        <v>0</v>
      </c>
      <c r="I11" s="9">
        <f t="shared" si="0"/>
        <v>0</v>
      </c>
      <c r="J11" s="4"/>
      <c r="K11" s="4"/>
      <c r="L11" s="16"/>
      <c r="M11" s="4"/>
    </row>
    <row r="12" spans="1:16">
      <c r="A12" s="103"/>
      <c r="B12" s="3" t="s">
        <v>46</v>
      </c>
      <c r="C12" s="33" t="s">
        <v>38</v>
      </c>
      <c r="D12" s="18"/>
      <c r="E12" s="19" t="s">
        <v>326</v>
      </c>
      <c r="H12" s="9">
        <f t="shared" si="0"/>
        <v>0</v>
      </c>
      <c r="I12" s="9">
        <f t="shared" si="0"/>
        <v>0</v>
      </c>
      <c r="J12" s="4"/>
      <c r="K12" s="4"/>
      <c r="L12" s="16"/>
      <c r="M12" s="4"/>
    </row>
    <row r="13" spans="1:16" ht="15.75">
      <c r="A13" s="103" t="s">
        <v>4</v>
      </c>
      <c r="B13" s="3" t="s">
        <v>47</v>
      </c>
      <c r="C13" s="33" t="s">
        <v>47</v>
      </c>
      <c r="D13" s="18"/>
      <c r="E13" s="19" t="s">
        <v>327</v>
      </c>
      <c r="F13" s="83">
        <f>505.751906649795+546.0330319</f>
        <v>1051.784938549795</v>
      </c>
      <c r="G13" s="83">
        <f>1943.488944+2098.280098</f>
        <v>4041.7690419999999</v>
      </c>
      <c r="H13" s="9">
        <f>F13/SUM(F$13:F$18)</f>
        <v>0.64686567956387098</v>
      </c>
      <c r="I13" s="9">
        <f>G13/SUM(G$13:G$18)</f>
        <v>0.47840096335640819</v>
      </c>
      <c r="J13" s="4"/>
      <c r="K13" s="4"/>
      <c r="L13" s="16"/>
      <c r="M13" s="4"/>
    </row>
    <row r="14" spans="1:16">
      <c r="A14" s="103"/>
      <c r="B14" s="3" t="s">
        <v>48</v>
      </c>
      <c r="C14" s="33" t="s">
        <v>49</v>
      </c>
      <c r="D14" s="18"/>
      <c r="E14" s="19" t="s">
        <v>328</v>
      </c>
      <c r="H14" s="9">
        <f t="shared" ref="H14:I18" si="1">F14/SUM(F$13:F$18)</f>
        <v>0</v>
      </c>
      <c r="I14" s="9">
        <f t="shared" si="1"/>
        <v>0</v>
      </c>
      <c r="J14" s="4"/>
      <c r="K14" s="4"/>
      <c r="L14" s="16"/>
      <c r="M14" s="4"/>
    </row>
    <row r="15" spans="1:16" ht="15.75">
      <c r="A15" s="103"/>
      <c r="B15" s="3" t="s">
        <v>49</v>
      </c>
      <c r="C15" s="33" t="s">
        <v>50</v>
      </c>
      <c r="D15" s="18"/>
      <c r="E15" s="19" t="s">
        <v>329</v>
      </c>
      <c r="F15" s="83">
        <v>574.18622019049894</v>
      </c>
      <c r="G15" s="83">
        <v>4406.7278290000004</v>
      </c>
      <c r="H15" s="9">
        <f t="shared" si="1"/>
        <v>0.35313432043612902</v>
      </c>
      <c r="I15" s="9">
        <f t="shared" si="1"/>
        <v>0.52159903664359197</v>
      </c>
      <c r="J15" s="4"/>
      <c r="K15" s="4"/>
      <c r="L15" s="16"/>
      <c r="M15" s="4"/>
    </row>
    <row r="16" spans="1:16">
      <c r="A16" s="103"/>
      <c r="B16" s="3" t="s">
        <v>50</v>
      </c>
      <c r="C16" s="33" t="s">
        <v>51</v>
      </c>
      <c r="D16" s="18"/>
      <c r="E16" s="19" t="s">
        <v>330</v>
      </c>
      <c r="H16" s="9">
        <f t="shared" si="1"/>
        <v>0</v>
      </c>
      <c r="I16" s="9">
        <f t="shared" si="1"/>
        <v>0</v>
      </c>
      <c r="J16" s="4"/>
      <c r="K16" s="4"/>
      <c r="L16" s="16"/>
      <c r="M16" s="4"/>
    </row>
    <row r="17" spans="1:13">
      <c r="A17" s="103"/>
      <c r="B17" s="3" t="s">
        <v>51</v>
      </c>
      <c r="C17" s="33" t="s">
        <v>52</v>
      </c>
      <c r="D17" s="18"/>
      <c r="E17" s="19" t="s">
        <v>331</v>
      </c>
      <c r="H17" s="9">
        <f t="shared" si="1"/>
        <v>0</v>
      </c>
      <c r="I17" s="9">
        <f t="shared" si="1"/>
        <v>0</v>
      </c>
      <c r="J17" s="4"/>
      <c r="K17" s="4"/>
      <c r="L17" s="16"/>
      <c r="M17" s="4"/>
    </row>
    <row r="18" spans="1:13">
      <c r="A18" s="103"/>
      <c r="B18" s="3" t="s">
        <v>52</v>
      </c>
      <c r="C18" s="33" t="s">
        <v>48</v>
      </c>
      <c r="D18" s="18"/>
      <c r="E18" s="19" t="s">
        <v>332</v>
      </c>
      <c r="H18" s="9">
        <f t="shared" si="1"/>
        <v>0</v>
      </c>
      <c r="I18" s="9">
        <f t="shared" si="1"/>
        <v>0</v>
      </c>
      <c r="J18" s="4"/>
      <c r="K18" s="4"/>
      <c r="L18" s="16"/>
      <c r="M18" s="4"/>
    </row>
    <row r="19" spans="1:13" ht="15.75">
      <c r="A19" s="103" t="s">
        <v>5</v>
      </c>
      <c r="B19" s="3" t="s">
        <v>53</v>
      </c>
      <c r="C19" s="33" t="s">
        <v>54</v>
      </c>
      <c r="D19" s="18"/>
      <c r="E19" s="19" t="s">
        <v>333</v>
      </c>
      <c r="F19" s="84">
        <v>544.91411181173805</v>
      </c>
      <c r="G19" s="84">
        <v>2093.9803440000001</v>
      </c>
      <c r="H19" s="9">
        <f>F19/SUM(F$19:F$26)</f>
        <v>0.19143081761686717</v>
      </c>
      <c r="I19" s="9">
        <f>G19/SUM(G$19:G$26)</f>
        <v>0.19143081760442107</v>
      </c>
      <c r="J19" s="4"/>
      <c r="K19" s="4"/>
      <c r="L19" s="16"/>
      <c r="M19" s="4"/>
    </row>
    <row r="20" spans="1:13">
      <c r="A20" s="103"/>
      <c r="B20" s="3" t="s">
        <v>54</v>
      </c>
      <c r="C20" s="33" t="s">
        <v>53</v>
      </c>
      <c r="D20" s="18"/>
      <c r="E20" s="19" t="s">
        <v>334</v>
      </c>
      <c r="H20" s="9">
        <f t="shared" ref="H20:I26" si="2">F20/SUM(F$19:F$26)</f>
        <v>0</v>
      </c>
      <c r="I20" s="9">
        <f t="shared" si="2"/>
        <v>0</v>
      </c>
      <c r="J20" s="4"/>
      <c r="K20" s="4"/>
      <c r="L20" s="16"/>
      <c r="M20" s="4"/>
    </row>
    <row r="21" spans="1:13">
      <c r="A21" s="103"/>
      <c r="B21" s="3" t="s">
        <v>55</v>
      </c>
      <c r="C21" s="33" t="s">
        <v>60</v>
      </c>
      <c r="D21" s="18"/>
      <c r="E21" s="19" t="s">
        <v>335</v>
      </c>
      <c r="H21" s="9">
        <f t="shared" si="2"/>
        <v>0</v>
      </c>
      <c r="I21" s="9">
        <f t="shared" si="2"/>
        <v>0</v>
      </c>
      <c r="J21" s="4"/>
      <c r="K21" s="4"/>
      <c r="L21" s="16"/>
      <c r="M21" s="4"/>
    </row>
    <row r="22" spans="1:13" ht="15.75">
      <c r="A22" s="103"/>
      <c r="B22" s="3" t="s">
        <v>56</v>
      </c>
      <c r="C22" s="33" t="s">
        <v>58</v>
      </c>
      <c r="D22" s="21"/>
      <c r="E22" s="19" t="s">
        <v>336</v>
      </c>
      <c r="F22" s="84">
        <v>452.04373954453598</v>
      </c>
      <c r="G22" s="84">
        <v>1737.100737</v>
      </c>
      <c r="H22" s="9">
        <f t="shared" si="2"/>
        <v>0.15880503144226446</v>
      </c>
      <c r="I22" s="9">
        <f t="shared" si="2"/>
        <v>0.15880503143116056</v>
      </c>
      <c r="J22" s="4"/>
      <c r="K22" s="4"/>
      <c r="L22" s="16"/>
      <c r="M22" s="4"/>
    </row>
    <row r="23" spans="1:13" ht="15.75">
      <c r="A23" s="103"/>
      <c r="B23" s="3" t="s">
        <v>57</v>
      </c>
      <c r="C23" s="33" t="s">
        <v>57</v>
      </c>
      <c r="D23" s="18"/>
      <c r="E23" s="19" t="s">
        <v>337</v>
      </c>
      <c r="F23" s="84">
        <v>580.71955651821804</v>
      </c>
      <c r="G23" s="84">
        <v>2231.572482</v>
      </c>
      <c r="H23" s="9">
        <f t="shared" si="2"/>
        <v>0.20400943396524515</v>
      </c>
      <c r="I23" s="9">
        <f t="shared" si="2"/>
        <v>0.20400943399342014</v>
      </c>
      <c r="J23" s="4"/>
      <c r="K23" s="4"/>
      <c r="L23" s="16"/>
      <c r="M23" s="4"/>
    </row>
    <row r="24" spans="1:13" ht="15.75">
      <c r="A24" s="103"/>
      <c r="B24" s="3" t="s">
        <v>58</v>
      </c>
      <c r="C24" s="33" t="s">
        <v>59</v>
      </c>
      <c r="D24" s="18"/>
      <c r="E24" s="19" t="s">
        <v>338</v>
      </c>
      <c r="F24" s="84">
        <v>676.94668914980298</v>
      </c>
      <c r="G24" s="84">
        <v>2601.3513509999998</v>
      </c>
      <c r="H24" s="9">
        <f t="shared" si="2"/>
        <v>0.23781446539551068</v>
      </c>
      <c r="I24" s="9">
        <f t="shared" si="2"/>
        <v>0.23781446536744344</v>
      </c>
      <c r="J24" s="4"/>
      <c r="K24" s="4"/>
      <c r="L24" s="16"/>
      <c r="M24" s="4"/>
    </row>
    <row r="25" spans="1:13" ht="15.75">
      <c r="A25" s="103"/>
      <c r="B25" s="3" t="s">
        <v>59</v>
      </c>
      <c r="C25" s="33" t="s">
        <v>55</v>
      </c>
      <c r="D25" s="18"/>
      <c r="E25" s="19" t="s">
        <v>339</v>
      </c>
      <c r="F25" s="84">
        <v>591.90875800607</v>
      </c>
      <c r="G25" s="84">
        <v>2274.570025</v>
      </c>
      <c r="H25" s="9">
        <f t="shared" si="2"/>
        <v>0.20794025158011248</v>
      </c>
      <c r="I25" s="9">
        <f t="shared" si="2"/>
        <v>0.20794025160355492</v>
      </c>
      <c r="J25" s="4"/>
      <c r="K25" s="4"/>
      <c r="L25" s="16"/>
      <c r="M25" s="4"/>
    </row>
    <row r="26" spans="1:13">
      <c r="A26" s="103"/>
      <c r="B26" s="3" t="s">
        <v>60</v>
      </c>
      <c r="C26" s="33" t="s">
        <v>56</v>
      </c>
      <c r="D26" s="18"/>
      <c r="E26" s="19" t="s">
        <v>340</v>
      </c>
      <c r="H26" s="9">
        <f t="shared" si="2"/>
        <v>0</v>
      </c>
      <c r="I26" s="9">
        <f t="shared" si="2"/>
        <v>0</v>
      </c>
      <c r="J26" s="4"/>
      <c r="K26" s="4"/>
      <c r="L26" s="16"/>
      <c r="M26" s="4"/>
    </row>
    <row r="27" spans="1:13">
      <c r="A27" s="103" t="s">
        <v>6</v>
      </c>
      <c r="B27" s="3" t="s">
        <v>61</v>
      </c>
      <c r="C27" s="33" t="s">
        <v>64</v>
      </c>
      <c r="D27" s="18"/>
      <c r="E27" s="19" t="s">
        <v>341</v>
      </c>
      <c r="H27" s="9">
        <f t="shared" ref="H27:I30" si="3">F27/SUM(F$27:F$31)</f>
        <v>0</v>
      </c>
      <c r="I27" s="9">
        <f t="shared" si="3"/>
        <v>0</v>
      </c>
      <c r="J27" s="4"/>
      <c r="K27" s="4"/>
      <c r="L27" s="16"/>
      <c r="M27" s="4"/>
    </row>
    <row r="28" spans="1:13">
      <c r="A28" s="103"/>
      <c r="B28" s="3" t="s">
        <v>62</v>
      </c>
      <c r="C28" s="33" t="s">
        <v>61</v>
      </c>
      <c r="D28" s="18"/>
      <c r="E28" s="19" t="s">
        <v>342</v>
      </c>
      <c r="H28" s="9">
        <f t="shared" si="3"/>
        <v>0</v>
      </c>
      <c r="I28" s="9">
        <f t="shared" si="3"/>
        <v>0</v>
      </c>
      <c r="J28" s="4"/>
      <c r="K28" s="4"/>
      <c r="L28" s="16"/>
      <c r="M28" s="4"/>
    </row>
    <row r="29" spans="1:13">
      <c r="A29" s="103"/>
      <c r="B29" s="3" t="s">
        <v>63</v>
      </c>
      <c r="C29" s="33" t="s">
        <v>63</v>
      </c>
      <c r="D29" s="18"/>
      <c r="E29" s="19" t="s">
        <v>343</v>
      </c>
      <c r="H29" s="9">
        <f t="shared" si="3"/>
        <v>0</v>
      </c>
      <c r="I29" s="9">
        <f t="shared" si="3"/>
        <v>0</v>
      </c>
      <c r="J29" s="4"/>
      <c r="K29" s="4"/>
      <c r="L29" s="16"/>
      <c r="M29" s="4"/>
    </row>
    <row r="30" spans="1:13">
      <c r="A30" s="103"/>
      <c r="B30" s="3" t="s">
        <v>64</v>
      </c>
      <c r="C30" s="33" t="s">
        <v>65</v>
      </c>
      <c r="D30" s="18"/>
      <c r="E30" s="19" t="s">
        <v>344</v>
      </c>
      <c r="H30" s="9">
        <f t="shared" si="3"/>
        <v>0</v>
      </c>
      <c r="I30" s="9">
        <f t="shared" si="3"/>
        <v>0</v>
      </c>
      <c r="J30" s="4"/>
      <c r="K30" s="4"/>
      <c r="L30" s="16"/>
      <c r="M30" s="4"/>
    </row>
    <row r="31" spans="1:13" ht="15.75">
      <c r="A31" s="103"/>
      <c r="B31" s="3" t="s">
        <v>65</v>
      </c>
      <c r="C31" s="33" t="s">
        <v>62</v>
      </c>
      <c r="D31" s="18"/>
      <c r="E31" s="19" t="s">
        <v>345</v>
      </c>
      <c r="F31" s="84">
        <v>1907.92878988198</v>
      </c>
      <c r="G31" s="84">
        <v>8379.1247039999998</v>
      </c>
      <c r="H31" s="9">
        <f>F31/SUM(F$27:F$31)</f>
        <v>1</v>
      </c>
      <c r="I31" s="9">
        <f>G31/SUM(G$27:G$31)</f>
        <v>1</v>
      </c>
      <c r="J31" s="4"/>
      <c r="K31" s="4"/>
      <c r="L31" s="16"/>
      <c r="M31" s="4"/>
    </row>
    <row r="32" spans="1:13" ht="15.75">
      <c r="A32" s="103" t="s">
        <v>7</v>
      </c>
      <c r="B32" s="3" t="s">
        <v>66</v>
      </c>
      <c r="C32" s="33" t="s">
        <v>101</v>
      </c>
      <c r="D32" s="18"/>
      <c r="E32" s="19" t="s">
        <v>346</v>
      </c>
      <c r="F32" s="84">
        <v>513.58434768218399</v>
      </c>
      <c r="G32" s="84">
        <v>1973.5872240000001</v>
      </c>
      <c r="H32" s="9">
        <f>F32/SUM(F$32:F$69)</f>
        <v>2.404086174127722E-2</v>
      </c>
      <c r="I32" s="9">
        <f>G32/SUM(G$32:G$69)</f>
        <v>2.2839260427462892E-2</v>
      </c>
      <c r="J32" s="4"/>
      <c r="K32" s="4"/>
      <c r="L32" s="16"/>
      <c r="M32" s="4"/>
    </row>
    <row r="33" spans="1:13" ht="15.75">
      <c r="A33" s="103"/>
      <c r="B33" s="3" t="s">
        <v>67</v>
      </c>
      <c r="C33" s="33" t="s">
        <v>102</v>
      </c>
      <c r="D33" s="18"/>
      <c r="E33" s="19" t="s">
        <v>347</v>
      </c>
      <c r="F33" s="84">
        <f>501.27622607287+561.697914</f>
        <v>1062.9741400728699</v>
      </c>
      <c r="G33" s="84">
        <f>1926.289926+2158.476658</f>
        <v>4084.766584</v>
      </c>
      <c r="H33" s="9">
        <f t="shared" ref="H33:I69" si="4">F33/SUM(F$32:F$69)</f>
        <v>4.9757774845308814E-2</v>
      </c>
      <c r="I33" s="9">
        <f t="shared" si="4"/>
        <v>4.727080043023929E-2</v>
      </c>
      <c r="J33" s="4"/>
      <c r="K33" s="4"/>
      <c r="L33" s="16"/>
      <c r="M33" s="4"/>
    </row>
    <row r="34" spans="1:13">
      <c r="A34" s="103"/>
      <c r="B34" s="3" t="s">
        <v>68</v>
      </c>
      <c r="C34" s="33" t="s">
        <v>103</v>
      </c>
      <c r="D34" s="18"/>
      <c r="E34" s="19" t="s">
        <v>348</v>
      </c>
      <c r="H34" s="9">
        <f t="shared" si="4"/>
        <v>0</v>
      </c>
      <c r="I34" s="9">
        <f t="shared" si="4"/>
        <v>0</v>
      </c>
      <c r="J34" s="4"/>
      <c r="K34" s="4"/>
      <c r="L34" s="16"/>
      <c r="M34" s="4"/>
    </row>
    <row r="35" spans="1:13" ht="15.75">
      <c r="A35" s="103"/>
      <c r="B35" s="3" t="s">
        <v>69</v>
      </c>
      <c r="C35" s="33" t="s">
        <v>100</v>
      </c>
      <c r="D35" s="18"/>
      <c r="E35" s="19" t="s">
        <v>349</v>
      </c>
      <c r="F35" s="84">
        <f>572.887115485829+898.4928784+571.7681954</f>
        <v>2043.1481892858289</v>
      </c>
      <c r="G35" s="84">
        <f>2201.474202+3452.702703+2197.174447</f>
        <v>7851.3513519999997</v>
      </c>
      <c r="H35" s="9">
        <f t="shared" si="4"/>
        <v>9.5639680915582212E-2</v>
      </c>
      <c r="I35" s="9">
        <f t="shared" si="4"/>
        <v>9.0859454325207395E-2</v>
      </c>
      <c r="J35" s="4"/>
      <c r="K35" s="4"/>
      <c r="L35" s="16"/>
      <c r="M35" s="4"/>
    </row>
    <row r="36" spans="1:13" ht="15.75">
      <c r="A36" s="103"/>
      <c r="B36" s="3" t="s">
        <v>70</v>
      </c>
      <c r="C36" s="33" t="s">
        <v>97</v>
      </c>
      <c r="D36" s="35"/>
      <c r="E36" s="19" t="s">
        <v>350</v>
      </c>
      <c r="F36" s="84">
        <v>843.66579116396599</v>
      </c>
      <c r="G36" s="84">
        <v>3242.0147419999998</v>
      </c>
      <c r="H36" s="9">
        <f t="shared" si="4"/>
        <v>3.9491960245192956E-2</v>
      </c>
      <c r="I36" s="9">
        <f t="shared" si="4"/>
        <v>3.7518087927291888E-2</v>
      </c>
      <c r="J36" s="4"/>
      <c r="K36" s="4"/>
      <c r="L36" s="16"/>
      <c r="M36" s="4"/>
    </row>
    <row r="37" spans="1:13">
      <c r="A37" s="103"/>
      <c r="B37" s="3" t="s">
        <v>71</v>
      </c>
      <c r="C37" s="33" t="s">
        <v>98</v>
      </c>
      <c r="D37" s="18"/>
      <c r="E37" s="19" t="s">
        <v>351</v>
      </c>
      <c r="H37" s="9">
        <f t="shared" si="4"/>
        <v>0</v>
      </c>
      <c r="I37" s="9">
        <f t="shared" si="4"/>
        <v>0</v>
      </c>
      <c r="J37" s="4"/>
      <c r="K37" s="4"/>
      <c r="L37" s="16"/>
      <c r="M37" s="4"/>
    </row>
    <row r="38" spans="1:13" ht="15.75">
      <c r="A38" s="103"/>
      <c r="B38" s="3" t="s">
        <v>72</v>
      </c>
      <c r="C38" s="33" t="s">
        <v>95</v>
      </c>
      <c r="D38" s="18"/>
      <c r="E38" s="19" t="s">
        <v>352</v>
      </c>
      <c r="F38" s="84">
        <v>975.69836831987095</v>
      </c>
      <c r="G38" s="84">
        <v>3749.385749</v>
      </c>
      <c r="H38" s="9">
        <f t="shared" si="4"/>
        <v>4.5672399635674286E-2</v>
      </c>
      <c r="I38" s="9">
        <f t="shared" si="4"/>
        <v>4.3389618924908994E-2</v>
      </c>
      <c r="J38" s="4"/>
      <c r="K38" s="4"/>
      <c r="L38" s="16"/>
      <c r="M38" s="4"/>
    </row>
    <row r="39" spans="1:13">
      <c r="A39" s="103"/>
      <c r="B39" s="3" t="s">
        <v>73</v>
      </c>
      <c r="C39" s="33" t="s">
        <v>96</v>
      </c>
      <c r="D39" s="18"/>
      <c r="E39" s="19" t="s">
        <v>353</v>
      </c>
      <c r="H39" s="9">
        <f t="shared" si="4"/>
        <v>0</v>
      </c>
      <c r="I39" s="9">
        <f t="shared" si="4"/>
        <v>0</v>
      </c>
      <c r="J39" s="4"/>
      <c r="K39" s="4"/>
      <c r="L39" s="16"/>
      <c r="M39" s="4"/>
    </row>
    <row r="40" spans="1:13" ht="15.75">
      <c r="A40" s="103"/>
      <c r="B40" s="3" t="s">
        <v>74</v>
      </c>
      <c r="C40" s="33" t="s">
        <v>99</v>
      </c>
      <c r="D40" s="18"/>
      <c r="E40" s="19" t="s">
        <v>354</v>
      </c>
      <c r="F40" s="84">
        <v>297.63275923076702</v>
      </c>
      <c r="G40" s="84">
        <v>1143.7346439999999</v>
      </c>
      <c r="H40" s="9">
        <f t="shared" si="4"/>
        <v>1.3932176957171581E-2</v>
      </c>
      <c r="I40" s="9">
        <f t="shared" si="4"/>
        <v>1.3235824126021782E-2</v>
      </c>
      <c r="J40" s="4"/>
      <c r="K40" s="4"/>
      <c r="L40" s="16"/>
      <c r="M40" s="4"/>
    </row>
    <row r="41" spans="1:13" ht="15.75">
      <c r="A41" s="103"/>
      <c r="B41" s="3" t="s">
        <v>75</v>
      </c>
      <c r="C41" s="33" t="s">
        <v>93</v>
      </c>
      <c r="D41" s="18"/>
      <c r="E41" s="19" t="s">
        <v>355</v>
      </c>
      <c r="F41" s="84">
        <f>693.730491427122+676.9466891</f>
        <v>1370.6771805271219</v>
      </c>
      <c r="G41" s="84">
        <f>2665.847666+2601.351351</f>
        <v>5267.1990169999999</v>
      </c>
      <c r="H41" s="9">
        <f t="shared" si="4"/>
        <v>6.4161341243537492E-2</v>
      </c>
      <c r="I41" s="9">
        <f t="shared" si="4"/>
        <v>6.0954453195497346E-2</v>
      </c>
      <c r="J41" s="4"/>
      <c r="K41" s="4"/>
      <c r="L41" s="16"/>
      <c r="M41" s="4"/>
    </row>
    <row r="42" spans="1:13" ht="15.75">
      <c r="A42" s="103"/>
      <c r="B42" s="3" t="s">
        <v>76</v>
      </c>
      <c r="C42" s="33" t="s">
        <v>94</v>
      </c>
      <c r="D42" s="18"/>
      <c r="E42" s="19" t="s">
        <v>356</v>
      </c>
      <c r="F42" s="84">
        <v>763.10354050607805</v>
      </c>
      <c r="G42" s="84">
        <v>2932.4324320000001</v>
      </c>
      <c r="H42" s="9">
        <f t="shared" si="4"/>
        <v>3.5720844676011075E-2</v>
      </c>
      <c r="I42" s="9">
        <f t="shared" si="4"/>
        <v>3.3935458836546646E-2</v>
      </c>
      <c r="J42" s="4"/>
      <c r="K42" s="4"/>
      <c r="L42" s="16"/>
      <c r="M42" s="4"/>
    </row>
    <row r="43" spans="1:13">
      <c r="A43" s="103"/>
      <c r="B43" s="3" t="s">
        <v>77</v>
      </c>
      <c r="C43" s="33" t="s">
        <v>92</v>
      </c>
      <c r="D43" s="18"/>
      <c r="E43" s="19" t="s">
        <v>357</v>
      </c>
      <c r="H43" s="9">
        <f t="shared" si="4"/>
        <v>0</v>
      </c>
      <c r="I43" s="9">
        <f t="shared" si="4"/>
        <v>0</v>
      </c>
      <c r="J43" s="4"/>
      <c r="K43" s="4"/>
      <c r="L43" s="16"/>
      <c r="M43" s="4"/>
    </row>
    <row r="44" spans="1:13" ht="15.75">
      <c r="A44" s="103"/>
      <c r="B44" s="3" t="s">
        <v>78</v>
      </c>
      <c r="C44" s="33" t="s">
        <v>91</v>
      </c>
      <c r="D44" s="18"/>
      <c r="E44" s="19" t="s">
        <v>358</v>
      </c>
      <c r="F44" s="84">
        <v>1656.0018180162201</v>
      </c>
      <c r="G44" s="84">
        <v>6363.6363629999996</v>
      </c>
      <c r="H44" s="9">
        <f t="shared" si="4"/>
        <v>7.7517375538998956E-2</v>
      </c>
      <c r="I44" s="9">
        <f t="shared" si="4"/>
        <v>7.3642931203039538E-2</v>
      </c>
      <c r="L44" s="17"/>
    </row>
    <row r="45" spans="1:13">
      <c r="A45" s="103"/>
      <c r="B45" s="3" t="s">
        <v>79</v>
      </c>
      <c r="C45" s="33" t="s">
        <v>90</v>
      </c>
      <c r="D45" s="18"/>
      <c r="E45" s="19" t="s">
        <v>359</v>
      </c>
      <c r="H45" s="9">
        <f t="shared" si="4"/>
        <v>0</v>
      </c>
      <c r="I45" s="9">
        <f t="shared" si="4"/>
        <v>0</v>
      </c>
      <c r="L45" s="17"/>
    </row>
    <row r="46" spans="1:13">
      <c r="A46" s="103"/>
      <c r="B46" s="3" t="s">
        <v>80</v>
      </c>
      <c r="C46" s="33" t="s">
        <v>89</v>
      </c>
      <c r="D46" s="18"/>
      <c r="E46" s="19" t="s">
        <v>360</v>
      </c>
      <c r="H46" s="9">
        <f t="shared" si="4"/>
        <v>0</v>
      </c>
      <c r="I46" s="9">
        <f t="shared" si="4"/>
        <v>0</v>
      </c>
      <c r="L46" s="17"/>
    </row>
    <row r="47" spans="1:13">
      <c r="A47" s="103"/>
      <c r="B47" s="3" t="s">
        <v>81</v>
      </c>
      <c r="C47" s="33" t="s">
        <v>88</v>
      </c>
      <c r="D47" s="18"/>
      <c r="E47" s="19" t="s">
        <v>361</v>
      </c>
      <c r="F47" s="87">
        <v>218.18942878542001</v>
      </c>
      <c r="G47" s="87">
        <v>838.45208860000002</v>
      </c>
      <c r="H47" s="9">
        <f t="shared" si="4"/>
        <v>1.0213437996137158E-2</v>
      </c>
      <c r="I47" s="9">
        <f t="shared" si="4"/>
        <v>9.7029537760554493E-3</v>
      </c>
      <c r="L47" s="17"/>
    </row>
    <row r="48" spans="1:13">
      <c r="A48" s="103"/>
      <c r="B48" s="3" t="s">
        <v>82</v>
      </c>
      <c r="C48" s="33" t="s">
        <v>87</v>
      </c>
      <c r="D48" s="18"/>
      <c r="E48" s="19" t="s">
        <v>362</v>
      </c>
      <c r="H48" s="9">
        <f t="shared" si="4"/>
        <v>0</v>
      </c>
      <c r="I48" s="9">
        <f t="shared" si="4"/>
        <v>0</v>
      </c>
      <c r="L48" s="17"/>
    </row>
    <row r="49" spans="1:12">
      <c r="A49" s="103"/>
      <c r="B49" s="3" t="s">
        <v>83</v>
      </c>
      <c r="C49" s="33" t="s">
        <v>86</v>
      </c>
      <c r="D49" s="18"/>
      <c r="E49" s="19" t="s">
        <v>363</v>
      </c>
      <c r="F49" s="88">
        <v>228.25971010000001</v>
      </c>
      <c r="G49" s="88">
        <v>877.14987710000003</v>
      </c>
      <c r="H49" s="9">
        <f t="shared" si="4"/>
        <v>1.0684827441458416E-2</v>
      </c>
      <c r="I49" s="9">
        <f t="shared" si="4"/>
        <v>1.0150782409505489E-2</v>
      </c>
      <c r="L49" s="17"/>
    </row>
    <row r="50" spans="1:12">
      <c r="A50" s="103"/>
      <c r="B50" s="3" t="s">
        <v>84</v>
      </c>
      <c r="C50" s="33" t="s">
        <v>85</v>
      </c>
      <c r="D50" s="18"/>
      <c r="E50" s="19" t="s">
        <v>364</v>
      </c>
      <c r="H50" s="9">
        <f t="shared" si="4"/>
        <v>0</v>
      </c>
      <c r="I50" s="9">
        <f t="shared" si="4"/>
        <v>0</v>
      </c>
      <c r="L50" s="17"/>
    </row>
    <row r="51" spans="1:12">
      <c r="A51" s="103"/>
      <c r="B51" s="3" t="s">
        <v>85</v>
      </c>
      <c r="C51" s="33" t="s">
        <v>84</v>
      </c>
      <c r="D51" s="18"/>
      <c r="E51" s="19" t="s">
        <v>365</v>
      </c>
      <c r="H51" s="9">
        <f t="shared" si="4"/>
        <v>0</v>
      </c>
      <c r="I51" s="9">
        <f t="shared" si="4"/>
        <v>0</v>
      </c>
      <c r="L51" s="17"/>
    </row>
    <row r="52" spans="1:12" ht="15.75">
      <c r="A52" s="103"/>
      <c r="B52" s="3" t="s">
        <v>86</v>
      </c>
      <c r="C52" s="33" t="s">
        <v>83</v>
      </c>
      <c r="D52" s="18"/>
      <c r="E52" s="19" t="s">
        <v>366</v>
      </c>
      <c r="F52" s="84">
        <f>690.373730971658+357.638191</f>
        <v>1048.011921971658</v>
      </c>
      <c r="G52" s="84">
        <f>2652.948403+2418.137848</f>
        <v>5071.0862509999997</v>
      </c>
      <c r="H52" s="9">
        <f t="shared" si="4"/>
        <v>4.905739404449698E-2</v>
      </c>
      <c r="I52" s="9">
        <f t="shared" si="4"/>
        <v>5.8684945934122767E-2</v>
      </c>
      <c r="L52" s="17"/>
    </row>
    <row r="53" spans="1:12">
      <c r="A53" s="103"/>
      <c r="B53" s="3" t="s">
        <v>87</v>
      </c>
      <c r="C53" s="33" t="s">
        <v>82</v>
      </c>
      <c r="D53" s="18"/>
      <c r="E53" s="19" t="s">
        <v>367</v>
      </c>
      <c r="H53" s="9">
        <f t="shared" si="4"/>
        <v>0</v>
      </c>
      <c r="I53" s="9">
        <f t="shared" si="4"/>
        <v>0</v>
      </c>
      <c r="L53" s="17"/>
    </row>
    <row r="54" spans="1:12">
      <c r="A54" s="103"/>
      <c r="B54" s="3" t="s">
        <v>88</v>
      </c>
      <c r="C54" s="33" t="s">
        <v>81</v>
      </c>
      <c r="D54" s="18"/>
      <c r="E54" s="19" t="s">
        <v>368</v>
      </c>
      <c r="H54" s="9">
        <f t="shared" si="4"/>
        <v>0</v>
      </c>
      <c r="I54" s="9">
        <f t="shared" si="4"/>
        <v>0</v>
      </c>
      <c r="L54" s="17"/>
    </row>
    <row r="55" spans="1:12">
      <c r="A55" s="103"/>
      <c r="B55" s="3" t="s">
        <v>89</v>
      </c>
      <c r="C55" s="33" t="s">
        <v>78</v>
      </c>
      <c r="D55" s="36"/>
      <c r="E55" s="19" t="s">
        <v>369</v>
      </c>
      <c r="H55" s="9">
        <f t="shared" si="4"/>
        <v>0</v>
      </c>
      <c r="I55" s="9">
        <f t="shared" si="4"/>
        <v>0</v>
      </c>
      <c r="L55" s="17"/>
    </row>
    <row r="56" spans="1:12">
      <c r="A56" s="103"/>
      <c r="B56" s="3" t="s">
        <v>90</v>
      </c>
      <c r="C56" s="33" t="s">
        <v>77</v>
      </c>
      <c r="D56" s="35"/>
      <c r="E56" s="19" t="s">
        <v>370</v>
      </c>
      <c r="H56" s="9">
        <f t="shared" si="4"/>
        <v>0</v>
      </c>
      <c r="I56" s="9">
        <f t="shared" si="4"/>
        <v>0</v>
      </c>
      <c r="L56" s="17"/>
    </row>
    <row r="57" spans="1:12" ht="15.75">
      <c r="A57" s="103"/>
      <c r="B57" s="3" t="s">
        <v>91</v>
      </c>
      <c r="C57" s="33" t="s">
        <v>76</v>
      </c>
      <c r="D57" s="18"/>
      <c r="E57" s="19" t="s">
        <v>371</v>
      </c>
      <c r="F57" s="84">
        <f>645.616925020249+1130.109349+312.1787212+547.1519521</f>
        <v>2635.056947320249</v>
      </c>
      <c r="G57" s="84">
        <f>2480.958231+4342.751844+1199.63145+2102.579852</f>
        <v>10125.921377000001</v>
      </c>
      <c r="H57" s="9">
        <f t="shared" si="4"/>
        <v>0.12334690501533692</v>
      </c>
      <c r="I57" s="9">
        <f t="shared" si="4"/>
        <v>0.11718182636417222</v>
      </c>
      <c r="L57" s="17"/>
    </row>
    <row r="58" spans="1:12" ht="15.75">
      <c r="A58" s="103"/>
      <c r="B58" s="3" t="s">
        <v>92</v>
      </c>
      <c r="C58" s="33" t="s">
        <v>79</v>
      </c>
      <c r="D58" s="18"/>
      <c r="E58" s="19" t="s">
        <v>372</v>
      </c>
      <c r="F58" s="84">
        <v>258.47055406882401</v>
      </c>
      <c r="G58" s="84">
        <v>993.24324330000002</v>
      </c>
      <c r="H58" s="9">
        <f t="shared" si="4"/>
        <v>1.2098995778596373E-2</v>
      </c>
      <c r="I58" s="9">
        <f t="shared" si="4"/>
        <v>1.1494268317956332E-2</v>
      </c>
      <c r="L58" s="17"/>
    </row>
    <row r="59" spans="1:12" ht="15.75">
      <c r="A59" s="103"/>
      <c r="B59" s="3" t="s">
        <v>93</v>
      </c>
      <c r="C59" s="33" t="s">
        <v>80</v>
      </c>
      <c r="D59" s="18"/>
      <c r="E59" s="19" t="s">
        <v>373</v>
      </c>
      <c r="F59" s="84">
        <f>716.108894311746+2081.191474</f>
        <v>2797.3003683117463</v>
      </c>
      <c r="G59" s="84">
        <f>2751.842752+7997.542998</f>
        <v>10749.385749999999</v>
      </c>
      <c r="H59" s="9">
        <f t="shared" si="4"/>
        <v>0.13094151273671964</v>
      </c>
      <c r="I59" s="9">
        <f t="shared" si="4"/>
        <v>0.12439684326792566</v>
      </c>
      <c r="L59" s="17"/>
    </row>
    <row r="60" spans="1:12">
      <c r="A60" s="103"/>
      <c r="B60" s="3" t="s">
        <v>94</v>
      </c>
      <c r="C60" s="33" t="s">
        <v>75</v>
      </c>
      <c r="D60" s="18"/>
      <c r="E60" s="19" t="s">
        <v>374</v>
      </c>
      <c r="H60" s="9">
        <f t="shared" si="4"/>
        <v>0</v>
      </c>
      <c r="I60" s="9">
        <f t="shared" si="4"/>
        <v>0</v>
      </c>
      <c r="L60" s="17"/>
    </row>
    <row r="61" spans="1:12" ht="15.75">
      <c r="A61" s="103"/>
      <c r="B61" s="3" t="s">
        <v>95</v>
      </c>
      <c r="C61" s="33" t="s">
        <v>73</v>
      </c>
      <c r="D61" s="18"/>
      <c r="E61" s="19" t="s">
        <v>375</v>
      </c>
      <c r="F61" s="84">
        <v>195.81102580971501</v>
      </c>
      <c r="G61" s="84">
        <v>752.45700250000004</v>
      </c>
      <c r="H61" s="9">
        <f t="shared" si="4"/>
        <v>9.1659058928760338E-3</v>
      </c>
      <c r="I61" s="9">
        <f t="shared" si="4"/>
        <v>8.7077790287547977E-3</v>
      </c>
      <c r="L61" s="17"/>
    </row>
    <row r="62" spans="1:12" ht="15.75">
      <c r="A62" s="103"/>
      <c r="B62" s="3" t="s">
        <v>96</v>
      </c>
      <c r="C62" s="33" t="s">
        <v>74</v>
      </c>
      <c r="D62" s="36"/>
      <c r="E62" s="19" t="s">
        <v>376</v>
      </c>
      <c r="F62" s="84">
        <v>764.222460718619</v>
      </c>
      <c r="G62" s="84">
        <v>2936.7321870000001</v>
      </c>
      <c r="H62" s="9">
        <f t="shared" si="4"/>
        <v>3.5773221284158531E-2</v>
      </c>
      <c r="I62" s="9">
        <f t="shared" si="4"/>
        <v>3.3985217581954538E-2</v>
      </c>
      <c r="L62" s="17"/>
    </row>
    <row r="63" spans="1:12">
      <c r="A63" s="103"/>
      <c r="B63" s="3" t="s">
        <v>97</v>
      </c>
      <c r="C63" s="33" t="s">
        <v>72</v>
      </c>
      <c r="D63" s="18"/>
      <c r="E63" s="19" t="s">
        <v>377</v>
      </c>
      <c r="H63" s="9">
        <f t="shared" si="4"/>
        <v>0</v>
      </c>
      <c r="I63" s="9">
        <f t="shared" si="4"/>
        <v>0</v>
      </c>
      <c r="L63" s="17"/>
    </row>
    <row r="64" spans="1:12">
      <c r="A64" s="103"/>
      <c r="B64" s="3" t="s">
        <v>98</v>
      </c>
      <c r="C64" s="33" t="s">
        <v>69</v>
      </c>
      <c r="D64" s="18"/>
      <c r="E64" s="19" t="s">
        <v>378</v>
      </c>
      <c r="H64" s="9">
        <f t="shared" si="4"/>
        <v>0</v>
      </c>
      <c r="I64" s="9">
        <f t="shared" si="4"/>
        <v>0</v>
      </c>
      <c r="L64" s="17"/>
    </row>
    <row r="65" spans="1:12">
      <c r="A65" s="103"/>
      <c r="B65" s="3" t="s">
        <v>99</v>
      </c>
      <c r="C65" s="33" t="s">
        <v>70</v>
      </c>
      <c r="D65" s="18"/>
      <c r="E65" s="19" t="s">
        <v>379</v>
      </c>
      <c r="H65" s="9">
        <f t="shared" si="4"/>
        <v>0</v>
      </c>
      <c r="I65" s="9">
        <f t="shared" si="4"/>
        <v>0</v>
      </c>
      <c r="L65" s="17"/>
    </row>
    <row r="66" spans="1:12">
      <c r="A66" s="103"/>
      <c r="B66" s="3" t="s">
        <v>100</v>
      </c>
      <c r="C66" s="33" t="s">
        <v>68</v>
      </c>
      <c r="D66" s="36"/>
      <c r="E66" s="19" t="s">
        <v>380</v>
      </c>
      <c r="H66" s="9">
        <f t="shared" si="4"/>
        <v>0</v>
      </c>
      <c r="I66" s="9">
        <f t="shared" si="4"/>
        <v>0</v>
      </c>
      <c r="L66" s="17"/>
    </row>
    <row r="67" spans="1:12" ht="15.75">
      <c r="A67" s="103"/>
      <c r="B67" s="3" t="s">
        <v>101</v>
      </c>
      <c r="C67" s="33" t="s">
        <v>71</v>
      </c>
      <c r="D67" s="18"/>
      <c r="E67" s="19" t="s">
        <v>381</v>
      </c>
      <c r="F67" s="84">
        <f>719.46565476721+975.6983683</f>
        <v>1695.1640230672101</v>
      </c>
      <c r="G67" s="84">
        <f>2764.742015+3749.385749</f>
        <v>6514.1277639999998</v>
      </c>
      <c r="H67" s="45">
        <f>F67/SUM(F$32:F$69)</f>
        <v>7.9350556712380463E-2</v>
      </c>
      <c r="I67" s="45">
        <f t="shared" si="4"/>
        <v>7.5384487014576729E-2</v>
      </c>
      <c r="L67" s="17"/>
    </row>
    <row r="68" spans="1:12" ht="15.75">
      <c r="A68" s="103"/>
      <c r="B68" s="3" t="s">
        <v>102</v>
      </c>
      <c r="C68" s="33" t="s">
        <v>67</v>
      </c>
      <c r="D68" s="36"/>
      <c r="E68" s="19" t="s">
        <v>382</v>
      </c>
      <c r="F68" s="84">
        <v>854.70467857034998</v>
      </c>
      <c r="G68" s="84">
        <v>6559.6330250000001</v>
      </c>
      <c r="H68" s="9">
        <f>F68/SUM(F$32:F$69)</f>
        <v>4.0008690100984103E-2</v>
      </c>
      <c r="I68" s="9">
        <f t="shared" si="4"/>
        <v>7.5911094855446434E-2</v>
      </c>
      <c r="L68" s="17"/>
    </row>
    <row r="69" spans="1:12" ht="15.75">
      <c r="A69" s="103"/>
      <c r="B69" s="3" t="s">
        <v>103</v>
      </c>
      <c r="C69" s="33" t="s">
        <v>66</v>
      </c>
      <c r="D69" s="18"/>
      <c r="E69" s="19" t="s">
        <v>383</v>
      </c>
      <c r="F69" s="84">
        <v>1141.29855030365</v>
      </c>
      <c r="G69" s="84">
        <v>4385.7493860000004</v>
      </c>
      <c r="H69" s="9">
        <f t="shared" si="4"/>
        <v>5.3424137198100942E-2</v>
      </c>
      <c r="I69" s="9">
        <f t="shared" si="4"/>
        <v>5.0753912053313678E-2</v>
      </c>
      <c r="L69" s="17"/>
    </row>
    <row r="70" spans="1:12" ht="15.75">
      <c r="A70" s="50" t="s">
        <v>623</v>
      </c>
      <c r="B70" s="3" t="s">
        <v>384</v>
      </c>
      <c r="C70" s="33" t="s">
        <v>384</v>
      </c>
      <c r="D70" s="18"/>
      <c r="E70" s="19" t="s">
        <v>385</v>
      </c>
      <c r="F70" s="84">
        <v>277.09233484130101</v>
      </c>
      <c r="G70" s="84">
        <v>2126.6106020000002</v>
      </c>
      <c r="H70" s="9">
        <v>1</v>
      </c>
      <c r="I70" s="9">
        <v>1</v>
      </c>
      <c r="L70" s="17"/>
    </row>
    <row r="71" spans="1:12">
      <c r="A71" s="103" t="s">
        <v>8</v>
      </c>
      <c r="B71" s="3" t="s">
        <v>104</v>
      </c>
      <c r="C71" s="33" t="s">
        <v>106</v>
      </c>
      <c r="D71" s="18"/>
      <c r="E71" s="19" t="s">
        <v>386</v>
      </c>
      <c r="H71" s="9">
        <f t="shared" ref="H71:I73" si="5">F71/SUM(F$71:F$73)</f>
        <v>0</v>
      </c>
      <c r="I71" s="9">
        <f t="shared" si="5"/>
        <v>0</v>
      </c>
      <c r="L71" s="17"/>
    </row>
    <row r="72" spans="1:12">
      <c r="A72" s="103"/>
      <c r="B72" s="3" t="s">
        <v>105</v>
      </c>
      <c r="C72" s="33" t="s">
        <v>105</v>
      </c>
      <c r="D72" s="18"/>
      <c r="E72" s="19" t="s">
        <v>387</v>
      </c>
      <c r="H72" s="9">
        <f t="shared" si="5"/>
        <v>0</v>
      </c>
      <c r="I72" s="9">
        <f t="shared" si="5"/>
        <v>0</v>
      </c>
      <c r="L72" s="17"/>
    </row>
    <row r="73" spans="1:12">
      <c r="A73" s="103"/>
      <c r="B73" s="3" t="s">
        <v>106</v>
      </c>
      <c r="C73" s="33" t="s">
        <v>104</v>
      </c>
      <c r="D73" s="18"/>
      <c r="E73" s="19" t="s">
        <v>388</v>
      </c>
      <c r="F73" s="43">
        <f>1446.25576069031+336.3056041</f>
        <v>1782.5613647903099</v>
      </c>
      <c r="G73" s="43">
        <f>5557.630221+2273.899516</f>
        <v>7831.5297370000008</v>
      </c>
      <c r="H73" s="9">
        <f t="shared" si="5"/>
        <v>1</v>
      </c>
      <c r="I73" s="9">
        <f t="shared" si="5"/>
        <v>1</v>
      </c>
      <c r="L73" s="17"/>
    </row>
    <row r="74" spans="1:12" ht="15.75">
      <c r="A74" s="103" t="s">
        <v>9</v>
      </c>
      <c r="B74" s="3" t="s">
        <v>107</v>
      </c>
      <c r="C74" s="33" t="s">
        <v>114</v>
      </c>
      <c r="D74" s="18"/>
      <c r="E74" s="19" t="s">
        <v>389</v>
      </c>
      <c r="F74" s="84">
        <v>166.719101923083</v>
      </c>
      <c r="G74" s="84">
        <v>640.66339049999999</v>
      </c>
      <c r="H74" s="9">
        <f>F74/SUM(F$74:F$86)</f>
        <v>3.7842378745816502E-2</v>
      </c>
      <c r="I74" s="9">
        <f>G74/SUM(G$74:G$86)</f>
        <v>2.8204871974164668E-2</v>
      </c>
      <c r="L74" s="17"/>
    </row>
    <row r="75" spans="1:12">
      <c r="A75" s="103"/>
      <c r="B75" s="3" t="s">
        <v>108</v>
      </c>
      <c r="C75" s="33" t="s">
        <v>390</v>
      </c>
      <c r="D75" s="18"/>
      <c r="E75" s="19" t="s">
        <v>391</v>
      </c>
      <c r="H75" s="9">
        <f t="shared" ref="H75:I86" si="6">F75/SUM(F$74:F$86)</f>
        <v>0</v>
      </c>
      <c r="I75" s="9">
        <f t="shared" si="6"/>
        <v>0</v>
      </c>
      <c r="L75" s="17"/>
    </row>
    <row r="76" spans="1:12">
      <c r="A76" s="103"/>
      <c r="B76" s="3" t="s">
        <v>109</v>
      </c>
      <c r="C76" s="33" t="s">
        <v>392</v>
      </c>
      <c r="D76" s="18"/>
      <c r="E76" s="19" t="s">
        <v>393</v>
      </c>
      <c r="H76" s="9">
        <f t="shared" si="6"/>
        <v>0</v>
      </c>
      <c r="I76" s="9">
        <f t="shared" si="6"/>
        <v>0</v>
      </c>
    </row>
    <row r="77" spans="1:12">
      <c r="A77" s="103"/>
      <c r="B77" s="3" t="s">
        <v>110</v>
      </c>
      <c r="C77" s="33" t="s">
        <v>394</v>
      </c>
      <c r="D77" s="18"/>
      <c r="E77" s="19" t="s">
        <v>395</v>
      </c>
      <c r="H77" s="9">
        <f t="shared" si="6"/>
        <v>0</v>
      </c>
      <c r="I77" s="9">
        <f t="shared" si="6"/>
        <v>0</v>
      </c>
    </row>
    <row r="78" spans="1:12">
      <c r="A78" s="103"/>
      <c r="B78" s="3" t="s">
        <v>111</v>
      </c>
      <c r="C78" s="33" t="s">
        <v>115</v>
      </c>
      <c r="D78" s="18"/>
      <c r="E78" s="19" t="s">
        <v>396</v>
      </c>
      <c r="H78" s="9">
        <f t="shared" si="6"/>
        <v>0</v>
      </c>
      <c r="I78" s="9">
        <f t="shared" si="6"/>
        <v>0</v>
      </c>
    </row>
    <row r="79" spans="1:12" ht="15.75">
      <c r="A79" s="103"/>
      <c r="B79" s="3" t="s">
        <v>112</v>
      </c>
      <c r="C79" s="33" t="s">
        <v>110</v>
      </c>
      <c r="D79" s="18"/>
      <c r="E79" s="19" t="s">
        <v>397</v>
      </c>
      <c r="F79" s="84">
        <v>779.88734278339598</v>
      </c>
      <c r="G79" s="84">
        <v>2996.9287469999999</v>
      </c>
      <c r="H79" s="9">
        <f t="shared" si="6"/>
        <v>0.17702106035991977</v>
      </c>
      <c r="I79" s="9">
        <f t="shared" si="6"/>
        <v>0.13193822665418672</v>
      </c>
    </row>
    <row r="80" spans="1:12">
      <c r="A80" s="103"/>
      <c r="B80" s="3" t="s">
        <v>113</v>
      </c>
      <c r="C80" s="33" t="s">
        <v>112</v>
      </c>
      <c r="D80" s="18"/>
      <c r="E80" s="19" t="s">
        <v>398</v>
      </c>
      <c r="H80" s="9">
        <f t="shared" si="6"/>
        <v>0</v>
      </c>
      <c r="I80" s="9">
        <f t="shared" si="6"/>
        <v>0</v>
      </c>
    </row>
    <row r="81" spans="1:9">
      <c r="A81" s="103"/>
      <c r="B81" s="3" t="s">
        <v>114</v>
      </c>
      <c r="C81" s="33" t="s">
        <v>111</v>
      </c>
      <c r="D81" s="18"/>
      <c r="E81" s="19" t="s">
        <v>399</v>
      </c>
      <c r="H81" s="9">
        <f t="shared" si="6"/>
        <v>0</v>
      </c>
      <c r="I81" s="9">
        <f t="shared" si="6"/>
        <v>0</v>
      </c>
    </row>
    <row r="82" spans="1:9" ht="15.75">
      <c r="A82" s="103"/>
      <c r="B82" s="3" t="s">
        <v>115</v>
      </c>
      <c r="C82" s="33" t="s">
        <v>107</v>
      </c>
      <c r="D82" s="18"/>
      <c r="E82" s="19" t="s">
        <v>400</v>
      </c>
      <c r="F82" s="84">
        <v>1476.97459493922</v>
      </c>
      <c r="G82" s="84">
        <v>5675.6756770000002</v>
      </c>
      <c r="H82" s="9">
        <f t="shared" si="6"/>
        <v>0.33524791925417846</v>
      </c>
      <c r="I82" s="9">
        <f t="shared" si="6"/>
        <v>0.24986866459113741</v>
      </c>
    </row>
    <row r="83" spans="1:9">
      <c r="A83" s="103"/>
      <c r="C83" s="33" t="s">
        <v>401</v>
      </c>
      <c r="D83" s="18"/>
      <c r="E83" s="19" t="s">
        <v>402</v>
      </c>
      <c r="H83" s="9">
        <f t="shared" si="6"/>
        <v>0</v>
      </c>
      <c r="I83" s="9">
        <f t="shared" si="6"/>
        <v>0</v>
      </c>
    </row>
    <row r="84" spans="1:9" ht="15.75">
      <c r="A84" s="103"/>
      <c r="C84" s="33" t="s">
        <v>113</v>
      </c>
      <c r="D84" s="18"/>
      <c r="E84" s="19" t="s">
        <v>403</v>
      </c>
      <c r="F84" s="84">
        <v>480.70408932038401</v>
      </c>
      <c r="G84" s="84">
        <v>3250.2366390000002</v>
      </c>
      <c r="H84" s="9">
        <f t="shared" si="6"/>
        <v>0.10911158951130455</v>
      </c>
      <c r="I84" s="9">
        <f t="shared" si="6"/>
        <v>0.14308997462331863</v>
      </c>
    </row>
    <row r="85" spans="1:9" ht="15.75">
      <c r="A85" s="103"/>
      <c r="C85" s="33" t="s">
        <v>108</v>
      </c>
      <c r="D85" s="18"/>
      <c r="E85" s="19" t="s">
        <v>404</v>
      </c>
      <c r="F85" s="84">
        <f>551.291599400832+949.9855927+0.056655555</f>
        <v>1501.333847655832</v>
      </c>
      <c r="G85" s="84">
        <f>3727.507618+6423.240509+0.383071342</f>
        <v>10151.131198342</v>
      </c>
      <c r="H85" s="9">
        <f t="shared" si="6"/>
        <v>0.34077705212878073</v>
      </c>
      <c r="I85" s="9">
        <f t="shared" si="6"/>
        <v>0.44689826215719264</v>
      </c>
    </row>
    <row r="86" spans="1:9">
      <c r="A86" s="103"/>
      <c r="C86" s="33" t="s">
        <v>109</v>
      </c>
      <c r="D86" s="18"/>
      <c r="E86" s="19" t="s">
        <v>405</v>
      </c>
      <c r="H86" s="9">
        <f t="shared" si="6"/>
        <v>0</v>
      </c>
      <c r="I86" s="9">
        <f t="shared" si="6"/>
        <v>0</v>
      </c>
    </row>
    <row r="87" spans="1:9" ht="15.75">
      <c r="A87" s="103" t="s">
        <v>10</v>
      </c>
      <c r="B87" s="3" t="s">
        <v>116</v>
      </c>
      <c r="C87" s="33" t="s">
        <v>120</v>
      </c>
      <c r="D87" s="18"/>
      <c r="E87" s="19" t="s">
        <v>406</v>
      </c>
      <c r="F87" s="84"/>
      <c r="G87" s="84"/>
      <c r="H87" s="9">
        <f>F87/SUM(F$87:F$105)</f>
        <v>0</v>
      </c>
      <c r="I87" s="9">
        <f>G87/SUM(G$87:G$105)</f>
        <v>0</v>
      </c>
    </row>
    <row r="88" spans="1:9" ht="15.75">
      <c r="A88" s="103"/>
      <c r="B88" s="3" t="s">
        <v>117</v>
      </c>
      <c r="C88" s="33" t="s">
        <v>117</v>
      </c>
      <c r="D88" s="18"/>
      <c r="E88" s="19" t="s">
        <v>407</v>
      </c>
      <c r="F88" s="84">
        <v>716.10889431174598</v>
      </c>
      <c r="G88" s="84">
        <v>2751.842752</v>
      </c>
      <c r="H88" s="9">
        <f t="shared" ref="H88:I105" si="7">F88/SUM(F$87:F$105)</f>
        <v>5.4142582905026992E-2</v>
      </c>
      <c r="I88" s="9">
        <f t="shared" si="7"/>
        <v>4.950516464928939E-2</v>
      </c>
    </row>
    <row r="89" spans="1:9" ht="15.75">
      <c r="A89" s="103"/>
      <c r="B89" s="3" t="s">
        <v>118</v>
      </c>
      <c r="C89" s="33" t="s">
        <v>128</v>
      </c>
      <c r="D89" s="18"/>
      <c r="E89" s="19" t="s">
        <v>408</v>
      </c>
      <c r="F89" s="84">
        <v>414.00045450405503</v>
      </c>
      <c r="G89" s="84">
        <v>1590.909091</v>
      </c>
      <c r="H89" s="9">
        <f t="shared" si="7"/>
        <v>3.1301180740462412E-2</v>
      </c>
      <c r="I89" s="9">
        <f t="shared" si="7"/>
        <v>2.862017331287043E-2</v>
      </c>
    </row>
    <row r="90" spans="1:9">
      <c r="A90" s="103"/>
      <c r="B90" s="3" t="s">
        <v>119</v>
      </c>
      <c r="C90" s="33" t="s">
        <v>118</v>
      </c>
      <c r="D90" s="18"/>
      <c r="E90" s="19" t="s">
        <v>409</v>
      </c>
      <c r="F90" s="43">
        <v>1061.855219858307</v>
      </c>
      <c r="G90" s="43">
        <v>4080.4668309999997</v>
      </c>
      <c r="H90" s="9">
        <f t="shared" si="7"/>
        <v>8.0283298714742754E-2</v>
      </c>
      <c r="I90" s="9">
        <f t="shared" si="7"/>
        <v>7.3406876961921372E-2</v>
      </c>
    </row>
    <row r="91" spans="1:9">
      <c r="A91" s="103"/>
      <c r="B91" s="3" t="s">
        <v>120</v>
      </c>
      <c r="C91" s="33" t="s">
        <v>123</v>
      </c>
      <c r="D91" s="18"/>
      <c r="E91" s="19" t="s">
        <v>410</v>
      </c>
      <c r="H91" s="9">
        <f t="shared" si="7"/>
        <v>0</v>
      </c>
      <c r="I91" s="9">
        <f t="shared" si="7"/>
        <v>0</v>
      </c>
    </row>
    <row r="92" spans="1:9">
      <c r="A92" s="103"/>
      <c r="B92" s="3" t="s">
        <v>121</v>
      </c>
      <c r="C92" s="33" t="s">
        <v>119</v>
      </c>
      <c r="D92" s="18"/>
      <c r="E92" s="19" t="s">
        <v>411</v>
      </c>
      <c r="H92" s="9">
        <f t="shared" si="7"/>
        <v>0</v>
      </c>
      <c r="I92" s="9">
        <f t="shared" si="7"/>
        <v>0</v>
      </c>
    </row>
    <row r="93" spans="1:9" ht="15.75">
      <c r="A93" s="103"/>
      <c r="B93" s="3" t="s">
        <v>122</v>
      </c>
      <c r="C93" s="33" t="s">
        <v>129</v>
      </c>
      <c r="D93" s="18"/>
      <c r="E93" s="19" t="s">
        <v>412</v>
      </c>
      <c r="F93" s="84">
        <v>399.45449265181901</v>
      </c>
      <c r="G93" s="84">
        <v>1535.012285</v>
      </c>
      <c r="H93" s="9">
        <f t="shared" si="7"/>
        <v>3.0201409530002901E-2</v>
      </c>
      <c r="I93" s="9">
        <f t="shared" si="7"/>
        <v>2.7614599654132758E-2</v>
      </c>
    </row>
    <row r="94" spans="1:9" ht="15.75">
      <c r="A94" s="103"/>
      <c r="B94" s="3" t="s">
        <v>123</v>
      </c>
      <c r="C94" s="33" t="s">
        <v>124</v>
      </c>
      <c r="D94" s="18"/>
      <c r="E94" s="19" t="s">
        <v>413</v>
      </c>
      <c r="F94" s="84">
        <v>567.292514787443</v>
      </c>
      <c r="G94" s="84">
        <v>2179.97543</v>
      </c>
      <c r="H94" s="9">
        <f t="shared" si="7"/>
        <v>4.2891077400735736E-2</v>
      </c>
      <c r="I94" s="9">
        <f t="shared" si="7"/>
        <v>3.9217372618809955E-2</v>
      </c>
    </row>
    <row r="95" spans="1:9">
      <c r="A95" s="103"/>
      <c r="B95" s="3" t="s">
        <v>124</v>
      </c>
      <c r="C95" s="33" t="s">
        <v>126</v>
      </c>
      <c r="D95" s="18"/>
      <c r="E95" s="19" t="s">
        <v>414</v>
      </c>
      <c r="F95" s="43">
        <v>1182.0745517054052</v>
      </c>
      <c r="G95" s="43">
        <v>7627.6141280000002</v>
      </c>
      <c r="H95" s="9">
        <f t="shared" si="7"/>
        <v>8.9372677708665541E-2</v>
      </c>
      <c r="I95" s="9">
        <f t="shared" si="7"/>
        <v>0.13721942978516743</v>
      </c>
    </row>
    <row r="96" spans="1:9" ht="15.75">
      <c r="A96" s="103"/>
      <c r="B96" s="3" t="s">
        <v>125</v>
      </c>
      <c r="C96" s="33" t="s">
        <v>127</v>
      </c>
      <c r="D96" s="18"/>
      <c r="E96" s="19" t="s">
        <v>415</v>
      </c>
      <c r="F96" s="84">
        <v>722.82241522267395</v>
      </c>
      <c r="G96" s="84">
        <v>2777.6412780000001</v>
      </c>
      <c r="H96" s="9">
        <f t="shared" si="7"/>
        <v>5.4650169621784497E-2</v>
      </c>
      <c r="I96" s="9">
        <f t="shared" si="7"/>
        <v>4.9969275571474445E-2</v>
      </c>
    </row>
    <row r="97" spans="1:9" ht="15.75">
      <c r="A97" s="103"/>
      <c r="B97" s="3" t="s">
        <v>126</v>
      </c>
      <c r="C97" s="33" t="s">
        <v>121</v>
      </c>
      <c r="D97" s="18"/>
      <c r="E97" s="19" t="s">
        <v>416</v>
      </c>
      <c r="F97" s="84">
        <v>438.61669781376202</v>
      </c>
      <c r="G97" s="84">
        <v>1685.503686</v>
      </c>
      <c r="H97" s="9">
        <f t="shared" si="7"/>
        <v>3.3162332032944358E-2</v>
      </c>
      <c r="I97" s="9">
        <f t="shared" si="7"/>
        <v>3.0321913354885682E-2</v>
      </c>
    </row>
    <row r="98" spans="1:9" ht="15.75">
      <c r="A98" s="103"/>
      <c r="B98" s="3" t="s">
        <v>127</v>
      </c>
      <c r="C98" s="33" t="s">
        <v>125</v>
      </c>
      <c r="D98" s="18"/>
      <c r="E98" s="19" t="s">
        <v>417</v>
      </c>
      <c r="F98" s="84">
        <f>1932.83894812869+1062.97414</f>
        <v>2995.8130881286897</v>
      </c>
      <c r="G98" s="84">
        <f>8708.974893+4084.766585</f>
        <v>12793.741478</v>
      </c>
      <c r="H98" s="9">
        <f t="shared" si="7"/>
        <v>0.22650334296973695</v>
      </c>
      <c r="I98" s="9">
        <f t="shared" si="7"/>
        <v>0.23015714756539729</v>
      </c>
    </row>
    <row r="99" spans="1:9" ht="15.75">
      <c r="A99" s="103"/>
      <c r="B99" s="3" t="s">
        <v>128</v>
      </c>
      <c r="C99" s="33" t="s">
        <v>122</v>
      </c>
      <c r="D99" s="18"/>
      <c r="E99" s="19" t="s">
        <v>418</v>
      </c>
      <c r="F99" s="84">
        <v>642.26016465586497</v>
      </c>
      <c r="G99" s="84">
        <v>2468.0589679999998</v>
      </c>
      <c r="H99" s="9">
        <f t="shared" si="7"/>
        <v>4.8559129048239891E-2</v>
      </c>
      <c r="I99" s="9">
        <f t="shared" si="7"/>
        <v>4.4399944541233458E-2</v>
      </c>
    </row>
    <row r="100" spans="1:9" ht="15.75">
      <c r="A100" s="103"/>
      <c r="B100" s="3" t="s">
        <v>129</v>
      </c>
      <c r="C100" s="33" t="s">
        <v>419</v>
      </c>
      <c r="D100" s="18"/>
      <c r="E100" s="19" t="s">
        <v>420</v>
      </c>
      <c r="F100" s="84">
        <v>135.14710519833599</v>
      </c>
      <c r="G100" s="84">
        <v>913.78476420000004</v>
      </c>
      <c r="H100" s="9">
        <f t="shared" si="7"/>
        <v>1.0218017686552968E-2</v>
      </c>
      <c r="I100" s="9">
        <f t="shared" si="7"/>
        <v>1.6438826372929715E-2</v>
      </c>
    </row>
    <row r="101" spans="1:9" ht="15.75">
      <c r="A101" s="103"/>
      <c r="B101" s="3" t="s">
        <v>130</v>
      </c>
      <c r="C101" s="33" t="s">
        <v>130</v>
      </c>
      <c r="D101" s="18"/>
      <c r="E101" s="19" t="s">
        <v>421</v>
      </c>
      <c r="F101" s="89">
        <v>3950.9070405971565</v>
      </c>
      <c r="G101" s="89">
        <v>15182.432434599999</v>
      </c>
      <c r="H101" s="9">
        <f t="shared" si="7"/>
        <v>0.29871478164110504</v>
      </c>
      <c r="I101" s="9">
        <f t="shared" si="7"/>
        <v>0.2731292756118881</v>
      </c>
    </row>
    <row r="102" spans="1:9">
      <c r="A102" s="103"/>
      <c r="C102" s="33" t="s">
        <v>116</v>
      </c>
      <c r="D102" s="18"/>
      <c r="E102" s="19" t="s">
        <v>422</v>
      </c>
      <c r="H102" s="9">
        <f t="shared" si="7"/>
        <v>0</v>
      </c>
      <c r="I102" s="9">
        <f t="shared" si="7"/>
        <v>0</v>
      </c>
    </row>
    <row r="103" spans="1:9">
      <c r="A103" s="103"/>
      <c r="C103" s="33" t="s">
        <v>423</v>
      </c>
      <c r="D103" s="18"/>
      <c r="E103" s="19" t="s">
        <v>424</v>
      </c>
      <c r="H103" s="9">
        <f t="shared" si="7"/>
        <v>0</v>
      </c>
      <c r="I103" s="9">
        <f t="shared" si="7"/>
        <v>0</v>
      </c>
    </row>
    <row r="104" spans="1:9">
      <c r="A104" s="103"/>
      <c r="C104" s="33" t="s">
        <v>425</v>
      </c>
      <c r="D104" s="18"/>
      <c r="E104" s="19" t="s">
        <v>426</v>
      </c>
      <c r="H104" s="9">
        <f t="shared" si="7"/>
        <v>0</v>
      </c>
      <c r="I104" s="9">
        <f t="shared" si="7"/>
        <v>0</v>
      </c>
    </row>
    <row r="105" spans="1:9">
      <c r="A105" s="103"/>
      <c r="C105" s="33" t="s">
        <v>427</v>
      </c>
      <c r="D105" s="18"/>
      <c r="E105" s="19" t="s">
        <v>428</v>
      </c>
      <c r="H105" s="9">
        <f t="shared" si="7"/>
        <v>0</v>
      </c>
      <c r="I105" s="9">
        <f t="shared" si="7"/>
        <v>0</v>
      </c>
    </row>
    <row r="106" spans="1:9" ht="15.75">
      <c r="A106" s="103" t="s">
        <v>11</v>
      </c>
      <c r="B106" s="3" t="s">
        <v>131</v>
      </c>
      <c r="C106" s="33" t="s">
        <v>132</v>
      </c>
      <c r="D106" s="18"/>
      <c r="E106" s="19" t="s">
        <v>429</v>
      </c>
      <c r="F106" s="84">
        <v>335.676044271249</v>
      </c>
      <c r="G106" s="84">
        <v>1289.9262900000001</v>
      </c>
      <c r="H106" s="9">
        <f>F106/SUM(F$106:F$132)</f>
        <v>2.9036737641951856E-2</v>
      </c>
      <c r="I106" s="9">
        <f>G106/SUM(G$106:G$132)</f>
        <v>2.5265509459058165E-2</v>
      </c>
    </row>
    <row r="107" spans="1:9" ht="15.75">
      <c r="A107" s="103"/>
      <c r="B107" s="3" t="s">
        <v>132</v>
      </c>
      <c r="C107" s="33" t="s">
        <v>143</v>
      </c>
      <c r="D107" s="18"/>
      <c r="E107" s="19" t="s">
        <v>430</v>
      </c>
      <c r="F107" s="89">
        <v>563.79095291199599</v>
      </c>
      <c r="G107" s="89">
        <v>2348.8726701000001</v>
      </c>
      <c r="H107" s="9">
        <f t="shared" ref="H107:I131" si="8">F107/SUM(F$106:F$132)</f>
        <v>4.8769193584106543E-2</v>
      </c>
      <c r="I107" s="9">
        <f t="shared" si="8"/>
        <v>4.6006864984924643E-2</v>
      </c>
    </row>
    <row r="108" spans="1:9" ht="15.75">
      <c r="A108" s="103"/>
      <c r="B108" s="3" t="s">
        <v>133</v>
      </c>
      <c r="C108" s="33" t="s">
        <v>141</v>
      </c>
      <c r="D108" s="18"/>
      <c r="E108" s="19" t="s">
        <v>431</v>
      </c>
      <c r="F108" s="89"/>
      <c r="G108" s="89"/>
      <c r="H108" s="9">
        <f t="shared" si="8"/>
        <v>0</v>
      </c>
      <c r="I108" s="9">
        <f t="shared" si="8"/>
        <v>0</v>
      </c>
    </row>
    <row r="109" spans="1:9" ht="15.75">
      <c r="A109" s="103"/>
      <c r="B109" s="3" t="s">
        <v>134</v>
      </c>
      <c r="C109" s="33" t="s">
        <v>138</v>
      </c>
      <c r="D109" s="18"/>
      <c r="E109" s="19" t="s">
        <v>432</v>
      </c>
      <c r="F109" s="91">
        <v>319.31611529947497</v>
      </c>
      <c r="G109" s="91">
        <v>1402.3529410000001</v>
      </c>
      <c r="H109" s="9">
        <f t="shared" si="8"/>
        <v>2.7621566754718375E-2</v>
      </c>
      <c r="I109" s="9">
        <f t="shared" si="8"/>
        <v>2.7467586148487242E-2</v>
      </c>
    </row>
    <row r="110" spans="1:9" ht="15.75">
      <c r="A110" s="103"/>
      <c r="B110" s="3" t="s">
        <v>135</v>
      </c>
      <c r="C110" s="34" t="s">
        <v>145</v>
      </c>
      <c r="D110" s="19"/>
      <c r="E110" s="22" t="s">
        <v>433</v>
      </c>
      <c r="F110" s="91">
        <v>310.74387059895099</v>
      </c>
      <c r="G110" s="91">
        <v>1364.705882</v>
      </c>
      <c r="H110" s="9">
        <f t="shared" si="8"/>
        <v>2.6880048184597858E-2</v>
      </c>
      <c r="I110" s="9">
        <f t="shared" si="8"/>
        <v>2.6730201281891318E-2</v>
      </c>
    </row>
    <row r="111" spans="1:9" ht="15.75">
      <c r="A111" s="103"/>
      <c r="B111" s="3" t="s">
        <v>136</v>
      </c>
      <c r="C111" s="34" t="s">
        <v>137</v>
      </c>
      <c r="D111" s="35"/>
      <c r="E111" s="22" t="s">
        <v>434</v>
      </c>
      <c r="F111" s="92">
        <v>553.86547299999995</v>
      </c>
      <c r="G111" s="92">
        <v>2128.3783779999999</v>
      </c>
      <c r="H111" s="9">
        <f t="shared" si="8"/>
        <v>4.791061710510644E-2</v>
      </c>
      <c r="I111" s="9">
        <f t="shared" si="8"/>
        <v>4.168809059765257E-2</v>
      </c>
    </row>
    <row r="112" spans="1:9" ht="15.75">
      <c r="A112" s="103"/>
      <c r="B112" s="3" t="s">
        <v>137</v>
      </c>
      <c r="C112" s="33" t="s">
        <v>134</v>
      </c>
      <c r="D112" s="36"/>
      <c r="E112" s="19" t="s">
        <v>435</v>
      </c>
      <c r="F112" s="84">
        <v>405.43683488101402</v>
      </c>
      <c r="G112" s="84">
        <v>3111.6207949999998</v>
      </c>
      <c r="H112" s="9">
        <f t="shared" si="8"/>
        <v>3.5071203935274957E-2</v>
      </c>
      <c r="I112" s="9">
        <f t="shared" si="8"/>
        <v>6.0946648842295149E-2</v>
      </c>
    </row>
    <row r="113" spans="1:9" ht="15.75">
      <c r="A113" s="103"/>
      <c r="B113" s="3" t="s">
        <v>138</v>
      </c>
      <c r="C113" s="33" t="s">
        <v>151</v>
      </c>
      <c r="D113" s="18"/>
      <c r="E113" s="19" t="s">
        <v>436</v>
      </c>
      <c r="F113" s="84">
        <v>132.03257742914499</v>
      </c>
      <c r="G113" s="84">
        <v>507.37100750000002</v>
      </c>
      <c r="H113" s="9">
        <f t="shared" si="8"/>
        <v>1.1421116807200014E-2</v>
      </c>
      <c r="I113" s="9">
        <f t="shared" si="8"/>
        <v>9.9377670558548903E-3</v>
      </c>
    </row>
    <row r="114" spans="1:9" ht="15.75">
      <c r="A114" s="103"/>
      <c r="B114" s="3" t="s">
        <v>139</v>
      </c>
      <c r="C114" s="33" t="s">
        <v>133</v>
      </c>
      <c r="D114" s="18"/>
      <c r="E114" s="19" t="s">
        <v>437</v>
      </c>
      <c r="F114" s="84">
        <v>250.63811303643499</v>
      </c>
      <c r="G114" s="84">
        <v>963.14496320000001</v>
      </c>
      <c r="H114" s="9">
        <f t="shared" si="8"/>
        <v>2.1680764104309899E-2</v>
      </c>
      <c r="I114" s="9">
        <f t="shared" si="8"/>
        <v>1.8864913729430097E-2</v>
      </c>
    </row>
    <row r="115" spans="1:9" ht="15.75">
      <c r="A115" s="103"/>
      <c r="B115" s="3" t="s">
        <v>140</v>
      </c>
      <c r="C115" s="33" t="s">
        <v>148</v>
      </c>
      <c r="D115" s="18"/>
      <c r="E115" s="19" t="s">
        <v>438</v>
      </c>
      <c r="F115" s="91">
        <v>822.40630830972304</v>
      </c>
      <c r="G115" s="91">
        <v>3160.3194100000001</v>
      </c>
      <c r="H115" s="9">
        <f t="shared" si="8"/>
        <v>7.1140007209388303E-2</v>
      </c>
      <c r="I115" s="9">
        <f t="shared" si="8"/>
        <v>6.1900498164899107E-2</v>
      </c>
    </row>
    <row r="116" spans="1:9" ht="15.75">
      <c r="A116" s="103"/>
      <c r="B116" s="3" t="s">
        <v>141</v>
      </c>
      <c r="C116" s="33" t="s">
        <v>135</v>
      </c>
      <c r="D116" s="18"/>
      <c r="E116" s="19" t="s">
        <v>439</v>
      </c>
      <c r="F116" s="89">
        <v>931.16008110682105</v>
      </c>
      <c r="G116" s="89">
        <v>4089.4117649999998</v>
      </c>
      <c r="H116" s="9">
        <f t="shared" si="8"/>
        <v>8.0547454723664938E-2</v>
      </c>
      <c r="I116" s="9">
        <f t="shared" si="8"/>
        <v>8.0098430764281289E-2</v>
      </c>
    </row>
    <row r="117" spans="1:9" ht="15.75">
      <c r="A117" s="103"/>
      <c r="B117" s="3" t="s">
        <v>142</v>
      </c>
      <c r="C117" s="33" t="s">
        <v>136</v>
      </c>
      <c r="D117" s="18"/>
      <c r="E117" s="19" t="s">
        <v>440</v>
      </c>
      <c r="F117" s="84">
        <v>1064.0930599190699</v>
      </c>
      <c r="G117" s="84">
        <v>4089.0663380000001</v>
      </c>
      <c r="H117" s="9">
        <f t="shared" si="8"/>
        <v>9.2046458288588151E-2</v>
      </c>
      <c r="I117" s="9">
        <f t="shared" si="8"/>
        <v>8.0091664959751563E-2</v>
      </c>
    </row>
    <row r="118" spans="1:9">
      <c r="A118" s="103"/>
      <c r="B118" s="3" t="s">
        <v>143</v>
      </c>
      <c r="C118" s="33" t="s">
        <v>140</v>
      </c>
      <c r="D118" s="18"/>
      <c r="E118" s="19" t="s">
        <v>441</v>
      </c>
      <c r="H118" s="9">
        <f t="shared" si="8"/>
        <v>0</v>
      </c>
      <c r="I118" s="9">
        <f t="shared" si="8"/>
        <v>0</v>
      </c>
    </row>
    <row r="119" spans="1:9">
      <c r="A119" s="103"/>
      <c r="B119" s="3" t="s">
        <v>144</v>
      </c>
      <c r="C119" s="33" t="s">
        <v>139</v>
      </c>
      <c r="D119" s="18"/>
      <c r="E119" s="19" t="s">
        <v>442</v>
      </c>
      <c r="H119" s="9">
        <f t="shared" si="8"/>
        <v>0</v>
      </c>
      <c r="I119" s="9">
        <f t="shared" si="8"/>
        <v>0</v>
      </c>
    </row>
    <row r="120" spans="1:9">
      <c r="A120" s="103"/>
      <c r="B120" s="3" t="s">
        <v>145</v>
      </c>
      <c r="C120" s="33" t="s">
        <v>142</v>
      </c>
      <c r="D120" s="18"/>
      <c r="E120" s="19" t="s">
        <v>443</v>
      </c>
      <c r="H120" s="9">
        <f t="shared" si="8"/>
        <v>0</v>
      </c>
      <c r="I120" s="9">
        <f t="shared" si="8"/>
        <v>0</v>
      </c>
    </row>
    <row r="121" spans="1:9">
      <c r="A121" s="103"/>
      <c r="B121" s="3" t="s">
        <v>146</v>
      </c>
      <c r="C121" s="33" t="s">
        <v>144</v>
      </c>
      <c r="D121" s="18"/>
      <c r="E121" s="19" t="s">
        <v>444</v>
      </c>
      <c r="F121" s="43">
        <v>1586.507662369615</v>
      </c>
      <c r="G121" s="43">
        <v>6403.6450349999996</v>
      </c>
      <c r="H121" s="9">
        <f t="shared" si="8"/>
        <v>0.13723650390120656</v>
      </c>
      <c r="I121" s="9">
        <f t="shared" si="8"/>
        <v>0.12542682125212234</v>
      </c>
    </row>
    <row r="122" spans="1:9">
      <c r="A122" s="103"/>
      <c r="B122" s="3" t="s">
        <v>147</v>
      </c>
      <c r="C122" s="33" t="s">
        <v>146</v>
      </c>
      <c r="D122" s="18"/>
      <c r="E122" s="19" t="s">
        <v>445</v>
      </c>
      <c r="F122" s="93">
        <v>1049.55</v>
      </c>
      <c r="G122" s="93">
        <v>4033.17</v>
      </c>
      <c r="H122" s="9">
        <f t="shared" si="8"/>
        <v>9.0788450686949504E-2</v>
      </c>
      <c r="I122" s="9">
        <f t="shared" si="8"/>
        <v>7.8996835381182601E-2</v>
      </c>
    </row>
    <row r="123" spans="1:9" ht="15.75">
      <c r="A123" s="103"/>
      <c r="B123" s="3" t="s">
        <v>148</v>
      </c>
      <c r="C123" s="33" t="s">
        <v>147</v>
      </c>
      <c r="D123" s="18"/>
      <c r="E123" s="19" t="s">
        <v>446</v>
      </c>
      <c r="F123" s="84">
        <v>203.60590086213099</v>
      </c>
      <c r="G123" s="84">
        <v>1376.662636</v>
      </c>
      <c r="H123" s="9">
        <f t="shared" si="8"/>
        <v>1.7612371292452491E-2</v>
      </c>
      <c r="I123" s="9">
        <f t="shared" si="8"/>
        <v>2.696439565689443E-2</v>
      </c>
    </row>
    <row r="124" spans="1:9" ht="15.75">
      <c r="A124" s="103"/>
      <c r="B124" s="3" t="s">
        <v>149</v>
      </c>
      <c r="C124" s="33" t="s">
        <v>150</v>
      </c>
      <c r="D124" s="18"/>
      <c r="E124" s="19" t="s">
        <v>447</v>
      </c>
      <c r="F124" s="84">
        <v>200.28670638663999</v>
      </c>
      <c r="G124" s="84">
        <v>769.6560197</v>
      </c>
      <c r="H124" s="9">
        <f t="shared" si="8"/>
        <v>1.7325253457229288E-2</v>
      </c>
      <c r="I124" s="9">
        <f t="shared" si="8"/>
        <v>1.507508731057137E-2</v>
      </c>
    </row>
    <row r="125" spans="1:9">
      <c r="A125" s="103"/>
      <c r="B125" s="3" t="s">
        <v>150</v>
      </c>
      <c r="C125" s="33" t="s">
        <v>152</v>
      </c>
      <c r="D125" s="18"/>
      <c r="E125" s="19" t="s">
        <v>448</v>
      </c>
      <c r="F125" s="43">
        <f>1544.10980341094+302.1716259</f>
        <v>1846.28142931094</v>
      </c>
      <c r="G125" s="43">
        <f>8637.4670338+1327.058824</f>
        <v>9964.5258577999994</v>
      </c>
      <c r="H125" s="9">
        <f t="shared" si="8"/>
        <v>0.15970752274710776</v>
      </c>
      <c r="I125" s="9">
        <f t="shared" si="8"/>
        <v>0.19517302985992752</v>
      </c>
    </row>
    <row r="126" spans="1:9">
      <c r="A126" s="103"/>
      <c r="B126" s="3" t="s">
        <v>151</v>
      </c>
      <c r="C126" s="33" t="s">
        <v>149</v>
      </c>
      <c r="D126" s="18"/>
      <c r="E126" s="19" t="s">
        <v>449</v>
      </c>
      <c r="F126" s="43">
        <v>985</v>
      </c>
      <c r="G126" s="43">
        <v>4052</v>
      </c>
      <c r="H126" s="45">
        <f t="shared" si="8"/>
        <v>8.5204729576147178E-2</v>
      </c>
      <c r="I126" s="45">
        <f t="shared" si="8"/>
        <v>7.9365654550775669E-2</v>
      </c>
    </row>
    <row r="127" spans="1:9">
      <c r="A127" s="103"/>
      <c r="B127" s="3" t="s">
        <v>152</v>
      </c>
      <c r="C127" s="33" t="s">
        <v>131</v>
      </c>
      <c r="D127" s="18"/>
      <c r="E127" s="19" t="s">
        <v>450</v>
      </c>
      <c r="H127" s="9">
        <f t="shared" si="8"/>
        <v>0</v>
      </c>
      <c r="I127" s="9">
        <f t="shared" si="8"/>
        <v>0</v>
      </c>
    </row>
    <row r="128" spans="1:9">
      <c r="A128" s="103"/>
      <c r="C128" s="33" t="s">
        <v>451</v>
      </c>
      <c r="D128" s="18"/>
      <c r="E128" s="19" t="s">
        <v>452</v>
      </c>
      <c r="H128" s="9">
        <f t="shared" si="8"/>
        <v>0</v>
      </c>
      <c r="I128" s="9">
        <f t="shared" si="8"/>
        <v>0</v>
      </c>
    </row>
    <row r="129" spans="1:12">
      <c r="A129" s="103"/>
      <c r="C129" s="33" t="s">
        <v>453</v>
      </c>
      <c r="D129" s="18"/>
      <c r="E129" s="19" t="s">
        <v>454</v>
      </c>
      <c r="H129" s="9">
        <f t="shared" si="8"/>
        <v>0</v>
      </c>
      <c r="I129" s="9">
        <f t="shared" si="8"/>
        <v>0</v>
      </c>
    </row>
    <row r="130" spans="1:12">
      <c r="A130" s="103"/>
      <c r="C130" s="33" t="s">
        <v>455</v>
      </c>
      <c r="D130" s="18"/>
      <c r="E130" s="19" t="s">
        <v>456</v>
      </c>
      <c r="H130" s="9">
        <f t="shared" si="8"/>
        <v>0</v>
      </c>
      <c r="I130" s="9">
        <f t="shared" si="8"/>
        <v>0</v>
      </c>
    </row>
    <row r="131" spans="1:12">
      <c r="A131" s="103"/>
      <c r="C131" s="33" t="s">
        <v>457</v>
      </c>
      <c r="D131" s="18"/>
      <c r="E131" s="19" t="s">
        <v>458</v>
      </c>
      <c r="H131" s="9">
        <f t="shared" si="8"/>
        <v>0</v>
      </c>
      <c r="I131" s="9">
        <f t="shared" si="8"/>
        <v>0</v>
      </c>
    </row>
    <row r="132" spans="1:12">
      <c r="A132" s="103"/>
      <c r="C132" s="33" t="s">
        <v>459</v>
      </c>
      <c r="D132" s="18"/>
      <c r="E132" s="19" t="s">
        <v>460</v>
      </c>
      <c r="H132" s="9">
        <f>F132/SUM(F$106:F$132)</f>
        <v>0</v>
      </c>
      <c r="I132" s="9">
        <f>G132/SUM(G$106:G$132)</f>
        <v>0</v>
      </c>
    </row>
    <row r="133" spans="1:12">
      <c r="A133" s="103" t="s">
        <v>12</v>
      </c>
      <c r="B133" s="3" t="s">
        <v>153</v>
      </c>
      <c r="C133" s="22" t="s">
        <v>461</v>
      </c>
      <c r="D133" s="19"/>
      <c r="E133" s="22" t="s">
        <v>462</v>
      </c>
      <c r="H133" s="9">
        <f t="shared" ref="H133:I136" si="9">F133/SUM(F$133:F$136)</f>
        <v>0</v>
      </c>
      <c r="I133" s="9">
        <f t="shared" si="9"/>
        <v>0</v>
      </c>
    </row>
    <row r="134" spans="1:12">
      <c r="A134" s="103"/>
      <c r="B134" s="3" t="s">
        <v>154</v>
      </c>
      <c r="C134" s="33" t="s">
        <v>154</v>
      </c>
      <c r="D134" s="18"/>
      <c r="E134" s="19" t="s">
        <v>463</v>
      </c>
      <c r="F134" s="43">
        <f>1126.16515532389+292.0381584</f>
        <v>1418.20331372389</v>
      </c>
      <c r="G134" s="43">
        <f>4327.595208+1122.235872</f>
        <v>5449.8310799999999</v>
      </c>
      <c r="H134" s="9">
        <f t="shared" si="9"/>
        <v>0.70905232936409468</v>
      </c>
      <c r="I134" s="9">
        <f t="shared" si="9"/>
        <v>0.70905232937861307</v>
      </c>
    </row>
    <row r="135" spans="1:12" ht="15.75">
      <c r="A135" s="103"/>
      <c r="C135" s="33" t="s">
        <v>464</v>
      </c>
      <c r="D135" s="18"/>
      <c r="E135" s="19" t="s">
        <v>465</v>
      </c>
      <c r="F135" s="84">
        <v>581.935822686238</v>
      </c>
      <c r="G135" s="84">
        <v>2236.246314</v>
      </c>
      <c r="H135" s="9">
        <f t="shared" si="9"/>
        <v>0.29094767063590532</v>
      </c>
      <c r="I135" s="9">
        <f t="shared" si="9"/>
        <v>0.29094767062138693</v>
      </c>
    </row>
    <row r="136" spans="1:12">
      <c r="A136" s="103"/>
      <c r="C136" s="33" t="s">
        <v>466</v>
      </c>
      <c r="D136" s="18"/>
      <c r="E136" s="19" t="s">
        <v>467</v>
      </c>
      <c r="H136" s="9">
        <f t="shared" si="9"/>
        <v>0</v>
      </c>
      <c r="I136" s="9">
        <f t="shared" si="9"/>
        <v>0</v>
      </c>
    </row>
    <row r="137" spans="1:12" ht="15.75">
      <c r="A137" s="103" t="s">
        <v>13</v>
      </c>
      <c r="B137" s="3" t="s">
        <v>155</v>
      </c>
      <c r="C137" s="33" t="s">
        <v>163</v>
      </c>
      <c r="D137" s="18"/>
      <c r="E137" s="19" t="s">
        <v>468</v>
      </c>
      <c r="F137" s="84">
        <v>850.37931207489396</v>
      </c>
      <c r="G137" s="84">
        <v>3267.8132679999999</v>
      </c>
      <c r="H137" s="9">
        <f>F137/SUM(F$137:F$157)</f>
        <v>6.9023246115294382E-2</v>
      </c>
      <c r="I137" s="9">
        <f>G137/SUM(G$137:G$157)</f>
        <v>6.3162857434411412E-2</v>
      </c>
    </row>
    <row r="138" spans="1:12">
      <c r="A138" s="103"/>
      <c r="B138" s="3" t="s">
        <v>156</v>
      </c>
      <c r="C138" s="33" t="s">
        <v>156</v>
      </c>
      <c r="D138" s="18"/>
      <c r="E138" s="19" t="s">
        <v>469</v>
      </c>
      <c r="H138" s="9">
        <f t="shared" ref="H138:I157" si="10">F138/SUM(F$137:F$157)</f>
        <v>0</v>
      </c>
      <c r="I138" s="9">
        <f t="shared" si="10"/>
        <v>0</v>
      </c>
    </row>
    <row r="139" spans="1:12">
      <c r="A139" s="103"/>
      <c r="B139" s="3" t="s">
        <v>157</v>
      </c>
      <c r="C139" s="33" t="s">
        <v>167</v>
      </c>
      <c r="D139" s="18"/>
      <c r="E139" s="19" t="s">
        <v>470</v>
      </c>
      <c r="H139" s="9">
        <f t="shared" si="10"/>
        <v>0</v>
      </c>
      <c r="I139" s="9">
        <f t="shared" si="10"/>
        <v>0</v>
      </c>
    </row>
    <row r="140" spans="1:12">
      <c r="A140" s="103"/>
      <c r="B140" s="3" t="s">
        <v>158</v>
      </c>
      <c r="C140" s="33" t="s">
        <v>166</v>
      </c>
      <c r="D140" s="18"/>
      <c r="E140" s="19" t="s">
        <v>471</v>
      </c>
      <c r="F140" s="43">
        <v>3140.6957890349281</v>
      </c>
      <c r="G140" s="43">
        <v>13534.079186999999</v>
      </c>
      <c r="H140" s="9">
        <f t="shared" si="10"/>
        <v>0.25492273311645941</v>
      </c>
      <c r="I140" s="9">
        <f t="shared" si="10"/>
        <v>0.26159729583254621</v>
      </c>
    </row>
    <row r="141" spans="1:12" ht="15.75">
      <c r="A141" s="103"/>
      <c r="B141" s="3" t="s">
        <v>159</v>
      </c>
      <c r="C141" s="33" t="s">
        <v>175</v>
      </c>
      <c r="D141" s="18"/>
      <c r="E141" s="19" t="s">
        <v>472</v>
      </c>
      <c r="F141" s="84">
        <v>195.81102580971501</v>
      </c>
      <c r="G141" s="84">
        <v>752.45700250000004</v>
      </c>
      <c r="H141" s="9">
        <f t="shared" si="10"/>
        <v>1.5893510618896489E-2</v>
      </c>
      <c r="I141" s="9">
        <f t="shared" si="10"/>
        <v>1.4544079014502628E-2</v>
      </c>
      <c r="K141" s="84"/>
      <c r="L141" s="84"/>
    </row>
    <row r="142" spans="1:12" ht="15.75">
      <c r="A142" s="103"/>
      <c r="B142" s="3" t="s">
        <v>160</v>
      </c>
      <c r="C142" s="33" t="s">
        <v>164</v>
      </c>
      <c r="D142" s="18"/>
      <c r="E142" s="19" t="s">
        <v>473</v>
      </c>
      <c r="F142" s="84">
        <v>510.22758722672</v>
      </c>
      <c r="G142" s="84">
        <v>1960.6879610000001</v>
      </c>
      <c r="H142" s="9">
        <f t="shared" si="10"/>
        <v>4.1413947667698049E-2</v>
      </c>
      <c r="I142" s="9">
        <f t="shared" si="10"/>
        <v>3.7897714464512608E-2</v>
      </c>
      <c r="K142" s="43"/>
      <c r="L142" s="43"/>
    </row>
    <row r="143" spans="1:12" ht="15.75">
      <c r="A143" s="103"/>
      <c r="B143" s="3" t="s">
        <v>161</v>
      </c>
      <c r="C143" s="33" t="s">
        <v>171</v>
      </c>
      <c r="D143" s="18"/>
      <c r="E143" s="19" t="s">
        <v>474</v>
      </c>
      <c r="F143" s="84">
        <v>585.19523709514306</v>
      </c>
      <c r="G143" s="84">
        <v>2248.7714989999999</v>
      </c>
      <c r="H143" s="9">
        <f t="shared" si="10"/>
        <v>4.7498891732162374E-2</v>
      </c>
      <c r="I143" s="9">
        <f t="shared" si="10"/>
        <v>4.3466018999560728E-2</v>
      </c>
    </row>
    <row r="144" spans="1:12">
      <c r="A144" s="103"/>
      <c r="B144" s="3" t="s">
        <v>162</v>
      </c>
      <c r="C144" s="33" t="s">
        <v>174</v>
      </c>
      <c r="D144" s="36"/>
      <c r="E144" s="19" t="s">
        <v>475</v>
      </c>
      <c r="F144" s="43">
        <f>1048.42817812753+116.8520822</f>
        <v>1165.28026032753</v>
      </c>
      <c r="G144" s="43">
        <f>4028.869779+790.0846434</f>
        <v>4818.9544224000001</v>
      </c>
      <c r="H144" s="9">
        <f t="shared" si="10"/>
        <v>9.4582999680027161E-2</v>
      </c>
      <c r="I144" s="9">
        <f t="shared" si="10"/>
        <v>9.3144530057945041E-2</v>
      </c>
    </row>
    <row r="145" spans="1:9">
      <c r="A145" s="103"/>
      <c r="B145" s="3" t="s">
        <v>163</v>
      </c>
      <c r="C145" s="33" t="s">
        <v>173</v>
      </c>
      <c r="D145" s="18"/>
      <c r="E145" s="19" t="s">
        <v>476</v>
      </c>
      <c r="H145" s="9">
        <f t="shared" si="10"/>
        <v>0</v>
      </c>
      <c r="I145" s="9">
        <f t="shared" si="10"/>
        <v>0</v>
      </c>
    </row>
    <row r="146" spans="1:9" ht="15.75">
      <c r="A146" s="103"/>
      <c r="B146" s="3" t="s">
        <v>164</v>
      </c>
      <c r="C146" s="33" t="s">
        <v>172</v>
      </c>
      <c r="D146" s="18"/>
      <c r="E146" s="19" t="s">
        <v>477</v>
      </c>
      <c r="F146" s="84">
        <f>146.799690598951+114.5510405</f>
        <v>261.35073109895097</v>
      </c>
      <c r="G146" s="84">
        <f>644.7058824+774.5263604</f>
        <v>1419.2322428</v>
      </c>
      <c r="H146" s="9">
        <f t="shared" si="10"/>
        <v>2.1213211068175978E-2</v>
      </c>
      <c r="I146" s="9">
        <f t="shared" si="10"/>
        <v>2.7432033738317131E-2</v>
      </c>
    </row>
    <row r="147" spans="1:9">
      <c r="A147" s="103"/>
      <c r="B147" s="3" t="s">
        <v>165</v>
      </c>
      <c r="C147" s="33" t="s">
        <v>161</v>
      </c>
      <c r="D147" s="36"/>
      <c r="E147" s="19" t="s">
        <v>478</v>
      </c>
      <c r="F147" s="43">
        <v>1420.5088527534858</v>
      </c>
      <c r="G147" s="43">
        <v>5643.2948573000003</v>
      </c>
      <c r="H147" s="9">
        <f t="shared" si="10"/>
        <v>0.11529929145774315</v>
      </c>
      <c r="I147" s="9">
        <f t="shared" si="10"/>
        <v>0.10907802842423217</v>
      </c>
    </row>
    <row r="148" spans="1:9">
      <c r="A148" s="103"/>
      <c r="B148" s="3" t="s">
        <v>166</v>
      </c>
      <c r="C148" s="33" t="s">
        <v>162</v>
      </c>
      <c r="D148" s="18"/>
      <c r="E148" s="19" t="s">
        <v>479</v>
      </c>
      <c r="F148" s="43">
        <v>371.46875481468703</v>
      </c>
      <c r="G148" s="43">
        <v>1762.5957536000001</v>
      </c>
      <c r="H148" s="9">
        <f t="shared" si="10"/>
        <v>3.0151226545193685E-2</v>
      </c>
      <c r="I148" s="9">
        <f t="shared" si="10"/>
        <v>3.4068832937713546E-2</v>
      </c>
    </row>
    <row r="149" spans="1:9" ht="29.25">
      <c r="A149" s="103"/>
      <c r="B149" s="3" t="s">
        <v>167</v>
      </c>
      <c r="C149" s="33" t="s">
        <v>158</v>
      </c>
      <c r="D149" s="18"/>
      <c r="E149" s="19" t="s">
        <v>480</v>
      </c>
      <c r="F149" s="43">
        <v>471.74344772468919</v>
      </c>
      <c r="G149" s="43">
        <v>1812.8022117</v>
      </c>
      <c r="H149" s="9">
        <f t="shared" si="10"/>
        <v>3.8290282504792425E-2</v>
      </c>
      <c r="I149" s="9">
        <f t="shared" si="10"/>
        <v>3.5039262731334501E-2</v>
      </c>
    </row>
    <row r="150" spans="1:9">
      <c r="A150" s="103"/>
      <c r="B150" s="3" t="s">
        <v>168</v>
      </c>
      <c r="C150" s="33" t="s">
        <v>159</v>
      </c>
      <c r="D150" s="18"/>
      <c r="E150" s="19" t="s">
        <v>481</v>
      </c>
      <c r="F150" s="43">
        <v>750.79541889676398</v>
      </c>
      <c r="G150" s="43">
        <v>2885.1351353</v>
      </c>
      <c r="H150" s="9">
        <f t="shared" si="10"/>
        <v>6.0940260710602545E-2</v>
      </c>
      <c r="I150" s="9">
        <f t="shared" si="10"/>
        <v>5.5766154392750074E-2</v>
      </c>
    </row>
    <row r="151" spans="1:9" ht="15.75">
      <c r="A151" s="103"/>
      <c r="B151" s="3" t="s">
        <v>169</v>
      </c>
      <c r="C151" s="33" t="s">
        <v>155</v>
      </c>
      <c r="D151" s="36"/>
      <c r="E151" s="19" t="s">
        <v>482</v>
      </c>
      <c r="F151" s="84">
        <v>343.50848521255699</v>
      </c>
      <c r="G151" s="84">
        <v>1320.02457</v>
      </c>
      <c r="H151" s="9">
        <f t="shared" si="10"/>
        <v>2.7881758623297868E-2</v>
      </c>
      <c r="I151" s="9">
        <f t="shared" si="10"/>
        <v>2.5514470040651733E-2</v>
      </c>
    </row>
    <row r="152" spans="1:9" ht="15.75">
      <c r="A152" s="103"/>
      <c r="B152" s="3" t="s">
        <v>170</v>
      </c>
      <c r="C152" s="33" t="s">
        <v>169</v>
      </c>
      <c r="D152" s="18"/>
      <c r="E152" s="19" t="s">
        <v>483</v>
      </c>
      <c r="F152" s="84">
        <v>281.50728898751998</v>
      </c>
      <c r="G152" s="84">
        <v>1903.385732</v>
      </c>
      <c r="H152" s="9">
        <f t="shared" si="10"/>
        <v>2.2849270455116175E-2</v>
      </c>
      <c r="I152" s="9">
        <f t="shared" si="10"/>
        <v>3.6790132046495137E-2</v>
      </c>
    </row>
    <row r="153" spans="1:9">
      <c r="A153" s="103"/>
      <c r="B153" s="3" t="s">
        <v>171</v>
      </c>
      <c r="C153" s="33" t="s">
        <v>170</v>
      </c>
      <c r="D153" s="18"/>
      <c r="E153" s="19" t="s">
        <v>484</v>
      </c>
      <c r="F153" s="43">
        <v>783.24410314778004</v>
      </c>
      <c r="G153" s="43">
        <v>3009.8280100000002</v>
      </c>
      <c r="H153" s="9">
        <f t="shared" si="10"/>
        <v>6.3574042468193218E-2</v>
      </c>
      <c r="I153" s="9">
        <f t="shared" si="10"/>
        <v>5.8176316058010512E-2</v>
      </c>
    </row>
    <row r="154" spans="1:9">
      <c r="A154" s="103"/>
      <c r="B154" s="3" t="s">
        <v>172</v>
      </c>
      <c r="C154" s="33" t="s">
        <v>160</v>
      </c>
      <c r="D154" s="18"/>
      <c r="E154" s="19" t="s">
        <v>485</v>
      </c>
      <c r="H154" s="9">
        <f t="shared" si="10"/>
        <v>0</v>
      </c>
      <c r="I154" s="9">
        <f t="shared" si="10"/>
        <v>0</v>
      </c>
    </row>
    <row r="155" spans="1:9">
      <c r="A155" s="103"/>
      <c r="B155" s="3" t="s">
        <v>173</v>
      </c>
      <c r="C155" s="33" t="s">
        <v>157</v>
      </c>
      <c r="D155" s="18"/>
      <c r="E155" s="19" t="s">
        <v>486</v>
      </c>
      <c r="H155" s="9">
        <f t="shared" si="10"/>
        <v>0</v>
      </c>
      <c r="I155" s="9">
        <f t="shared" si="10"/>
        <v>0</v>
      </c>
    </row>
    <row r="156" spans="1:9">
      <c r="A156" s="103"/>
      <c r="B156" s="3" t="s">
        <v>174</v>
      </c>
      <c r="C156" s="33" t="s">
        <v>165</v>
      </c>
      <c r="D156" s="18"/>
      <c r="E156" s="19" t="s">
        <v>487</v>
      </c>
      <c r="F156" s="87">
        <v>145.45961915992001</v>
      </c>
      <c r="G156" s="87">
        <v>558.96805900000004</v>
      </c>
      <c r="H156" s="9">
        <f t="shared" si="10"/>
        <v>1.1806607887267024E-2</v>
      </c>
      <c r="I156" s="9">
        <f t="shared" si="10"/>
        <v>1.0804172982201952E-2</v>
      </c>
    </row>
    <row r="157" spans="1:9">
      <c r="A157" s="103"/>
      <c r="B157" s="3" t="s">
        <v>175</v>
      </c>
      <c r="C157" s="33" t="s">
        <v>168</v>
      </c>
      <c r="D157" s="18"/>
      <c r="E157" s="19" t="s">
        <v>488</v>
      </c>
      <c r="F157" s="88">
        <f>822.584+220.427269</f>
        <v>1043.0112689999999</v>
      </c>
      <c r="G157" s="88">
        <f>3991.23+847.051597</f>
        <v>4838.2815970000001</v>
      </c>
      <c r="H157" s="9">
        <f t="shared" si="10"/>
        <v>8.4658719349080397E-2</v>
      </c>
      <c r="I157" s="9">
        <f t="shared" si="10"/>
        <v>9.3518100844814669E-2</v>
      </c>
    </row>
    <row r="158" spans="1:9">
      <c r="A158" s="29" t="s">
        <v>625</v>
      </c>
      <c r="C158" s="33" t="s">
        <v>489</v>
      </c>
      <c r="D158" s="18"/>
      <c r="E158" s="19" t="s">
        <v>490</v>
      </c>
      <c r="F158" s="86">
        <f>808.5219832+158.7535864</f>
        <v>967.27556960000004</v>
      </c>
      <c r="G158" s="95">
        <f>5466.747281+1073.397823</f>
        <v>6540.1451040000002</v>
      </c>
      <c r="H158" s="9">
        <v>1</v>
      </c>
      <c r="I158" s="9">
        <v>1</v>
      </c>
    </row>
    <row r="159" spans="1:9">
      <c r="A159" s="29" t="s">
        <v>14</v>
      </c>
      <c r="B159" s="3" t="s">
        <v>176</v>
      </c>
      <c r="C159" s="33" t="s">
        <v>176</v>
      </c>
      <c r="D159" s="18"/>
      <c r="E159" s="19" t="s">
        <v>491</v>
      </c>
      <c r="F159" s="87">
        <v>758.62785992915303</v>
      </c>
      <c r="G159" s="87">
        <v>2915.2334150000002</v>
      </c>
      <c r="H159" s="9">
        <v>1</v>
      </c>
      <c r="I159" s="9">
        <v>1</v>
      </c>
    </row>
    <row r="160" spans="1:9">
      <c r="A160" s="103" t="s">
        <v>624</v>
      </c>
      <c r="B160" s="4" t="s">
        <v>492</v>
      </c>
      <c r="C160" s="33" t="s">
        <v>492</v>
      </c>
      <c r="D160" s="18"/>
      <c r="E160" s="19" t="s">
        <v>493</v>
      </c>
      <c r="H160" s="9">
        <f>F160/SUM(F$160:F$161)</f>
        <v>0</v>
      </c>
      <c r="I160" s="9">
        <f>G160/SUM(G$160:G$161)</f>
        <v>0</v>
      </c>
    </row>
    <row r="161" spans="1:11" ht="15.75">
      <c r="A161" s="103"/>
      <c r="B161" s="4" t="s">
        <v>494</v>
      </c>
      <c r="C161" s="33" t="s">
        <v>494</v>
      </c>
      <c r="D161" s="18"/>
      <c r="E161" s="19" t="s">
        <v>495</v>
      </c>
      <c r="F161" s="84">
        <v>615.82567888089295</v>
      </c>
      <c r="G161" s="84">
        <v>4726.2996940000003</v>
      </c>
      <c r="H161" s="9">
        <f>F161/SUM(F$160:F$161)</f>
        <v>1</v>
      </c>
      <c r="I161" s="9">
        <f>G161/SUM(G$160:G$161)</f>
        <v>1</v>
      </c>
    </row>
    <row r="162" spans="1:11" ht="15.75">
      <c r="A162" s="29" t="s">
        <v>15</v>
      </c>
      <c r="B162" s="3" t="s">
        <v>177</v>
      </c>
      <c r="C162" s="33" t="s">
        <v>177</v>
      </c>
      <c r="D162" s="18"/>
      <c r="E162" s="19" t="s">
        <v>15</v>
      </c>
      <c r="F162" s="84">
        <v>613.16824076923297</v>
      </c>
      <c r="G162" s="84">
        <v>2356.2653559999999</v>
      </c>
      <c r="H162" s="9">
        <v>1</v>
      </c>
      <c r="I162" s="9">
        <v>1</v>
      </c>
    </row>
    <row r="163" spans="1:11">
      <c r="A163" s="103" t="s">
        <v>16</v>
      </c>
      <c r="B163" s="3" t="s">
        <v>178</v>
      </c>
      <c r="C163" s="33" t="s">
        <v>182</v>
      </c>
      <c r="D163" s="18"/>
      <c r="E163" s="19" t="s">
        <v>496</v>
      </c>
      <c r="H163" s="9">
        <f>F163/SUM(F$163:F$170)</f>
        <v>0</v>
      </c>
      <c r="I163" s="9">
        <f>G163/SUM(G$163:G$170)</f>
        <v>0</v>
      </c>
    </row>
    <row r="164" spans="1:11" ht="15.75">
      <c r="A164" s="103"/>
      <c r="B164" s="3" t="s">
        <v>179</v>
      </c>
      <c r="C164" s="33" t="s">
        <v>181</v>
      </c>
      <c r="D164" s="18"/>
      <c r="E164" s="19" t="s">
        <v>497</v>
      </c>
      <c r="F164" s="84">
        <v>507.98974689271802</v>
      </c>
      <c r="G164" s="84">
        <v>1952.088452</v>
      </c>
      <c r="H164" s="9">
        <f t="shared" ref="H164:I170" si="11">F164/SUM(F$163:F$170)</f>
        <v>0.43219778283819971</v>
      </c>
      <c r="I164" s="9">
        <f t="shared" si="11"/>
        <v>0.4321977828636232</v>
      </c>
    </row>
    <row r="165" spans="1:11">
      <c r="A165" s="103"/>
      <c r="B165" s="3" t="s">
        <v>180</v>
      </c>
      <c r="C165" s="33" t="s">
        <v>180</v>
      </c>
      <c r="D165" s="18"/>
      <c r="E165" s="19" t="s">
        <v>498</v>
      </c>
      <c r="H165" s="9">
        <f t="shared" si="11"/>
        <v>0</v>
      </c>
      <c r="I165" s="9">
        <f t="shared" si="11"/>
        <v>0</v>
      </c>
    </row>
    <row r="166" spans="1:11" ht="15.75">
      <c r="A166" s="103"/>
      <c r="B166" s="3" t="s">
        <v>181</v>
      </c>
      <c r="C166" s="33" t="s">
        <v>179</v>
      </c>
      <c r="D166" s="18"/>
      <c r="E166" s="19" t="s">
        <v>499</v>
      </c>
      <c r="H166" s="9">
        <f t="shared" si="11"/>
        <v>0</v>
      </c>
      <c r="I166" s="9">
        <f t="shared" si="11"/>
        <v>0</v>
      </c>
      <c r="J166" s="84"/>
      <c r="K166" s="84"/>
    </row>
    <row r="167" spans="1:11" ht="15.75">
      <c r="A167" s="103"/>
      <c r="B167" s="3" t="s">
        <v>182</v>
      </c>
      <c r="C167" s="33" t="s">
        <v>184</v>
      </c>
      <c r="D167" s="18"/>
      <c r="E167" s="19" t="s">
        <v>500</v>
      </c>
      <c r="F167" s="43">
        <v>667.37432729757506</v>
      </c>
      <c r="G167" s="43">
        <v>2564.566953</v>
      </c>
      <c r="H167" s="9">
        <f t="shared" si="11"/>
        <v>0.56780221716180013</v>
      </c>
      <c r="I167" s="9">
        <f t="shared" si="11"/>
        <v>0.56780221713637691</v>
      </c>
      <c r="J167" s="84"/>
      <c r="K167" s="84"/>
    </row>
    <row r="168" spans="1:11">
      <c r="A168" s="103"/>
      <c r="B168" s="3" t="s">
        <v>183</v>
      </c>
      <c r="C168" s="33" t="s">
        <v>183</v>
      </c>
      <c r="D168" s="36"/>
      <c r="E168" s="19" t="s">
        <v>501</v>
      </c>
      <c r="H168" s="9">
        <f t="shared" si="11"/>
        <v>0</v>
      </c>
      <c r="I168" s="9">
        <f t="shared" si="11"/>
        <v>0</v>
      </c>
    </row>
    <row r="169" spans="1:11">
      <c r="A169" s="103"/>
      <c r="B169" s="3" t="s">
        <v>184</v>
      </c>
      <c r="C169" s="33" t="s">
        <v>178</v>
      </c>
      <c r="D169" s="18"/>
      <c r="E169" s="19" t="s">
        <v>502</v>
      </c>
      <c r="H169" s="9">
        <f t="shared" si="11"/>
        <v>0</v>
      </c>
      <c r="I169" s="9">
        <f t="shared" si="11"/>
        <v>0</v>
      </c>
    </row>
    <row r="170" spans="1:11">
      <c r="A170" s="103"/>
      <c r="B170" s="3" t="s">
        <v>185</v>
      </c>
      <c r="C170" s="33" t="s">
        <v>185</v>
      </c>
      <c r="D170" s="18"/>
      <c r="E170" s="19" t="s">
        <v>503</v>
      </c>
      <c r="H170" s="9">
        <f t="shared" si="11"/>
        <v>0</v>
      </c>
      <c r="I170" s="9">
        <f t="shared" si="11"/>
        <v>0</v>
      </c>
    </row>
    <row r="171" spans="1:11">
      <c r="A171" s="29" t="s">
        <v>505</v>
      </c>
      <c r="C171" s="33" t="s">
        <v>504</v>
      </c>
      <c r="D171" s="18"/>
      <c r="E171" s="19" t="s">
        <v>505</v>
      </c>
    </row>
    <row r="172" spans="1:11">
      <c r="A172" s="103" t="s">
        <v>17</v>
      </c>
      <c r="B172" s="3" t="s">
        <v>186</v>
      </c>
      <c r="C172" s="33" t="s">
        <v>193</v>
      </c>
      <c r="D172" s="18"/>
      <c r="E172" s="19" t="s">
        <v>506</v>
      </c>
      <c r="H172" s="9">
        <f>F172/SUM(F$172:F$183)</f>
        <v>0</v>
      </c>
      <c r="I172" s="9">
        <f>G172/SUM(G$172:G$183)</f>
        <v>0</v>
      </c>
    </row>
    <row r="173" spans="1:11">
      <c r="A173" s="103"/>
      <c r="B173" s="3" t="s">
        <v>187</v>
      </c>
      <c r="C173" s="33" t="s">
        <v>195</v>
      </c>
      <c r="D173" s="18"/>
      <c r="E173" s="19" t="s">
        <v>507</v>
      </c>
      <c r="H173" s="9">
        <f t="shared" ref="H173:I183" si="12">F173/SUM(F$172:F$183)</f>
        <v>0</v>
      </c>
      <c r="I173" s="9">
        <f t="shared" si="12"/>
        <v>0</v>
      </c>
    </row>
    <row r="174" spans="1:11">
      <c r="A174" s="103"/>
      <c r="B174" s="3" t="s">
        <v>188</v>
      </c>
      <c r="C174" s="33" t="s">
        <v>197</v>
      </c>
      <c r="D174" s="18"/>
      <c r="E174" s="19" t="s">
        <v>508</v>
      </c>
      <c r="H174" s="9">
        <f t="shared" si="12"/>
        <v>0</v>
      </c>
      <c r="I174" s="9">
        <f t="shared" si="12"/>
        <v>0</v>
      </c>
    </row>
    <row r="175" spans="1:11">
      <c r="A175" s="103"/>
      <c r="B175" s="3" t="s">
        <v>189</v>
      </c>
      <c r="C175" s="33" t="s">
        <v>188</v>
      </c>
      <c r="D175" s="18"/>
      <c r="E175" s="19" t="s">
        <v>509</v>
      </c>
      <c r="H175" s="9">
        <f t="shared" si="12"/>
        <v>0</v>
      </c>
      <c r="I175" s="9">
        <f t="shared" si="12"/>
        <v>0</v>
      </c>
    </row>
    <row r="176" spans="1:11">
      <c r="A176" s="103"/>
      <c r="B176" s="3" t="s">
        <v>190</v>
      </c>
      <c r="C176" s="33" t="s">
        <v>194</v>
      </c>
      <c r="D176" s="18"/>
      <c r="E176" s="19" t="s">
        <v>510</v>
      </c>
      <c r="H176" s="9">
        <f t="shared" si="12"/>
        <v>0</v>
      </c>
      <c r="I176" s="9">
        <f t="shared" si="12"/>
        <v>0</v>
      </c>
    </row>
    <row r="177" spans="1:9">
      <c r="A177" s="103"/>
      <c r="B177" s="3" t="s">
        <v>191</v>
      </c>
      <c r="C177" s="33" t="s">
        <v>196</v>
      </c>
      <c r="D177" s="18"/>
      <c r="E177" s="19" t="s">
        <v>511</v>
      </c>
      <c r="H177" s="9">
        <f t="shared" si="12"/>
        <v>0</v>
      </c>
      <c r="I177" s="9">
        <f t="shared" si="12"/>
        <v>0</v>
      </c>
    </row>
    <row r="178" spans="1:9">
      <c r="A178" s="103"/>
      <c r="B178" s="3" t="s">
        <v>192</v>
      </c>
      <c r="C178" s="33" t="s">
        <v>190</v>
      </c>
      <c r="D178" s="18"/>
      <c r="E178" s="19" t="s">
        <v>512</v>
      </c>
      <c r="H178" s="9">
        <f t="shared" si="12"/>
        <v>0</v>
      </c>
      <c r="I178" s="9">
        <f t="shared" si="12"/>
        <v>0</v>
      </c>
    </row>
    <row r="179" spans="1:9">
      <c r="A179" s="103"/>
      <c r="B179" s="3" t="s">
        <v>193</v>
      </c>
      <c r="C179" s="33" t="s">
        <v>189</v>
      </c>
      <c r="D179" s="18"/>
      <c r="E179" s="19" t="s">
        <v>513</v>
      </c>
      <c r="H179" s="9">
        <f t="shared" si="12"/>
        <v>0</v>
      </c>
      <c r="I179" s="9">
        <f t="shared" si="12"/>
        <v>0</v>
      </c>
    </row>
    <row r="180" spans="1:9">
      <c r="A180" s="103"/>
      <c r="B180" s="3" t="s">
        <v>194</v>
      </c>
      <c r="C180" s="33" t="s">
        <v>186</v>
      </c>
      <c r="D180" s="18"/>
      <c r="E180" s="19" t="s">
        <v>514</v>
      </c>
      <c r="H180" s="9">
        <f t="shared" si="12"/>
        <v>0</v>
      </c>
      <c r="I180" s="9">
        <f t="shared" si="12"/>
        <v>0</v>
      </c>
    </row>
    <row r="181" spans="1:9">
      <c r="A181" s="103"/>
      <c r="B181" s="3" t="s">
        <v>195</v>
      </c>
      <c r="C181" s="33" t="s">
        <v>187</v>
      </c>
      <c r="D181" s="36"/>
      <c r="E181" s="19" t="s">
        <v>515</v>
      </c>
      <c r="H181" s="9">
        <f t="shared" si="12"/>
        <v>0</v>
      </c>
      <c r="I181" s="9">
        <f t="shared" si="12"/>
        <v>0</v>
      </c>
    </row>
    <row r="182" spans="1:9">
      <c r="A182" s="103"/>
      <c r="B182" s="3" t="s">
        <v>196</v>
      </c>
      <c r="C182" s="33" t="s">
        <v>191</v>
      </c>
      <c r="D182" s="36"/>
      <c r="E182" s="19" t="s">
        <v>516</v>
      </c>
      <c r="F182" s="81"/>
      <c r="G182" s="81"/>
      <c r="H182" s="9">
        <f t="shared" si="12"/>
        <v>0</v>
      </c>
      <c r="I182" s="9">
        <f t="shared" si="12"/>
        <v>0</v>
      </c>
    </row>
    <row r="183" spans="1:9" ht="15.75">
      <c r="A183" s="103"/>
      <c r="B183" s="3" t="s">
        <v>197</v>
      </c>
      <c r="C183" s="33" t="s">
        <v>192</v>
      </c>
      <c r="D183" s="36"/>
      <c r="E183" s="19" t="s">
        <v>517</v>
      </c>
      <c r="F183" s="84">
        <v>450.48172703238902</v>
      </c>
      <c r="G183" s="84">
        <v>1731.0982799999999</v>
      </c>
      <c r="H183" s="9">
        <f t="shared" si="12"/>
        <v>1</v>
      </c>
      <c r="I183" s="9">
        <f t="shared" si="12"/>
        <v>1</v>
      </c>
    </row>
    <row r="184" spans="1:9">
      <c r="A184" s="103" t="s">
        <v>18</v>
      </c>
      <c r="B184" s="3" t="s">
        <v>198</v>
      </c>
      <c r="C184" s="33" t="s">
        <v>206</v>
      </c>
      <c r="D184" s="18"/>
      <c r="E184" s="19" t="s">
        <v>518</v>
      </c>
      <c r="F184" s="81"/>
      <c r="G184" s="81"/>
      <c r="H184" s="45">
        <f>F184/SUM(F$184:F$192)</f>
        <v>0</v>
      </c>
      <c r="I184" s="45">
        <f>G184/SUM(G$184:G$192)</f>
        <v>0</v>
      </c>
    </row>
    <row r="185" spans="1:9" ht="15.75">
      <c r="A185" s="103"/>
      <c r="B185" s="3" t="s">
        <v>199</v>
      </c>
      <c r="C185" s="33" t="s">
        <v>204</v>
      </c>
      <c r="D185" s="18"/>
      <c r="E185" s="19" t="s">
        <v>519</v>
      </c>
      <c r="F185" s="82">
        <f>291.070292570847+746.3197383</f>
        <v>1037.3900308708471</v>
      </c>
      <c r="G185" s="82">
        <f>1118.516585+2867.936118</f>
        <v>3986.4527029999999</v>
      </c>
      <c r="H185" s="45">
        <f t="shared" ref="H185:H192" si="13">F185/SUM(F$184:F$192)</f>
        <v>0.3338295080896494</v>
      </c>
      <c r="I185" s="45">
        <f t="shared" ref="I185:I192" si="14">G185/SUM(G$184:G$192)</f>
        <v>0.33223784838151332</v>
      </c>
    </row>
    <row r="186" spans="1:9">
      <c r="A186" s="103"/>
      <c r="B186" s="3" t="s">
        <v>200</v>
      </c>
      <c r="C186" s="33" t="s">
        <v>203</v>
      </c>
      <c r="D186" s="18"/>
      <c r="E186" s="19" t="s">
        <v>520</v>
      </c>
      <c r="F186" s="81"/>
      <c r="G186" s="81"/>
      <c r="H186" s="45">
        <f t="shared" si="13"/>
        <v>0</v>
      </c>
      <c r="I186" s="45">
        <f t="shared" si="14"/>
        <v>0</v>
      </c>
    </row>
    <row r="187" spans="1:9" ht="15.75">
      <c r="A187" s="103"/>
      <c r="B187" s="3" t="s">
        <v>201</v>
      </c>
      <c r="C187" s="33" t="s">
        <v>205</v>
      </c>
      <c r="D187" s="18"/>
      <c r="E187" s="19" t="s">
        <v>521</v>
      </c>
      <c r="F187" s="83">
        <v>419.595055293521</v>
      </c>
      <c r="G187" s="83">
        <v>1612.407862</v>
      </c>
      <c r="H187" s="45">
        <f t="shared" si="13"/>
        <v>0.13502463561164121</v>
      </c>
      <c r="I187" s="45">
        <f t="shared" si="14"/>
        <v>0.13438085403124775</v>
      </c>
    </row>
    <row r="188" spans="1:9" ht="15.75">
      <c r="A188" s="103"/>
      <c r="B188" s="3" t="s">
        <v>202</v>
      </c>
      <c r="C188" s="33" t="s">
        <v>200</v>
      </c>
      <c r="D188" s="18"/>
      <c r="E188" s="19" t="s">
        <v>522</v>
      </c>
      <c r="F188" s="83">
        <f>104.211707396327+379.31393</f>
        <v>483.52563739632706</v>
      </c>
      <c r="G188" s="83">
        <f>457.6705884+1457.616708</f>
        <v>1915.2872964000001</v>
      </c>
      <c r="H188" s="45">
        <f t="shared" si="13"/>
        <v>0.15559733646683355</v>
      </c>
      <c r="I188" s="45">
        <f t="shared" si="14"/>
        <v>0.15962334882576476</v>
      </c>
    </row>
    <row r="189" spans="1:9" ht="15.75">
      <c r="A189" s="103"/>
      <c r="B189" s="3" t="s">
        <v>203</v>
      </c>
      <c r="C189" s="33" t="s">
        <v>202</v>
      </c>
      <c r="D189" s="18"/>
      <c r="E189" s="19" t="s">
        <v>523</v>
      </c>
      <c r="F189" s="83">
        <f>381.551770253039+230.4975504</f>
        <v>612.04932065303899</v>
      </c>
      <c r="G189" s="83">
        <f>1466.216216+885.7493859</f>
        <v>2351.9656018999999</v>
      </c>
      <c r="H189" s="45">
        <f t="shared" si="13"/>
        <v>0.19695593514494217</v>
      </c>
      <c r="I189" s="45">
        <f t="shared" si="14"/>
        <v>0.19601687245769561</v>
      </c>
    </row>
    <row r="190" spans="1:9" ht="15.75">
      <c r="A190" s="103"/>
      <c r="B190" s="3" t="s">
        <v>204</v>
      </c>
      <c r="C190" s="33" t="s">
        <v>201</v>
      </c>
      <c r="D190" s="18"/>
      <c r="E190" s="19" t="s">
        <v>524</v>
      </c>
      <c r="F190" s="83">
        <v>302.10843980769198</v>
      </c>
      <c r="G190" s="83">
        <v>1160.933661</v>
      </c>
      <c r="H190" s="45">
        <f t="shared" si="13"/>
        <v>9.7217737639209323E-2</v>
      </c>
      <c r="I190" s="45">
        <f t="shared" si="14"/>
        <v>9.6754214932501414E-2</v>
      </c>
    </row>
    <row r="191" spans="1:9" ht="15.75">
      <c r="A191" s="103"/>
      <c r="B191" s="3" t="s">
        <v>205</v>
      </c>
      <c r="C191" s="33" t="s">
        <v>199</v>
      </c>
      <c r="D191" s="18"/>
      <c r="E191" s="19" t="s">
        <v>525</v>
      </c>
      <c r="F191" s="83">
        <v>252.87595327935799</v>
      </c>
      <c r="G191" s="83">
        <v>971.7444716</v>
      </c>
      <c r="H191" s="45">
        <f t="shared" si="13"/>
        <v>8.1374847047724366E-2</v>
      </c>
      <c r="I191" s="45">
        <f t="shared" si="14"/>
        <v>8.098686137127728E-2</v>
      </c>
    </row>
    <row r="192" spans="1:9">
      <c r="A192" s="103"/>
      <c r="B192" s="3" t="s">
        <v>206</v>
      </c>
      <c r="C192" s="33" t="s">
        <v>198</v>
      </c>
      <c r="D192" s="18"/>
      <c r="E192" s="19" t="s">
        <v>526</v>
      </c>
      <c r="H192" s="45">
        <f t="shared" si="13"/>
        <v>0</v>
      </c>
      <c r="I192" s="45">
        <f t="shared" si="14"/>
        <v>0</v>
      </c>
    </row>
    <row r="193" spans="1:14">
      <c r="A193" s="103" t="s">
        <v>19</v>
      </c>
      <c r="B193" s="3" t="s">
        <v>207</v>
      </c>
      <c r="C193" s="33" t="s">
        <v>219</v>
      </c>
      <c r="D193" s="18"/>
      <c r="E193" s="19" t="s">
        <v>527</v>
      </c>
      <c r="H193" s="9">
        <f>F193/SUM(F$193:F$209)</f>
        <v>0</v>
      </c>
      <c r="I193" s="9">
        <f>G193/SUM(G$193:G$209)</f>
        <v>0</v>
      </c>
    </row>
    <row r="194" spans="1:14" ht="15.75">
      <c r="A194" s="103"/>
      <c r="B194" s="3" t="s">
        <v>208</v>
      </c>
      <c r="C194" s="33" t="s">
        <v>210</v>
      </c>
      <c r="D194" s="18"/>
      <c r="E194" s="19" t="s">
        <v>528</v>
      </c>
      <c r="F194" s="84">
        <v>402.81125310728203</v>
      </c>
      <c r="G194" s="84">
        <v>1547.911548</v>
      </c>
      <c r="H194" s="9">
        <f t="shared" ref="H194:I209" si="15">F194/SUM(F$193:F$209)</f>
        <v>4.1976349993272342E-2</v>
      </c>
      <c r="I194" s="9">
        <f t="shared" si="15"/>
        <v>3.4332915702011017E-2</v>
      </c>
    </row>
    <row r="195" spans="1:14">
      <c r="A195" s="103"/>
      <c r="B195" s="3" t="s">
        <v>209</v>
      </c>
      <c r="C195" s="33" t="s">
        <v>221</v>
      </c>
      <c r="D195" s="18"/>
      <c r="E195" s="19" t="s">
        <v>529</v>
      </c>
      <c r="H195" s="9">
        <f t="shared" si="15"/>
        <v>0</v>
      </c>
      <c r="I195" s="9">
        <f t="shared" si="15"/>
        <v>0</v>
      </c>
    </row>
    <row r="196" spans="1:14" ht="15.75">
      <c r="A196" s="103"/>
      <c r="B196" s="3" t="s">
        <v>210</v>
      </c>
      <c r="C196" s="33" t="s">
        <v>207</v>
      </c>
      <c r="D196" s="18"/>
      <c r="E196" s="19" t="s">
        <v>530</v>
      </c>
      <c r="F196" s="89"/>
      <c r="G196" s="89"/>
      <c r="H196" s="9">
        <f t="shared" si="15"/>
        <v>0</v>
      </c>
      <c r="I196" s="9">
        <f t="shared" si="15"/>
        <v>0</v>
      </c>
    </row>
    <row r="197" spans="1:14" ht="15.75">
      <c r="A197" s="103"/>
      <c r="B197" s="3" t="s">
        <v>211</v>
      </c>
      <c r="C197" s="33" t="s">
        <v>216</v>
      </c>
      <c r="D197" s="18"/>
      <c r="E197" s="19" t="s">
        <v>531</v>
      </c>
      <c r="F197" s="89"/>
      <c r="G197" s="89"/>
      <c r="H197" s="9">
        <f t="shared" si="15"/>
        <v>0</v>
      </c>
      <c r="I197" s="9">
        <f t="shared" si="15"/>
        <v>0</v>
      </c>
    </row>
    <row r="198" spans="1:14" ht="15.75">
      <c r="A198" s="103"/>
      <c r="B198" s="3" t="s">
        <v>212</v>
      </c>
      <c r="C198" s="33" t="s">
        <v>218</v>
      </c>
      <c r="D198" s="18"/>
      <c r="E198" s="19" t="s">
        <v>532</v>
      </c>
      <c r="F198" s="89"/>
      <c r="G198" s="89"/>
      <c r="H198" s="9">
        <f t="shared" si="15"/>
        <v>0</v>
      </c>
      <c r="I198" s="9">
        <f t="shared" si="15"/>
        <v>0</v>
      </c>
      <c r="K198" s="84"/>
      <c r="L198" s="84"/>
    </row>
    <row r="199" spans="1:14" ht="15.75">
      <c r="A199" s="103"/>
      <c r="B199" s="3" t="s">
        <v>213</v>
      </c>
      <c r="C199" s="33" t="s">
        <v>213</v>
      </c>
      <c r="D199" s="18"/>
      <c r="E199" s="19" t="s">
        <v>533</v>
      </c>
      <c r="F199" s="89">
        <v>1679.908239334899</v>
      </c>
      <c r="G199" s="89">
        <v>10244.934474000002</v>
      </c>
      <c r="H199" s="9">
        <f t="shared" si="15"/>
        <v>0.17506069075017319</v>
      </c>
      <c r="I199" s="9">
        <f t="shared" si="15"/>
        <v>0.22723421898553381</v>
      </c>
      <c r="K199" s="84"/>
      <c r="L199" s="84"/>
    </row>
    <row r="200" spans="1:14" ht="15.75">
      <c r="A200" s="103"/>
      <c r="B200" s="3" t="s">
        <v>214</v>
      </c>
      <c r="C200" s="33" t="s">
        <v>220</v>
      </c>
      <c r="D200" s="18"/>
      <c r="E200" s="19" t="s">
        <v>534</v>
      </c>
      <c r="F200" s="91">
        <v>1197.2445572875099</v>
      </c>
      <c r="G200" s="91">
        <v>4600.7370989999999</v>
      </c>
      <c r="H200" s="9">
        <f t="shared" si="15"/>
        <v>0.12476304019951519</v>
      </c>
      <c r="I200" s="9">
        <f t="shared" si="15"/>
        <v>0.1020450549588391</v>
      </c>
    </row>
    <row r="201" spans="1:14" ht="15.75">
      <c r="A201" s="103"/>
      <c r="B201" s="3" t="s">
        <v>215</v>
      </c>
      <c r="C201" s="33" t="s">
        <v>208</v>
      </c>
      <c r="D201" s="18"/>
      <c r="E201" s="19" t="s">
        <v>535</v>
      </c>
      <c r="F201" s="89"/>
      <c r="G201" s="89"/>
      <c r="H201" s="9">
        <f t="shared" si="15"/>
        <v>0</v>
      </c>
      <c r="I201" s="9">
        <f t="shared" si="15"/>
        <v>0</v>
      </c>
    </row>
    <row r="202" spans="1:14" ht="15.75">
      <c r="A202" s="103"/>
      <c r="B202" s="3" t="s">
        <v>216</v>
      </c>
      <c r="C202" s="33" t="s">
        <v>211</v>
      </c>
      <c r="D202" s="18"/>
      <c r="E202" s="19" t="s">
        <v>536</v>
      </c>
      <c r="F202" s="89"/>
      <c r="G202" s="89"/>
      <c r="H202" s="9">
        <f t="shared" si="15"/>
        <v>0</v>
      </c>
      <c r="I202" s="9">
        <f t="shared" si="15"/>
        <v>0</v>
      </c>
      <c r="J202" s="84"/>
      <c r="K202" s="84"/>
    </row>
    <row r="203" spans="1:14" ht="15.75">
      <c r="A203" s="103"/>
      <c r="B203" s="3" t="s">
        <v>217</v>
      </c>
      <c r="C203" s="33" t="s">
        <v>223</v>
      </c>
      <c r="D203" s="18"/>
      <c r="E203" s="19" t="s">
        <v>537</v>
      </c>
      <c r="F203" s="92">
        <v>1008.113211</v>
      </c>
      <c r="G203" s="92">
        <v>7737.00306</v>
      </c>
      <c r="H203" s="9">
        <f t="shared" si="15"/>
        <v>0.10505394934065361</v>
      </c>
      <c r="I203" s="9">
        <f t="shared" si="15"/>
        <v>0.17160791531557285</v>
      </c>
      <c r="J203" s="84"/>
      <c r="K203" s="84"/>
    </row>
    <row r="204" spans="1:14" ht="15.75">
      <c r="A204" s="103"/>
      <c r="B204" s="3" t="s">
        <v>218</v>
      </c>
      <c r="C204" s="33" t="s">
        <v>222</v>
      </c>
      <c r="D204" s="18"/>
      <c r="E204" s="19" t="s">
        <v>538</v>
      </c>
      <c r="F204" s="89">
        <f>1805.93711747982+2237.840295</f>
        <v>4043.7774124798198</v>
      </c>
      <c r="G204" s="89">
        <f>6939.803438+8599.5086</f>
        <v>15539.312038</v>
      </c>
      <c r="H204" s="9">
        <f t="shared" si="15"/>
        <v>0.42139591347497413</v>
      </c>
      <c r="I204" s="9">
        <f t="shared" si="15"/>
        <v>0.3446643259152809</v>
      </c>
    </row>
    <row r="205" spans="1:14">
      <c r="A205" s="103"/>
      <c r="B205" s="3" t="s">
        <v>219</v>
      </c>
      <c r="C205" s="33" t="s">
        <v>217</v>
      </c>
      <c r="D205" s="18"/>
      <c r="E205" s="19" t="s">
        <v>539</v>
      </c>
      <c r="F205" s="43">
        <v>1264.292994985595</v>
      </c>
      <c r="G205" s="43">
        <v>5415.452569</v>
      </c>
      <c r="H205" s="9">
        <f>F205/SUM(F$193:F$209)</f>
        <v>0.13175005624141148</v>
      </c>
      <c r="I205" s="9">
        <f>G205/SUM(G$193:G$209)</f>
        <v>0.12011556912276229</v>
      </c>
    </row>
    <row r="206" spans="1:14" ht="15.75">
      <c r="A206" s="103"/>
      <c r="B206" s="3" t="s">
        <v>220</v>
      </c>
      <c r="C206" s="33" t="s">
        <v>209</v>
      </c>
      <c r="D206" s="18"/>
      <c r="E206" s="19" t="s">
        <v>540</v>
      </c>
      <c r="F206" s="89"/>
      <c r="G206" s="89"/>
      <c r="H206" s="9">
        <f t="shared" si="15"/>
        <v>0</v>
      </c>
      <c r="I206" s="9">
        <f t="shared" si="15"/>
        <v>0</v>
      </c>
      <c r="M206" s="84"/>
      <c r="N206" s="84"/>
    </row>
    <row r="207" spans="1:14" ht="15.75">
      <c r="A207" s="103"/>
      <c r="B207" s="3" t="s">
        <v>221</v>
      </c>
      <c r="C207" s="33" t="s">
        <v>212</v>
      </c>
      <c r="D207" s="18"/>
      <c r="E207" s="19" t="s">
        <v>541</v>
      </c>
      <c r="F207" s="89"/>
      <c r="G207" s="89"/>
      <c r="H207" s="9">
        <f t="shared" si="15"/>
        <v>0</v>
      </c>
      <c r="I207" s="9">
        <f t="shared" si="15"/>
        <v>0</v>
      </c>
      <c r="M207" s="91"/>
      <c r="N207" s="91"/>
    </row>
    <row r="208" spans="1:14">
      <c r="A208" s="103"/>
      <c r="B208" s="3" t="s">
        <v>222</v>
      </c>
      <c r="C208" s="33" t="s">
        <v>214</v>
      </c>
      <c r="D208" s="18"/>
      <c r="E208" s="19" t="s">
        <v>542</v>
      </c>
      <c r="H208" s="9">
        <f t="shared" si="15"/>
        <v>0</v>
      </c>
      <c r="I208" s="9">
        <f t="shared" si="15"/>
        <v>0</v>
      </c>
    </row>
    <row r="209" spans="1:12">
      <c r="A209" s="103"/>
      <c r="B209" s="3" t="s">
        <v>223</v>
      </c>
      <c r="C209" s="33" t="s">
        <v>215</v>
      </c>
      <c r="D209" s="36"/>
      <c r="E209" s="19" t="s">
        <v>543</v>
      </c>
      <c r="H209" s="9">
        <f t="shared" si="15"/>
        <v>0</v>
      </c>
      <c r="I209" s="9">
        <f t="shared" si="15"/>
        <v>0</v>
      </c>
    </row>
    <row r="210" spans="1:12">
      <c r="A210" s="103" t="s">
        <v>20</v>
      </c>
      <c r="B210" s="3" t="s">
        <v>224</v>
      </c>
      <c r="C210" s="33" t="s">
        <v>226</v>
      </c>
      <c r="D210" s="18"/>
      <c r="E210" s="19" t="s">
        <v>544</v>
      </c>
      <c r="H210" s="9">
        <f>F210/SUM(F$210:F$216)</f>
        <v>0</v>
      </c>
      <c r="I210" s="9">
        <f>G210/SUM(G$210:G$216)</f>
        <v>0</v>
      </c>
    </row>
    <row r="211" spans="1:12" ht="15.75">
      <c r="A211" s="103"/>
      <c r="B211" s="3" t="s">
        <v>225</v>
      </c>
      <c r="C211" s="33" t="s">
        <v>225</v>
      </c>
      <c r="D211" s="18"/>
      <c r="E211" s="19" t="s">
        <v>545</v>
      </c>
      <c r="F211" s="84">
        <v>414.00045450405503</v>
      </c>
      <c r="G211" s="84">
        <v>1590.909091</v>
      </c>
      <c r="H211" s="9">
        <f t="shared" ref="H211:I216" si="16">F211/SUM(F$210:F$216)</f>
        <v>8.516174907826643E-2</v>
      </c>
      <c r="I211" s="9">
        <f t="shared" si="16"/>
        <v>8.057429156412399E-2</v>
      </c>
      <c r="K211" s="84"/>
      <c r="L211" s="84"/>
    </row>
    <row r="212" spans="1:12" ht="15.75">
      <c r="A212" s="103"/>
      <c r="B212" s="3" t="s">
        <v>226</v>
      </c>
      <c r="C212" s="33" t="s">
        <v>228</v>
      </c>
      <c r="D212" s="18"/>
      <c r="E212" s="19" t="s">
        <v>546</v>
      </c>
      <c r="F212" s="84">
        <f>1397.51895611132+364.4150217</f>
        <v>1761.9339778113199</v>
      </c>
      <c r="G212" s="84">
        <f>5370.345824+2463.958767</f>
        <v>7834.3045910000001</v>
      </c>
      <c r="H212" s="9">
        <f t="shared" si="16"/>
        <v>0.36243771638026012</v>
      </c>
      <c r="I212" s="9">
        <f t="shared" si="16"/>
        <v>0.39678165514825708</v>
      </c>
      <c r="K212" s="84"/>
      <c r="L212" s="84"/>
    </row>
    <row r="213" spans="1:12">
      <c r="A213" s="103"/>
      <c r="B213" s="3" t="s">
        <v>227</v>
      </c>
      <c r="C213" s="33" t="s">
        <v>224</v>
      </c>
      <c r="D213" s="18"/>
      <c r="E213" s="19" t="s">
        <v>547</v>
      </c>
      <c r="F213" s="3">
        <v>2685.4083534413503</v>
      </c>
      <c r="G213" s="3">
        <v>10319.410318</v>
      </c>
      <c r="H213" s="9">
        <f t="shared" si="16"/>
        <v>0.55240053454147331</v>
      </c>
      <c r="I213" s="9">
        <f t="shared" si="16"/>
        <v>0.52264405328761898</v>
      </c>
    </row>
    <row r="214" spans="1:12">
      <c r="A214" s="103"/>
      <c r="B214" s="3" t="s">
        <v>228</v>
      </c>
      <c r="C214" s="33" t="s">
        <v>227</v>
      </c>
      <c r="D214" s="36"/>
      <c r="E214" s="19" t="s">
        <v>548</v>
      </c>
      <c r="H214" s="9">
        <f t="shared" si="16"/>
        <v>0</v>
      </c>
      <c r="I214" s="9">
        <f t="shared" si="16"/>
        <v>0</v>
      </c>
    </row>
    <row r="215" spans="1:12">
      <c r="A215" s="103"/>
      <c r="C215" s="33" t="s">
        <v>549</v>
      </c>
      <c r="D215" s="18"/>
      <c r="E215" s="19" t="s">
        <v>550</v>
      </c>
      <c r="H215" s="9">
        <f t="shared" si="16"/>
        <v>0</v>
      </c>
      <c r="I215" s="9">
        <f t="shared" si="16"/>
        <v>0</v>
      </c>
    </row>
    <row r="216" spans="1:12">
      <c r="A216" s="103"/>
      <c r="C216" s="33" t="s">
        <v>551</v>
      </c>
      <c r="D216" s="18"/>
      <c r="E216" s="19" t="s">
        <v>552</v>
      </c>
      <c r="H216" s="9">
        <f t="shared" si="16"/>
        <v>0</v>
      </c>
      <c r="I216" s="9">
        <f t="shared" si="16"/>
        <v>0</v>
      </c>
    </row>
    <row r="217" spans="1:12">
      <c r="A217" s="103" t="s">
        <v>21</v>
      </c>
      <c r="B217" s="3" t="s">
        <v>229</v>
      </c>
      <c r="C217" s="33" t="s">
        <v>231</v>
      </c>
      <c r="D217" s="18"/>
      <c r="E217" s="19" t="s">
        <v>553</v>
      </c>
      <c r="F217" s="87">
        <v>1054.0227786437599</v>
      </c>
      <c r="G217" s="87">
        <v>4050.3685500000001</v>
      </c>
      <c r="H217" s="9">
        <f>F217/SUM(F$217:F$224)</f>
        <v>0.18279339744569542</v>
      </c>
      <c r="I217" s="9">
        <f>G217/SUM(G$217:G$224)</f>
        <v>0.18279339745832973</v>
      </c>
    </row>
    <row r="218" spans="1:12">
      <c r="A218" s="103"/>
      <c r="B218" s="3" t="s">
        <v>230</v>
      </c>
      <c r="C218" s="33" t="s">
        <v>236</v>
      </c>
      <c r="D218" s="18"/>
      <c r="E218" s="19" t="s">
        <v>554</v>
      </c>
      <c r="F218" s="87">
        <v>945.48752449393805</v>
      </c>
      <c r="G218" s="87">
        <v>3633.292383</v>
      </c>
      <c r="H218" s="9">
        <f t="shared" ref="H218:I224" si="17">F218/SUM(F$217:F$224)</f>
        <v>0.16397072278376257</v>
      </c>
      <c r="I218" s="9">
        <f t="shared" si="17"/>
        <v>0.16397072277485489</v>
      </c>
    </row>
    <row r="219" spans="1:12" ht="15.75">
      <c r="A219" s="103"/>
      <c r="B219" s="3" t="s">
        <v>231</v>
      </c>
      <c r="C219" s="33" t="s">
        <v>232</v>
      </c>
      <c r="D219" s="18"/>
      <c r="E219" s="19" t="s">
        <v>555</v>
      </c>
      <c r="F219" s="84">
        <v>635.94833604048995</v>
      </c>
      <c r="G219" s="84">
        <v>2443.8040540000002</v>
      </c>
      <c r="H219" s="9">
        <f t="shared" si="17"/>
        <v>0.11028903672684984</v>
      </c>
      <c r="I219" s="9">
        <f t="shared" si="17"/>
        <v>0.11028903672311487</v>
      </c>
    </row>
    <row r="220" spans="1:12">
      <c r="A220" s="103"/>
      <c r="B220" s="3" t="s">
        <v>232</v>
      </c>
      <c r="C220" s="33" t="s">
        <v>230</v>
      </c>
      <c r="D220" s="18"/>
      <c r="E220" s="19" t="s">
        <v>556</v>
      </c>
      <c r="F220" s="88">
        <v>949.96320519999995</v>
      </c>
      <c r="G220" s="88">
        <v>3650.4914010000002</v>
      </c>
      <c r="H220" s="9">
        <f t="shared" si="17"/>
        <v>0.16474691557458243</v>
      </c>
      <c r="I220" s="9">
        <f t="shared" si="17"/>
        <v>0.16474691558159762</v>
      </c>
    </row>
    <row r="221" spans="1:12">
      <c r="A221" s="103"/>
      <c r="B221" s="3" t="s">
        <v>233</v>
      </c>
      <c r="C221" s="33" t="s">
        <v>234</v>
      </c>
      <c r="D221" s="18"/>
      <c r="E221" s="19" t="s">
        <v>557</v>
      </c>
      <c r="F221" s="43">
        <v>1643.693696406905</v>
      </c>
      <c r="G221" s="43">
        <v>6316.3390659999995</v>
      </c>
      <c r="H221" s="9">
        <f t="shared" si="17"/>
        <v>0.2850567949896653</v>
      </c>
      <c r="I221" s="9">
        <f t="shared" si="17"/>
        <v>0.28505679498546199</v>
      </c>
    </row>
    <row r="222" spans="1:12">
      <c r="A222" s="103"/>
      <c r="B222" s="3" t="s">
        <v>234</v>
      </c>
      <c r="C222" s="33" t="s">
        <v>233</v>
      </c>
      <c r="D222" s="18"/>
      <c r="E222" s="19" t="s">
        <v>558</v>
      </c>
      <c r="H222" s="9">
        <f t="shared" si="17"/>
        <v>0</v>
      </c>
      <c r="I222" s="9">
        <f t="shared" si="17"/>
        <v>0</v>
      </c>
    </row>
    <row r="223" spans="1:12">
      <c r="A223" s="103"/>
      <c r="B223" s="3" t="s">
        <v>235</v>
      </c>
      <c r="C223" s="33" t="s">
        <v>229</v>
      </c>
      <c r="D223" s="18"/>
      <c r="E223" s="19" t="s">
        <v>559</v>
      </c>
      <c r="H223" s="9">
        <f t="shared" si="17"/>
        <v>0</v>
      </c>
      <c r="I223" s="9">
        <f t="shared" si="17"/>
        <v>0</v>
      </c>
    </row>
    <row r="224" spans="1:12">
      <c r="A224" s="103"/>
      <c r="B224" s="3" t="s">
        <v>236</v>
      </c>
      <c r="C224" s="33" t="s">
        <v>235</v>
      </c>
      <c r="D224" s="18"/>
      <c r="E224" s="19" t="s">
        <v>560</v>
      </c>
      <c r="F224" s="87">
        <v>537.08167077935002</v>
      </c>
      <c r="G224" s="87">
        <v>2063.8820639999999</v>
      </c>
      <c r="H224" s="9">
        <f t="shared" si="17"/>
        <v>9.3143132479444432E-2</v>
      </c>
      <c r="I224" s="9">
        <f t="shared" si="17"/>
        <v>9.3143132476640897E-2</v>
      </c>
    </row>
    <row r="225" spans="1:12">
      <c r="A225" s="103" t="s">
        <v>22</v>
      </c>
      <c r="B225" s="3" t="s">
        <v>237</v>
      </c>
      <c r="C225" s="33" t="s">
        <v>237</v>
      </c>
      <c r="D225" s="18"/>
      <c r="E225" s="19" t="s">
        <v>561</v>
      </c>
      <c r="F225" s="88">
        <v>13.358787639999999</v>
      </c>
      <c r="G225" s="88">
        <v>51.334766600000002</v>
      </c>
      <c r="H225" s="9">
        <f>F225/SUM(F$225:F$226)</f>
        <v>2.0480702096663424E-2</v>
      </c>
      <c r="I225" s="9">
        <f>G225/SUM(G$225:G$226)</f>
        <v>2.0480702104733101E-2</v>
      </c>
    </row>
    <row r="226" spans="1:12">
      <c r="A226" s="103"/>
      <c r="B226" s="3" t="s">
        <v>238</v>
      </c>
      <c r="C226" s="33" t="s">
        <v>238</v>
      </c>
      <c r="D226" s="18"/>
      <c r="E226" s="19" t="s">
        <v>562</v>
      </c>
      <c r="F226" s="87">
        <v>638.90340420040195</v>
      </c>
      <c r="G226" s="87">
        <v>2455.159705</v>
      </c>
      <c r="H226" s="9">
        <f>F226/SUM(F$225:F$226)</f>
        <v>0.97951929790333669</v>
      </c>
      <c r="I226" s="9">
        <f>G226/SUM(G$225:G$226)</f>
        <v>0.97951929789526693</v>
      </c>
    </row>
    <row r="227" spans="1:12" ht="15.75">
      <c r="A227" s="103" t="s">
        <v>23</v>
      </c>
      <c r="B227" s="3" t="s">
        <v>239</v>
      </c>
      <c r="C227" s="33" t="s">
        <v>241</v>
      </c>
      <c r="D227" s="18"/>
      <c r="E227" s="19" t="s">
        <v>563</v>
      </c>
      <c r="F227" s="84">
        <v>897.373958269225</v>
      </c>
      <c r="G227" s="84">
        <v>3448.4029489999998</v>
      </c>
      <c r="H227" s="9">
        <f>F227/SUM(F$227:F$230)</f>
        <v>0.44068361532875006</v>
      </c>
      <c r="I227" s="9">
        <f>G227/SUM(G$227:G$230)</f>
        <v>0.41457523466818191</v>
      </c>
      <c r="K227" s="84"/>
      <c r="L227" s="84"/>
    </row>
    <row r="228" spans="1:12" ht="15.75">
      <c r="A228" s="103"/>
      <c r="B228" s="3" t="s">
        <v>240</v>
      </c>
      <c r="C228" s="33" t="s">
        <v>239</v>
      </c>
      <c r="D228" s="18"/>
      <c r="E228" s="19" t="s">
        <v>564</v>
      </c>
      <c r="F228" s="3">
        <v>970.10376789472605</v>
      </c>
      <c r="G228" s="3">
        <v>3727.8869780000005</v>
      </c>
      <c r="H228" s="9">
        <f t="shared" ref="H228:I230" si="18">F228/SUM(F$227:F$230)</f>
        <v>0.47639986846111676</v>
      </c>
      <c r="I228" s="9">
        <f t="shared" si="18"/>
        <v>0.44817547182790379</v>
      </c>
      <c r="K228" s="84"/>
      <c r="L228" s="84"/>
    </row>
    <row r="229" spans="1:12">
      <c r="A229" s="103"/>
      <c r="B229" s="3" t="s">
        <v>241</v>
      </c>
      <c r="C229" s="33" t="s">
        <v>242</v>
      </c>
      <c r="D229" s="18"/>
      <c r="E229" s="19" t="s">
        <v>565</v>
      </c>
      <c r="H229" s="9">
        <f t="shared" si="18"/>
        <v>0</v>
      </c>
      <c r="I229" s="9">
        <f t="shared" si="18"/>
        <v>0</v>
      </c>
    </row>
    <row r="230" spans="1:12" ht="15.75">
      <c r="A230" s="103"/>
      <c r="B230" s="3" t="s">
        <v>242</v>
      </c>
      <c r="C230" s="33" t="s">
        <v>240</v>
      </c>
      <c r="D230" s="18"/>
      <c r="E230" s="19" t="s">
        <v>566</v>
      </c>
      <c r="F230" s="84">
        <v>168.844767014707</v>
      </c>
      <c r="G230" s="84">
        <v>1141.628416</v>
      </c>
      <c r="H230" s="9">
        <f t="shared" si="18"/>
        <v>8.291651621013317E-2</v>
      </c>
      <c r="I230" s="9">
        <f t="shared" si="18"/>
        <v>0.13724929350391438</v>
      </c>
    </row>
    <row r="231" spans="1:12">
      <c r="A231" s="103" t="s">
        <v>24</v>
      </c>
      <c r="B231" s="3" t="s">
        <v>243</v>
      </c>
      <c r="C231" s="33" t="s">
        <v>243</v>
      </c>
      <c r="D231" s="18"/>
      <c r="E231" s="19" t="s">
        <v>567</v>
      </c>
      <c r="H231" s="9">
        <f>F231/SUM(F$231:F$235)</f>
        <v>0</v>
      </c>
      <c r="I231" s="9">
        <f>G231/SUM(G$231:G$235)</f>
        <v>0</v>
      </c>
    </row>
    <row r="232" spans="1:12">
      <c r="A232" s="103"/>
      <c r="B232" s="3" t="s">
        <v>244</v>
      </c>
      <c r="C232" s="33" t="s">
        <v>245</v>
      </c>
      <c r="D232" s="18"/>
      <c r="E232" s="19" t="s">
        <v>568</v>
      </c>
      <c r="H232" s="9">
        <f t="shared" ref="H232:I235" si="19">F232/SUM(F$231:F$235)</f>
        <v>0</v>
      </c>
      <c r="I232" s="9">
        <f t="shared" si="19"/>
        <v>0</v>
      </c>
    </row>
    <row r="233" spans="1:12">
      <c r="A233" s="103"/>
      <c r="B233" s="3" t="s">
        <v>245</v>
      </c>
      <c r="C233" s="33" t="s">
        <v>244</v>
      </c>
      <c r="D233" s="18"/>
      <c r="E233" s="19" t="s">
        <v>569</v>
      </c>
      <c r="F233" s="43">
        <v>822.61093583268803</v>
      </c>
      <c r="G233" s="43">
        <v>3925.8818620000002</v>
      </c>
      <c r="H233" s="9">
        <f t="shared" si="19"/>
        <v>1</v>
      </c>
      <c r="I233" s="9">
        <f t="shared" si="19"/>
        <v>1</v>
      </c>
    </row>
    <row r="234" spans="1:12">
      <c r="A234" s="103"/>
      <c r="B234" s="3" t="s">
        <v>246</v>
      </c>
      <c r="C234" s="33" t="s">
        <v>246</v>
      </c>
      <c r="D234" s="18"/>
      <c r="E234" s="19" t="s">
        <v>570</v>
      </c>
      <c r="H234" s="9">
        <f t="shared" si="19"/>
        <v>0</v>
      </c>
      <c r="I234" s="9">
        <f t="shared" si="19"/>
        <v>0</v>
      </c>
    </row>
    <row r="235" spans="1:12">
      <c r="A235" s="103"/>
      <c r="C235" s="33" t="s">
        <v>571</v>
      </c>
      <c r="D235" s="18"/>
      <c r="E235" s="19" t="s">
        <v>572</v>
      </c>
      <c r="H235" s="9">
        <f t="shared" si="19"/>
        <v>0</v>
      </c>
      <c r="I235" s="9">
        <f t="shared" si="19"/>
        <v>0</v>
      </c>
    </row>
    <row r="236" spans="1:12">
      <c r="A236" s="103" t="s">
        <v>25</v>
      </c>
      <c r="B236" s="3" t="s">
        <v>247</v>
      </c>
      <c r="C236" s="33" t="s">
        <v>247</v>
      </c>
      <c r="D236" s="18"/>
      <c r="E236" s="19" t="s">
        <v>573</v>
      </c>
      <c r="H236" s="9">
        <f>F236/SUM(F$236:F$243)</f>
        <v>0</v>
      </c>
      <c r="I236" s="9">
        <f>G236/SUM(G$236:G$243)</f>
        <v>0</v>
      </c>
    </row>
    <row r="237" spans="1:12">
      <c r="A237" s="103"/>
      <c r="B237" s="3" t="s">
        <v>248</v>
      </c>
      <c r="C237" s="33" t="s">
        <v>248</v>
      </c>
      <c r="D237" s="18"/>
      <c r="E237" s="19" t="s">
        <v>574</v>
      </c>
      <c r="H237" s="9">
        <f t="shared" ref="H237:I243" si="20">F237/SUM(F$236:F$243)</f>
        <v>0</v>
      </c>
      <c r="I237" s="9">
        <f t="shared" si="20"/>
        <v>0</v>
      </c>
    </row>
    <row r="238" spans="1:12">
      <c r="A238" s="103"/>
      <c r="B238" s="3" t="s">
        <v>249</v>
      </c>
      <c r="C238" s="33" t="s">
        <v>252</v>
      </c>
      <c r="D238" s="18"/>
      <c r="E238" s="19" t="s">
        <v>575</v>
      </c>
      <c r="F238" s="43">
        <v>2248.7363390850387</v>
      </c>
      <c r="G238" s="43">
        <v>8641.3796070000008</v>
      </c>
      <c r="H238" s="9">
        <f t="shared" si="20"/>
        <v>0.85433078897883397</v>
      </c>
      <c r="I238" s="9">
        <f t="shared" si="20"/>
        <v>0.85433078898891524</v>
      </c>
    </row>
    <row r="239" spans="1:12">
      <c r="A239" s="103"/>
      <c r="B239" s="3" t="s">
        <v>250</v>
      </c>
      <c r="C239" s="33" t="s">
        <v>254</v>
      </c>
      <c r="D239" s="18"/>
      <c r="E239" s="19" t="s">
        <v>576</v>
      </c>
      <c r="H239" s="9">
        <f t="shared" si="20"/>
        <v>0</v>
      </c>
      <c r="I239" s="9">
        <f t="shared" si="20"/>
        <v>0</v>
      </c>
    </row>
    <row r="240" spans="1:12">
      <c r="A240" s="103"/>
      <c r="B240" s="3" t="s">
        <v>251</v>
      </c>
      <c r="C240" s="33" t="s">
        <v>251</v>
      </c>
      <c r="D240" s="36"/>
      <c r="E240" s="19" t="s">
        <v>577</v>
      </c>
      <c r="F240" s="87">
        <v>383.42484261943002</v>
      </c>
      <c r="G240" s="87">
        <v>1473.4140050000001</v>
      </c>
      <c r="H240" s="9">
        <f t="shared" si="20"/>
        <v>0.14566921102116603</v>
      </c>
      <c r="I240" s="9">
        <f t="shared" si="20"/>
        <v>0.14566921101108474</v>
      </c>
    </row>
    <row r="241" spans="1:9">
      <c r="A241" s="103"/>
      <c r="B241" s="3" t="s">
        <v>252</v>
      </c>
      <c r="C241" s="33" t="s">
        <v>253</v>
      </c>
      <c r="D241" s="18"/>
      <c r="E241" s="19" t="s">
        <v>578</v>
      </c>
      <c r="H241" s="9">
        <f t="shared" si="20"/>
        <v>0</v>
      </c>
      <c r="I241" s="9">
        <f t="shared" si="20"/>
        <v>0</v>
      </c>
    </row>
    <row r="242" spans="1:9">
      <c r="A242" s="103"/>
      <c r="B242" s="3" t="s">
        <v>253</v>
      </c>
      <c r="C242" s="33" t="s">
        <v>250</v>
      </c>
      <c r="D242" s="18"/>
      <c r="E242" s="19" t="s">
        <v>579</v>
      </c>
      <c r="H242" s="9">
        <f t="shared" si="20"/>
        <v>0</v>
      </c>
      <c r="I242" s="9">
        <f t="shared" si="20"/>
        <v>0</v>
      </c>
    </row>
    <row r="243" spans="1:9">
      <c r="A243" s="103"/>
      <c r="B243" s="3" t="s">
        <v>254</v>
      </c>
      <c r="C243" s="33" t="s">
        <v>249</v>
      </c>
      <c r="D243" s="18"/>
      <c r="E243" s="19" t="s">
        <v>580</v>
      </c>
      <c r="H243" s="9">
        <f t="shared" si="20"/>
        <v>0</v>
      </c>
      <c r="I243" s="9">
        <f t="shared" si="20"/>
        <v>0</v>
      </c>
    </row>
    <row r="244" spans="1:9">
      <c r="A244" s="103" t="s">
        <v>26</v>
      </c>
      <c r="B244" s="3" t="s">
        <v>255</v>
      </c>
      <c r="C244" s="33" t="s">
        <v>294</v>
      </c>
      <c r="D244" s="36"/>
      <c r="E244" s="19" t="s">
        <v>581</v>
      </c>
      <c r="H244" s="9">
        <f>F244/SUM(F$244:F$284)</f>
        <v>0</v>
      </c>
      <c r="I244" s="9">
        <f>G244/SUM(G$244:G$284)</f>
        <v>0</v>
      </c>
    </row>
    <row r="245" spans="1:9" ht="29.25">
      <c r="A245" s="103"/>
      <c r="B245" s="3" t="s">
        <v>256</v>
      </c>
      <c r="C245" s="33" t="s">
        <v>268</v>
      </c>
      <c r="D245" s="18"/>
      <c r="E245" s="19" t="s">
        <v>582</v>
      </c>
      <c r="H245" s="9">
        <f t="shared" ref="H245:I284" si="21">F245/SUM(F$244:F$284)</f>
        <v>0</v>
      </c>
      <c r="I245" s="9">
        <f t="shared" si="21"/>
        <v>0</v>
      </c>
    </row>
    <row r="246" spans="1:9">
      <c r="A246" s="103"/>
      <c r="B246" s="3" t="s">
        <v>257</v>
      </c>
      <c r="C246" s="33" t="s">
        <v>280</v>
      </c>
      <c r="D246" s="18"/>
      <c r="E246" s="19" t="s">
        <v>583</v>
      </c>
      <c r="H246" s="9">
        <f t="shared" si="21"/>
        <v>0</v>
      </c>
      <c r="I246" s="9">
        <f t="shared" si="21"/>
        <v>0</v>
      </c>
    </row>
    <row r="247" spans="1:9">
      <c r="A247" s="103"/>
      <c r="B247" s="3" t="s">
        <v>258</v>
      </c>
      <c r="C247" s="33" t="s">
        <v>270</v>
      </c>
      <c r="D247" s="18"/>
      <c r="E247" s="19" t="s">
        <v>584</v>
      </c>
      <c r="H247" s="9">
        <f t="shared" si="21"/>
        <v>0</v>
      </c>
      <c r="I247" s="9">
        <f t="shared" si="21"/>
        <v>0</v>
      </c>
    </row>
    <row r="248" spans="1:9" ht="15.75">
      <c r="A248" s="103"/>
      <c r="B248" s="3" t="s">
        <v>259</v>
      </c>
      <c r="C248" s="33" t="s">
        <v>285</v>
      </c>
      <c r="D248" s="18"/>
      <c r="E248" s="19" t="s">
        <v>585</v>
      </c>
      <c r="F248" s="84">
        <v>657.11718636234502</v>
      </c>
      <c r="G248" s="84">
        <v>2525.1511059999998</v>
      </c>
      <c r="H248" s="9">
        <f t="shared" si="21"/>
        <v>0.1100627676029277</v>
      </c>
      <c r="I248" s="9">
        <f t="shared" si="21"/>
        <v>9.8023776010855657E-2</v>
      </c>
    </row>
    <row r="249" spans="1:9">
      <c r="A249" s="103"/>
      <c r="B249" s="3" t="s">
        <v>260</v>
      </c>
      <c r="C249" s="33" t="s">
        <v>264</v>
      </c>
      <c r="D249" s="18"/>
      <c r="E249" s="19" t="s">
        <v>586</v>
      </c>
      <c r="H249" s="9">
        <f t="shared" si="21"/>
        <v>0</v>
      </c>
      <c r="I249" s="9">
        <f t="shared" si="21"/>
        <v>0</v>
      </c>
    </row>
    <row r="250" spans="1:9">
      <c r="A250" s="103"/>
      <c r="B250" s="3" t="s">
        <v>261</v>
      </c>
      <c r="C250" s="33" t="s">
        <v>269</v>
      </c>
      <c r="D250" s="18"/>
      <c r="E250" s="19" t="s">
        <v>587</v>
      </c>
      <c r="H250" s="9">
        <f t="shared" si="21"/>
        <v>0</v>
      </c>
      <c r="I250" s="9">
        <f t="shared" si="21"/>
        <v>0</v>
      </c>
    </row>
    <row r="251" spans="1:9" ht="29.25">
      <c r="A251" s="103"/>
      <c r="B251" s="3" t="s">
        <v>262</v>
      </c>
      <c r="C251" s="33" t="s">
        <v>277</v>
      </c>
      <c r="D251" s="18"/>
      <c r="E251" s="19" t="s">
        <v>588</v>
      </c>
      <c r="F251" s="84">
        <v>492.739054861574</v>
      </c>
      <c r="G251" s="84">
        <v>2163.9811759999998</v>
      </c>
      <c r="H251" s="9">
        <f t="shared" si="21"/>
        <v>8.2530521510680951E-2</v>
      </c>
      <c r="I251" s="9">
        <f t="shared" si="21"/>
        <v>8.4003529762599491E-2</v>
      </c>
    </row>
    <row r="252" spans="1:9">
      <c r="A252" s="103"/>
      <c r="B252" s="3" t="s">
        <v>263</v>
      </c>
      <c r="C252" s="33" t="s">
        <v>295</v>
      </c>
      <c r="D252" s="18"/>
      <c r="E252" s="19" t="s">
        <v>589</v>
      </c>
      <c r="H252" s="9">
        <f t="shared" si="21"/>
        <v>0</v>
      </c>
      <c r="I252" s="9">
        <f t="shared" si="21"/>
        <v>0</v>
      </c>
    </row>
    <row r="253" spans="1:9">
      <c r="A253" s="103"/>
      <c r="B253" s="3" t="s">
        <v>264</v>
      </c>
      <c r="C253" s="33" t="s">
        <v>266</v>
      </c>
      <c r="D253" s="18"/>
      <c r="E253" s="19" t="s">
        <v>590</v>
      </c>
      <c r="H253" s="9">
        <f t="shared" si="21"/>
        <v>0</v>
      </c>
      <c r="I253" s="9">
        <f t="shared" si="21"/>
        <v>0</v>
      </c>
    </row>
    <row r="254" spans="1:9">
      <c r="A254" s="103"/>
      <c r="B254" s="3" t="s">
        <v>265</v>
      </c>
      <c r="C254" s="33" t="s">
        <v>263</v>
      </c>
      <c r="D254" s="18"/>
      <c r="E254" s="19" t="s">
        <v>591</v>
      </c>
      <c r="H254" s="9">
        <f t="shared" si="21"/>
        <v>0</v>
      </c>
      <c r="I254" s="9">
        <f t="shared" si="21"/>
        <v>0</v>
      </c>
    </row>
    <row r="255" spans="1:9" ht="15.75">
      <c r="A255" s="103"/>
      <c r="B255" s="3" t="s">
        <v>266</v>
      </c>
      <c r="C255" s="33" t="s">
        <v>279</v>
      </c>
      <c r="D255" s="18"/>
      <c r="E255" s="19" t="s">
        <v>592</v>
      </c>
      <c r="F255" s="84">
        <v>616.33925827468795</v>
      </c>
      <c r="G255" s="84">
        <v>4167.3214010000002</v>
      </c>
      <c r="H255" s="9">
        <f t="shared" si="21"/>
        <v>0.1032327352805561</v>
      </c>
      <c r="I255" s="9">
        <f t="shared" si="21"/>
        <v>0.16177114256895059</v>
      </c>
    </row>
    <row r="256" spans="1:9" ht="29.25">
      <c r="A256" s="103"/>
      <c r="B256" s="3" t="s">
        <v>267</v>
      </c>
      <c r="C256" s="33" t="s">
        <v>272</v>
      </c>
      <c r="D256" s="18"/>
      <c r="E256" s="19" t="s">
        <v>593</v>
      </c>
      <c r="F256" s="84">
        <v>729.53593613360101</v>
      </c>
      <c r="G256" s="84">
        <v>2803.4398040000001</v>
      </c>
      <c r="H256" s="9">
        <f t="shared" si="21"/>
        <v>0.12219242756554691</v>
      </c>
      <c r="I256" s="9">
        <f t="shared" si="21"/>
        <v>0.10882665784010041</v>
      </c>
    </row>
    <row r="257" spans="1:12">
      <c r="A257" s="103"/>
      <c r="B257" s="3" t="s">
        <v>268</v>
      </c>
      <c r="C257" s="33" t="s">
        <v>271</v>
      </c>
      <c r="D257" s="18"/>
      <c r="E257" s="19" t="s">
        <v>594</v>
      </c>
      <c r="H257" s="9">
        <f t="shared" si="21"/>
        <v>0</v>
      </c>
      <c r="I257" s="9">
        <f t="shared" si="21"/>
        <v>0</v>
      </c>
    </row>
    <row r="258" spans="1:12" ht="29.25">
      <c r="A258" s="103"/>
      <c r="B258" s="3" t="s">
        <v>269</v>
      </c>
      <c r="C258" s="33" t="s">
        <v>275</v>
      </c>
      <c r="D258" s="18"/>
      <c r="E258" s="19" t="s">
        <v>595</v>
      </c>
      <c r="F258" s="84">
        <v>1024.3264508567299</v>
      </c>
      <c r="G258" s="84">
        <v>4498.5741159999998</v>
      </c>
      <c r="H258" s="9">
        <f t="shared" si="21"/>
        <v>0.1715678823350836</v>
      </c>
      <c r="I258" s="9">
        <f t="shared" si="21"/>
        <v>0.17463003321553186</v>
      </c>
    </row>
    <row r="259" spans="1:12" ht="15.75">
      <c r="A259" s="103"/>
      <c r="B259" s="3" t="s">
        <v>270</v>
      </c>
      <c r="C259" s="33" t="s">
        <v>267</v>
      </c>
      <c r="D259" s="18"/>
      <c r="E259" s="19" t="s">
        <v>596</v>
      </c>
      <c r="F259" s="84">
        <v>678.10029585222799</v>
      </c>
      <c r="G259" s="84">
        <v>2605.7843979999998</v>
      </c>
      <c r="H259" s="9">
        <f t="shared" si="21"/>
        <v>0.11357729918314162</v>
      </c>
      <c r="I259" s="9">
        <f t="shared" si="21"/>
        <v>0.10115387770466927</v>
      </c>
    </row>
    <row r="260" spans="1:12">
      <c r="A260" s="103"/>
      <c r="B260" s="3" t="s">
        <v>271</v>
      </c>
      <c r="C260" s="33" t="s">
        <v>274</v>
      </c>
      <c r="D260" s="18"/>
      <c r="E260" s="19" t="s">
        <v>597</v>
      </c>
      <c r="H260" s="9">
        <f t="shared" si="21"/>
        <v>0</v>
      </c>
      <c r="I260" s="9">
        <f t="shared" si="21"/>
        <v>0</v>
      </c>
    </row>
    <row r="261" spans="1:12">
      <c r="A261" s="103"/>
      <c r="B261" s="3" t="s">
        <v>272</v>
      </c>
      <c r="C261" s="33" t="s">
        <v>282</v>
      </c>
      <c r="D261" s="18"/>
      <c r="E261" s="19" t="s">
        <v>598</v>
      </c>
      <c r="H261" s="9">
        <f t="shared" si="21"/>
        <v>0</v>
      </c>
      <c r="I261" s="9">
        <f t="shared" si="21"/>
        <v>0</v>
      </c>
    </row>
    <row r="262" spans="1:12">
      <c r="A262" s="103"/>
      <c r="B262" s="3" t="s">
        <v>273</v>
      </c>
      <c r="C262" s="33" t="s">
        <v>287</v>
      </c>
      <c r="D262" s="18"/>
      <c r="E262" s="19" t="s">
        <v>599</v>
      </c>
      <c r="H262" s="9">
        <f t="shared" si="21"/>
        <v>0</v>
      </c>
      <c r="I262" s="9">
        <f t="shared" si="21"/>
        <v>0</v>
      </c>
    </row>
    <row r="263" spans="1:12">
      <c r="A263" s="103"/>
      <c r="B263" s="3" t="s">
        <v>274</v>
      </c>
      <c r="C263" s="33" t="s">
        <v>265</v>
      </c>
      <c r="D263" s="18"/>
      <c r="E263" s="19" t="s">
        <v>600</v>
      </c>
      <c r="H263" s="9">
        <f t="shared" si="21"/>
        <v>0</v>
      </c>
      <c r="I263" s="9">
        <f t="shared" si="21"/>
        <v>0</v>
      </c>
    </row>
    <row r="264" spans="1:12">
      <c r="A264" s="103"/>
      <c r="B264" s="3" t="s">
        <v>275</v>
      </c>
      <c r="C264" s="33" t="s">
        <v>293</v>
      </c>
      <c r="D264" s="18"/>
      <c r="E264" s="19" t="s">
        <v>601</v>
      </c>
      <c r="H264" s="9">
        <f t="shared" si="21"/>
        <v>0</v>
      </c>
      <c r="I264" s="9">
        <f t="shared" si="21"/>
        <v>0</v>
      </c>
    </row>
    <row r="265" spans="1:12">
      <c r="A265" s="103"/>
      <c r="B265" s="3" t="s">
        <v>276</v>
      </c>
      <c r="C265" s="33" t="s">
        <v>292</v>
      </c>
      <c r="D265" s="18"/>
      <c r="E265" s="19" t="s">
        <v>602</v>
      </c>
      <c r="H265" s="9">
        <f t="shared" si="21"/>
        <v>0</v>
      </c>
      <c r="I265" s="9">
        <f t="shared" si="21"/>
        <v>0</v>
      </c>
    </row>
    <row r="266" spans="1:12" ht="29.25">
      <c r="A266" s="103"/>
      <c r="B266" s="3" t="s">
        <v>277</v>
      </c>
      <c r="C266" s="33" t="s">
        <v>291</v>
      </c>
      <c r="D266" s="18"/>
      <c r="E266" s="19" t="s">
        <v>603</v>
      </c>
      <c r="H266" s="9">
        <f t="shared" si="21"/>
        <v>0</v>
      </c>
      <c r="I266" s="9">
        <f t="shared" si="21"/>
        <v>0</v>
      </c>
    </row>
    <row r="267" spans="1:12">
      <c r="A267" s="103"/>
      <c r="B267" s="3" t="s">
        <v>278</v>
      </c>
      <c r="C267" s="33" t="s">
        <v>290</v>
      </c>
      <c r="D267" s="18"/>
      <c r="E267" s="19" t="s">
        <v>604</v>
      </c>
      <c r="H267" s="9">
        <f t="shared" si="21"/>
        <v>0</v>
      </c>
      <c r="I267" s="9">
        <f t="shared" si="21"/>
        <v>0</v>
      </c>
    </row>
    <row r="268" spans="1:12" ht="29.25">
      <c r="A268" s="103"/>
      <c r="B268" s="3" t="s">
        <v>279</v>
      </c>
      <c r="C268" s="33" t="s">
        <v>289</v>
      </c>
      <c r="D268" s="18"/>
      <c r="E268" s="19" t="s">
        <v>605</v>
      </c>
      <c r="H268" s="9">
        <f t="shared" si="21"/>
        <v>0</v>
      </c>
      <c r="I268" s="9">
        <f t="shared" si="21"/>
        <v>0</v>
      </c>
    </row>
    <row r="269" spans="1:12" ht="29.25">
      <c r="A269" s="103"/>
      <c r="B269" s="3" t="s">
        <v>280</v>
      </c>
      <c r="C269" s="33" t="s">
        <v>286</v>
      </c>
      <c r="D269" s="18"/>
      <c r="E269" s="19" t="s">
        <v>606</v>
      </c>
      <c r="H269" s="9">
        <f t="shared" si="21"/>
        <v>0</v>
      </c>
      <c r="I269" s="9">
        <f t="shared" si="21"/>
        <v>0</v>
      </c>
    </row>
    <row r="270" spans="1:12" ht="15.75">
      <c r="A270" s="103"/>
      <c r="B270" s="3" t="s">
        <v>281</v>
      </c>
      <c r="C270" s="33" t="s">
        <v>283</v>
      </c>
      <c r="D270" s="18"/>
      <c r="E270" s="19" t="s">
        <v>607</v>
      </c>
      <c r="H270" s="9">
        <f t="shared" si="21"/>
        <v>0</v>
      </c>
      <c r="I270" s="9">
        <f t="shared" si="21"/>
        <v>0</v>
      </c>
      <c r="K270" s="84"/>
      <c r="L270" s="84"/>
    </row>
    <row r="271" spans="1:12" ht="15.75">
      <c r="A271" s="103"/>
      <c r="B271" s="3" t="s">
        <v>282</v>
      </c>
      <c r="C271" s="33" t="s">
        <v>276</v>
      </c>
      <c r="D271" s="18"/>
      <c r="E271" s="19" t="s">
        <v>608</v>
      </c>
      <c r="H271" s="9">
        <f t="shared" si="21"/>
        <v>0</v>
      </c>
      <c r="I271" s="9">
        <f t="shared" si="21"/>
        <v>0</v>
      </c>
      <c r="K271" s="84"/>
      <c r="L271" s="84"/>
    </row>
    <row r="272" spans="1:12">
      <c r="A272" s="103"/>
      <c r="B272" s="3" t="s">
        <v>283</v>
      </c>
      <c r="C272" s="33" t="s">
        <v>273</v>
      </c>
      <c r="D272" s="18"/>
      <c r="E272" s="19" t="s">
        <v>609</v>
      </c>
      <c r="H272" s="9">
        <f t="shared" si="21"/>
        <v>0</v>
      </c>
      <c r="I272" s="9">
        <f t="shared" si="21"/>
        <v>0</v>
      </c>
    </row>
    <row r="273" spans="1:9" ht="29.25">
      <c r="A273" s="103"/>
      <c r="B273" s="3" t="s">
        <v>284</v>
      </c>
      <c r="C273" s="33" t="s">
        <v>288</v>
      </c>
      <c r="D273" s="18"/>
      <c r="E273" s="19" t="s">
        <v>610</v>
      </c>
      <c r="H273" s="9">
        <f t="shared" si="21"/>
        <v>0</v>
      </c>
      <c r="I273" s="9">
        <f t="shared" si="21"/>
        <v>0</v>
      </c>
    </row>
    <row r="274" spans="1:9">
      <c r="A274" s="103"/>
      <c r="B274" s="3" t="s">
        <v>285</v>
      </c>
      <c r="C274" s="33" t="s">
        <v>284</v>
      </c>
      <c r="D274" s="18"/>
      <c r="E274" s="19" t="s">
        <v>611</v>
      </c>
      <c r="H274" s="9">
        <f t="shared" si="21"/>
        <v>0</v>
      </c>
      <c r="I274" s="9">
        <f t="shared" si="21"/>
        <v>0</v>
      </c>
    </row>
    <row r="275" spans="1:9">
      <c r="A275" s="103"/>
      <c r="B275" s="3" t="s">
        <v>286</v>
      </c>
      <c r="C275" s="33" t="s">
        <v>281</v>
      </c>
      <c r="D275" s="18"/>
      <c r="E275" s="19" t="s">
        <v>612</v>
      </c>
      <c r="H275" s="9">
        <f t="shared" si="21"/>
        <v>0</v>
      </c>
      <c r="I275" s="9">
        <f t="shared" si="21"/>
        <v>0</v>
      </c>
    </row>
    <row r="276" spans="1:9">
      <c r="A276" s="103"/>
      <c r="B276" s="3" t="s">
        <v>287</v>
      </c>
      <c r="C276" s="33" t="s">
        <v>278</v>
      </c>
      <c r="D276" s="18"/>
      <c r="E276" s="19" t="s">
        <v>613</v>
      </c>
      <c r="H276" s="9">
        <f t="shared" si="21"/>
        <v>0</v>
      </c>
      <c r="I276" s="9">
        <f t="shared" si="21"/>
        <v>0</v>
      </c>
    </row>
    <row r="277" spans="1:9">
      <c r="A277" s="103"/>
      <c r="B277" s="3" t="s">
        <v>288</v>
      </c>
      <c r="C277" s="33" t="s">
        <v>255</v>
      </c>
      <c r="D277" s="18"/>
      <c r="E277" s="19" t="s">
        <v>614</v>
      </c>
      <c r="H277" s="9">
        <f t="shared" si="21"/>
        <v>0</v>
      </c>
      <c r="I277" s="9">
        <f t="shared" si="21"/>
        <v>0</v>
      </c>
    </row>
    <row r="278" spans="1:9">
      <c r="A278" s="103"/>
      <c r="B278" s="3" t="s">
        <v>289</v>
      </c>
      <c r="C278" s="33" t="s">
        <v>256</v>
      </c>
      <c r="D278" s="18"/>
      <c r="E278" s="19" t="s">
        <v>615</v>
      </c>
      <c r="F278" s="43">
        <v>951.52074199797596</v>
      </c>
      <c r="G278" s="43">
        <v>3656.4766580000005</v>
      </c>
      <c r="H278" s="9">
        <f t="shared" si="21"/>
        <v>0.15937340929345348</v>
      </c>
      <c r="I278" s="9">
        <f t="shared" si="21"/>
        <v>0.14194067359417425</v>
      </c>
    </row>
    <row r="279" spans="1:9">
      <c r="A279" s="103"/>
      <c r="B279" s="3" t="s">
        <v>290</v>
      </c>
      <c r="C279" s="33" t="s">
        <v>261</v>
      </c>
      <c r="D279" s="18"/>
      <c r="E279" s="19" t="s">
        <v>616</v>
      </c>
      <c r="H279" s="9">
        <f t="shared" si="21"/>
        <v>0</v>
      </c>
      <c r="I279" s="9">
        <f t="shared" si="21"/>
        <v>0</v>
      </c>
    </row>
    <row r="280" spans="1:9">
      <c r="A280" s="103"/>
      <c r="B280" s="3" t="s">
        <v>291</v>
      </c>
      <c r="C280" s="33" t="s">
        <v>259</v>
      </c>
      <c r="D280" s="18"/>
      <c r="E280" s="19" t="s">
        <v>617</v>
      </c>
      <c r="H280" s="9">
        <f t="shared" si="21"/>
        <v>0</v>
      </c>
      <c r="I280" s="9">
        <f t="shared" si="21"/>
        <v>0</v>
      </c>
    </row>
    <row r="281" spans="1:9" ht="15.75">
      <c r="A281" s="103"/>
      <c r="B281" s="3" t="s">
        <v>292</v>
      </c>
      <c r="C281" s="33" t="s">
        <v>260</v>
      </c>
      <c r="D281" s="35"/>
      <c r="E281" s="19" t="s">
        <v>618</v>
      </c>
      <c r="F281" s="84">
        <v>481.74211809109602</v>
      </c>
      <c r="G281" s="84">
        <v>1851.2248159999999</v>
      </c>
      <c r="H281" s="9">
        <f t="shared" si="21"/>
        <v>8.0688607585383307E-2</v>
      </c>
      <c r="I281" s="9">
        <f t="shared" si="21"/>
        <v>7.186264864631095E-2</v>
      </c>
    </row>
    <row r="282" spans="1:9">
      <c r="A282" s="103"/>
      <c r="B282" s="3" t="s">
        <v>293</v>
      </c>
      <c r="C282" s="33" t="s">
        <v>258</v>
      </c>
      <c r="D282" s="18"/>
      <c r="E282" s="19" t="s">
        <v>619</v>
      </c>
      <c r="H282" s="9">
        <f t="shared" si="21"/>
        <v>0</v>
      </c>
      <c r="I282" s="9">
        <f t="shared" si="21"/>
        <v>0</v>
      </c>
    </row>
    <row r="283" spans="1:9">
      <c r="A283" s="103"/>
      <c r="B283" s="3" t="s">
        <v>294</v>
      </c>
      <c r="C283" s="33" t="s">
        <v>257</v>
      </c>
      <c r="D283" s="18"/>
      <c r="E283" s="19" t="s">
        <v>620</v>
      </c>
      <c r="H283" s="9">
        <f t="shared" si="21"/>
        <v>0</v>
      </c>
      <c r="I283" s="9">
        <f t="shared" si="21"/>
        <v>0</v>
      </c>
    </row>
    <row r="284" spans="1:9" ht="15.75">
      <c r="A284" s="103"/>
      <c r="B284" s="3" t="s">
        <v>295</v>
      </c>
      <c r="C284" s="33" t="s">
        <v>262</v>
      </c>
      <c r="D284" s="18"/>
      <c r="E284" s="19" t="s">
        <v>621</v>
      </c>
      <c r="F284" s="84">
        <v>338.96477171737598</v>
      </c>
      <c r="G284" s="84">
        <v>1488.644706</v>
      </c>
      <c r="H284" s="9">
        <f t="shared" si="21"/>
        <v>5.6774349643226481E-2</v>
      </c>
      <c r="I284" s="9">
        <f t="shared" si="21"/>
        <v>5.7787660656807481E-2</v>
      </c>
    </row>
    <row r="285" spans="1:9">
      <c r="A285" s="103" t="s">
        <v>27</v>
      </c>
      <c r="B285" s="3" t="s">
        <v>296</v>
      </c>
      <c r="C285" s="24" t="s">
        <v>298</v>
      </c>
      <c r="E285" s="22" t="s">
        <v>630</v>
      </c>
    </row>
    <row r="286" spans="1:9">
      <c r="A286" s="103"/>
      <c r="B286" s="3" t="s">
        <v>297</v>
      </c>
      <c r="C286" s="22" t="s">
        <v>297</v>
      </c>
      <c r="E286" s="22" t="s">
        <v>631</v>
      </c>
    </row>
    <row r="287" spans="1:9">
      <c r="A287" s="103"/>
      <c r="B287" s="3" t="s">
        <v>298</v>
      </c>
      <c r="C287" s="22" t="s">
        <v>299</v>
      </c>
      <c r="E287" s="22" t="s">
        <v>632</v>
      </c>
    </row>
    <row r="288" spans="1:9">
      <c r="A288" s="103"/>
      <c r="B288" s="3" t="s">
        <v>299</v>
      </c>
      <c r="C288" s="33" t="s">
        <v>626</v>
      </c>
      <c r="E288" s="22" t="s">
        <v>633</v>
      </c>
    </row>
    <row r="289" spans="1:5">
      <c r="A289" s="103"/>
      <c r="B289" s="3" t="s">
        <v>300</v>
      </c>
      <c r="C289" s="24" t="s">
        <v>627</v>
      </c>
      <c r="E289" s="22" t="s">
        <v>634</v>
      </c>
    </row>
    <row r="290" spans="1:5">
      <c r="A290" s="103"/>
      <c r="B290" s="3" t="s">
        <v>301</v>
      </c>
      <c r="C290" s="24" t="s">
        <v>628</v>
      </c>
      <c r="E290" s="22" t="s">
        <v>635</v>
      </c>
    </row>
    <row r="291" spans="1:5">
      <c r="A291" s="103"/>
      <c r="B291" s="3" t="s">
        <v>302</v>
      </c>
      <c r="C291" s="24" t="s">
        <v>629</v>
      </c>
      <c r="E291" s="22" t="s">
        <v>636</v>
      </c>
    </row>
    <row r="292" spans="1:5">
      <c r="A292" s="103" t="s">
        <v>637</v>
      </c>
      <c r="B292" s="3" t="s">
        <v>303</v>
      </c>
      <c r="C292" s="24" t="s">
        <v>305</v>
      </c>
      <c r="D292" s="23"/>
      <c r="E292" s="24" t="s">
        <v>638</v>
      </c>
    </row>
    <row r="293" spans="1:5">
      <c r="A293" s="103"/>
      <c r="B293" s="3" t="s">
        <v>304</v>
      </c>
      <c r="C293" s="24" t="s">
        <v>307</v>
      </c>
      <c r="D293" s="23"/>
      <c r="E293" s="24" t="s">
        <v>639</v>
      </c>
    </row>
    <row r="294" spans="1:5">
      <c r="A294" s="103"/>
      <c r="B294" s="3" t="s">
        <v>305</v>
      </c>
      <c r="C294" s="24" t="s">
        <v>309</v>
      </c>
      <c r="D294" s="23"/>
      <c r="E294" s="24" t="s">
        <v>640</v>
      </c>
    </row>
    <row r="295" spans="1:5">
      <c r="A295" s="103"/>
      <c r="B295" s="3" t="s">
        <v>306</v>
      </c>
      <c r="C295" s="24" t="s">
        <v>303</v>
      </c>
      <c r="D295" s="23"/>
      <c r="E295" s="24" t="s">
        <v>641</v>
      </c>
    </row>
    <row r="296" spans="1:5">
      <c r="A296" s="103"/>
      <c r="B296" s="3" t="s">
        <v>307</v>
      </c>
      <c r="C296" s="24" t="s">
        <v>308</v>
      </c>
      <c r="D296" s="23"/>
      <c r="E296" s="24" t="s">
        <v>642</v>
      </c>
    </row>
    <row r="297" spans="1:5">
      <c r="A297" s="103"/>
      <c r="B297" s="3" t="s">
        <v>308</v>
      </c>
      <c r="C297" s="24" t="s">
        <v>304</v>
      </c>
      <c r="D297" s="23"/>
      <c r="E297" s="24" t="s">
        <v>643</v>
      </c>
    </row>
    <row r="298" spans="1:5">
      <c r="A298" s="103"/>
      <c r="B298" s="3" t="s">
        <v>309</v>
      </c>
      <c r="C298" s="24" t="s">
        <v>306</v>
      </c>
      <c r="D298" s="23"/>
      <c r="E298" s="24" t="s">
        <v>644</v>
      </c>
    </row>
    <row r="299" spans="1:5">
      <c r="A299" s="29" t="s">
        <v>28</v>
      </c>
      <c r="B299" s="3" t="s">
        <v>310</v>
      </c>
      <c r="C299" s="37" t="s">
        <v>310</v>
      </c>
      <c r="D299" s="38"/>
      <c r="E299" s="37" t="s">
        <v>645</v>
      </c>
    </row>
    <row r="300" spans="1:5">
      <c r="A300" s="50" t="s">
        <v>29</v>
      </c>
      <c r="B300" s="3" t="s">
        <v>311</v>
      </c>
      <c r="C300" s="22" t="s">
        <v>311</v>
      </c>
      <c r="D300" s="19"/>
      <c r="E300" s="19" t="s">
        <v>646</v>
      </c>
    </row>
    <row r="301" spans="1:5">
      <c r="A301" s="103" t="s">
        <v>30</v>
      </c>
      <c r="B301" s="3" t="s">
        <v>35</v>
      </c>
      <c r="C301" s="22" t="s">
        <v>33</v>
      </c>
      <c r="D301" s="19"/>
      <c r="E301" s="22" t="s">
        <v>647</v>
      </c>
    </row>
    <row r="302" spans="1:5">
      <c r="A302" s="103"/>
      <c r="B302" s="3" t="s">
        <v>34</v>
      </c>
      <c r="C302" s="22" t="s">
        <v>34</v>
      </c>
      <c r="D302" s="19"/>
      <c r="E302" s="22" t="s">
        <v>648</v>
      </c>
    </row>
    <row r="303" spans="1:5">
      <c r="A303" s="103"/>
      <c r="B303" s="3" t="s">
        <v>33</v>
      </c>
      <c r="C303" s="22" t="s">
        <v>35</v>
      </c>
      <c r="D303" s="19"/>
      <c r="E303" s="22" t="s">
        <v>649</v>
      </c>
    </row>
    <row r="304" spans="1:5">
      <c r="A304" s="103" t="s">
        <v>31</v>
      </c>
      <c r="B304" s="3" t="s">
        <v>312</v>
      </c>
      <c r="C304" s="22" t="s">
        <v>315</v>
      </c>
      <c r="D304" s="19"/>
      <c r="E304" s="22" t="s">
        <v>650</v>
      </c>
    </row>
    <row r="305" spans="1:5">
      <c r="A305" s="103"/>
      <c r="B305" s="3" t="s">
        <v>313</v>
      </c>
      <c r="C305" s="22" t="s">
        <v>314</v>
      </c>
      <c r="D305" s="19"/>
      <c r="E305" s="22" t="s">
        <v>651</v>
      </c>
    </row>
    <row r="306" spans="1:5" ht="29.25">
      <c r="A306" s="103"/>
      <c r="B306" s="3" t="s">
        <v>314</v>
      </c>
      <c r="C306" s="22" t="s">
        <v>313</v>
      </c>
      <c r="D306" s="19"/>
      <c r="E306" s="19" t="s">
        <v>652</v>
      </c>
    </row>
    <row r="307" spans="1:5">
      <c r="A307" s="103"/>
      <c r="B307" s="3" t="s">
        <v>315</v>
      </c>
      <c r="C307" s="22" t="s">
        <v>312</v>
      </c>
      <c r="D307" s="19"/>
      <c r="E307" s="19" t="s">
        <v>653</v>
      </c>
    </row>
    <row r="308" spans="1:5">
      <c r="A308" s="29" t="s">
        <v>32</v>
      </c>
      <c r="B308" s="3" t="s">
        <v>316</v>
      </c>
      <c r="C308" s="39" t="s">
        <v>656</v>
      </c>
    </row>
    <row r="309" spans="1:5">
      <c r="A309" s="29" t="s">
        <v>655</v>
      </c>
      <c r="B309" s="3" t="s">
        <v>658</v>
      </c>
      <c r="C309" s="39" t="s">
        <v>658</v>
      </c>
      <c r="E309" s="3" t="s">
        <v>655</v>
      </c>
    </row>
    <row r="310" spans="1:5">
      <c r="A310" s="29" t="s">
        <v>654</v>
      </c>
      <c r="C310" s="39" t="s">
        <v>657</v>
      </c>
      <c r="E310" s="3" t="s">
        <v>654</v>
      </c>
    </row>
  </sheetData>
  <mergeCells count="27">
    <mergeCell ref="A292:A298"/>
    <mergeCell ref="A301:A303"/>
    <mergeCell ref="A304:A307"/>
    <mergeCell ref="A225:A226"/>
    <mergeCell ref="A227:A230"/>
    <mergeCell ref="A231:A235"/>
    <mergeCell ref="A236:A243"/>
    <mergeCell ref="A244:A284"/>
    <mergeCell ref="A285:A291"/>
    <mergeCell ref="A217:A224"/>
    <mergeCell ref="A74:A86"/>
    <mergeCell ref="A87:A105"/>
    <mergeCell ref="A106:A132"/>
    <mergeCell ref="A133:A136"/>
    <mergeCell ref="A137:A157"/>
    <mergeCell ref="A160:A161"/>
    <mergeCell ref="A163:A170"/>
    <mergeCell ref="A172:A183"/>
    <mergeCell ref="A184:A192"/>
    <mergeCell ref="A193:A209"/>
    <mergeCell ref="A210:A216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0"/>
  <sheetViews>
    <sheetView topLeftCell="A208" zoomScaleNormal="100" workbookViewId="0">
      <selection activeCell="K216" sqref="K216"/>
    </sheetView>
  </sheetViews>
  <sheetFormatPr baseColWidth="10" defaultColWidth="10.875" defaultRowHeight="15"/>
  <cols>
    <col min="1" max="1" width="19" style="3" bestFit="1" customWidth="1"/>
    <col min="2" max="2" width="13.5" style="3" hidden="1" customWidth="1"/>
    <col min="3" max="3" width="6.125" style="3" bestFit="1" customWidth="1"/>
    <col min="4" max="4" width="4.125" style="3" hidden="1" customWidth="1"/>
    <col min="5" max="5" width="29.875" style="3" hidden="1" customWidth="1"/>
    <col min="6" max="6" width="13.875" style="3" bestFit="1" customWidth="1"/>
    <col min="7" max="7" width="14.625" style="3" bestFit="1" customWidth="1"/>
    <col min="8" max="8" width="15.5" style="9" bestFit="1" customWidth="1"/>
    <col min="9" max="9" width="16.5" style="9" bestFit="1" customWidth="1"/>
    <col min="10" max="10" width="20.625" style="3" bestFit="1" customWidth="1"/>
    <col min="11" max="16384" width="10.875" style="3"/>
  </cols>
  <sheetData>
    <row r="1" spans="1:15">
      <c r="A1" s="25" t="s">
        <v>0</v>
      </c>
      <c r="B1" s="25" t="s">
        <v>659</v>
      </c>
      <c r="C1" s="25" t="s">
        <v>1</v>
      </c>
      <c r="D1" s="25" t="s">
        <v>2</v>
      </c>
      <c r="E1" s="25" t="s">
        <v>660</v>
      </c>
      <c r="F1" s="25" t="s">
        <v>908</v>
      </c>
      <c r="G1" s="25" t="s">
        <v>912</v>
      </c>
      <c r="H1" s="26" t="s">
        <v>913</v>
      </c>
      <c r="I1" s="85" t="s">
        <v>914</v>
      </c>
      <c r="J1" s="1"/>
      <c r="L1" s="4"/>
      <c r="M1" s="4"/>
      <c r="N1" s="4"/>
      <c r="O1" s="4"/>
    </row>
    <row r="2" spans="1:15" ht="29.25">
      <c r="A2" s="103" t="s">
        <v>3</v>
      </c>
      <c r="B2" s="3" t="s">
        <v>37</v>
      </c>
      <c r="C2" s="33" t="s">
        <v>36</v>
      </c>
      <c r="D2" s="18"/>
      <c r="E2" s="19" t="s">
        <v>622</v>
      </c>
      <c r="H2" s="9">
        <f t="shared" ref="H2:I11" si="0">F2/SUM(F$2:F$12)</f>
        <v>0</v>
      </c>
      <c r="I2" s="9">
        <f t="shared" si="0"/>
        <v>0</v>
      </c>
      <c r="J2" s="4"/>
      <c r="K2" s="16"/>
      <c r="L2" s="4"/>
    </row>
    <row r="3" spans="1:15" ht="15.75">
      <c r="A3" s="103"/>
      <c r="B3" s="3" t="s">
        <v>38</v>
      </c>
      <c r="C3" s="33" t="s">
        <v>46</v>
      </c>
      <c r="D3" s="18"/>
      <c r="E3" s="19" t="s">
        <v>317</v>
      </c>
      <c r="F3" s="84">
        <v>641.49412110000003</v>
      </c>
      <c r="G3" s="84">
        <v>1410.36</v>
      </c>
      <c r="H3" s="9">
        <f t="shared" si="0"/>
        <v>0.29075925905445388</v>
      </c>
      <c r="I3" s="9">
        <f t="shared" si="0"/>
        <v>0.2120453089809087</v>
      </c>
      <c r="J3" s="4"/>
      <c r="K3" s="16"/>
      <c r="L3" s="4"/>
    </row>
    <row r="4" spans="1:15" ht="15.75">
      <c r="A4" s="103"/>
      <c r="B4" s="3" t="s">
        <v>39</v>
      </c>
      <c r="C4" s="33" t="s">
        <v>40</v>
      </c>
      <c r="D4" s="18"/>
      <c r="E4" s="19" t="s">
        <v>318</v>
      </c>
      <c r="F4" s="84">
        <v>119.438147</v>
      </c>
      <c r="G4" s="84">
        <v>459.9</v>
      </c>
      <c r="H4" s="9">
        <f t="shared" si="0"/>
        <v>5.4135721563601621E-2</v>
      </c>
      <c r="I4" s="9">
        <f t="shared" si="0"/>
        <v>6.9145209450296327E-2</v>
      </c>
      <c r="J4" s="4"/>
      <c r="K4" s="16"/>
      <c r="L4" s="4"/>
    </row>
    <row r="5" spans="1:15">
      <c r="A5" s="103"/>
      <c r="B5" s="3" t="s">
        <v>40</v>
      </c>
      <c r="C5" s="33" t="s">
        <v>44</v>
      </c>
      <c r="D5" s="18"/>
      <c r="E5" s="19" t="s">
        <v>319</v>
      </c>
      <c r="H5" s="9">
        <f t="shared" si="0"/>
        <v>0</v>
      </c>
      <c r="I5" s="9">
        <f t="shared" si="0"/>
        <v>0</v>
      </c>
      <c r="J5" s="4"/>
      <c r="K5" s="16"/>
      <c r="L5" s="4"/>
    </row>
    <row r="6" spans="1:15">
      <c r="A6" s="103"/>
      <c r="B6" s="3" t="s">
        <v>41</v>
      </c>
      <c r="C6" s="33" t="s">
        <v>45</v>
      </c>
      <c r="D6" s="18"/>
      <c r="E6" s="19" t="s">
        <v>320</v>
      </c>
      <c r="H6" s="9">
        <f t="shared" si="0"/>
        <v>0</v>
      </c>
      <c r="I6" s="9">
        <f t="shared" si="0"/>
        <v>0</v>
      </c>
      <c r="J6" s="4"/>
      <c r="K6" s="16"/>
      <c r="L6" s="4"/>
    </row>
    <row r="7" spans="1:15">
      <c r="A7" s="103"/>
      <c r="B7" s="3" t="s">
        <v>42</v>
      </c>
      <c r="C7" s="33" t="s">
        <v>37</v>
      </c>
      <c r="D7" s="18"/>
      <c r="E7" s="19" t="s">
        <v>321</v>
      </c>
      <c r="H7" s="9">
        <f t="shared" si="0"/>
        <v>0</v>
      </c>
      <c r="I7" s="9">
        <f t="shared" si="0"/>
        <v>0</v>
      </c>
      <c r="J7" s="4"/>
      <c r="K7" s="16"/>
      <c r="L7" s="4"/>
    </row>
    <row r="8" spans="1:15">
      <c r="A8" s="103"/>
      <c r="B8" s="3" t="s">
        <v>43</v>
      </c>
      <c r="C8" s="33" t="s">
        <v>43</v>
      </c>
      <c r="D8" s="18"/>
      <c r="E8" s="19" t="s">
        <v>322</v>
      </c>
      <c r="H8" s="9">
        <f t="shared" si="0"/>
        <v>0</v>
      </c>
      <c r="I8" s="9">
        <f t="shared" si="0"/>
        <v>0</v>
      </c>
      <c r="J8" s="4"/>
      <c r="K8" s="16"/>
      <c r="L8" s="4"/>
    </row>
    <row r="9" spans="1:15">
      <c r="A9" s="103"/>
      <c r="B9" s="3" t="s">
        <v>44</v>
      </c>
      <c r="C9" s="33" t="s">
        <v>42</v>
      </c>
      <c r="D9" s="18"/>
      <c r="E9" s="19" t="s">
        <v>323</v>
      </c>
      <c r="F9" s="3">
        <v>437.27791685</v>
      </c>
      <c r="G9" s="43">
        <v>2564.6800000000003</v>
      </c>
      <c r="H9" s="9">
        <f t="shared" si="0"/>
        <v>0.19819761229637414</v>
      </c>
      <c r="I9" s="9">
        <f t="shared" si="0"/>
        <v>0.38559542459879537</v>
      </c>
      <c r="J9" s="4"/>
      <c r="K9" s="16"/>
      <c r="L9" s="4"/>
    </row>
    <row r="10" spans="1:15">
      <c r="A10" s="103"/>
      <c r="B10" s="3" t="s">
        <v>45</v>
      </c>
      <c r="C10" s="33" t="s">
        <v>41</v>
      </c>
      <c r="D10" s="18"/>
      <c r="E10" s="19" t="s">
        <v>324</v>
      </c>
      <c r="G10" s="43"/>
      <c r="H10" s="9">
        <f t="shared" si="0"/>
        <v>0</v>
      </c>
      <c r="I10" s="9">
        <f t="shared" si="0"/>
        <v>0</v>
      </c>
      <c r="J10" s="4"/>
      <c r="K10" s="16"/>
      <c r="L10" s="4"/>
    </row>
    <row r="11" spans="1:15">
      <c r="A11" s="103"/>
      <c r="B11" s="3" t="s">
        <v>36</v>
      </c>
      <c r="C11" s="33" t="s">
        <v>39</v>
      </c>
      <c r="D11" s="18"/>
      <c r="E11" s="19" t="s">
        <v>325</v>
      </c>
      <c r="G11" s="43"/>
      <c r="H11" s="9">
        <f t="shared" si="0"/>
        <v>0</v>
      </c>
      <c r="I11" s="9">
        <f t="shared" si="0"/>
        <v>0</v>
      </c>
      <c r="J11" s="4"/>
      <c r="K11" s="16"/>
      <c r="L11" s="4"/>
    </row>
    <row r="12" spans="1:15" ht="15.75">
      <c r="A12" s="103"/>
      <c r="B12" s="3" t="s">
        <v>46</v>
      </c>
      <c r="C12" s="33" t="s">
        <v>38</v>
      </c>
      <c r="D12" s="18"/>
      <c r="E12" s="19" t="s">
        <v>326</v>
      </c>
      <c r="F12" s="84">
        <v>1008.0621903</v>
      </c>
      <c r="G12" s="83">
        <v>2216.2800000000002</v>
      </c>
      <c r="H12" s="9">
        <f>F12/SUM(F$2:F$12)</f>
        <v>0.45690740708557032</v>
      </c>
      <c r="I12" s="9">
        <f>G12/SUM(G$2:G$12)</f>
        <v>0.33321405696999945</v>
      </c>
      <c r="J12" s="4"/>
      <c r="K12" s="16"/>
      <c r="L12" s="4"/>
    </row>
    <row r="13" spans="1:15" ht="15.75">
      <c r="A13" s="103" t="s">
        <v>4</v>
      </c>
      <c r="B13" s="3" t="s">
        <v>47</v>
      </c>
      <c r="C13" s="33" t="s">
        <v>47</v>
      </c>
      <c r="D13" s="18"/>
      <c r="E13" s="19" t="s">
        <v>327</v>
      </c>
      <c r="F13" s="84">
        <v>149.62425289999999</v>
      </c>
      <c r="G13" s="83">
        <v>470.12</v>
      </c>
      <c r="H13" s="9">
        <f>F13/SUM(F$13:F$18)</f>
        <v>0.10313853792195588</v>
      </c>
      <c r="I13" s="9">
        <f>G13/SUM(G$13:G$18)</f>
        <v>0.12605206498336272</v>
      </c>
      <c r="J13" s="4"/>
      <c r="K13" s="16"/>
      <c r="L13" s="4"/>
    </row>
    <row r="14" spans="1:15">
      <c r="A14" s="103"/>
      <c r="B14" s="3" t="s">
        <v>48</v>
      </c>
      <c r="C14" s="33" t="s">
        <v>49</v>
      </c>
      <c r="D14" s="18"/>
      <c r="E14" s="19" t="s">
        <v>328</v>
      </c>
      <c r="G14" s="43"/>
      <c r="H14" s="9">
        <f t="shared" ref="H14:H18" si="1">F14/SUM(F$13:F$18)</f>
        <v>0</v>
      </c>
      <c r="I14" s="9">
        <f>G14/SUM(G$13:G$18)</f>
        <v>0</v>
      </c>
      <c r="J14" s="4"/>
      <c r="K14" s="16"/>
      <c r="L14" s="4"/>
    </row>
    <row r="15" spans="1:15" ht="15.75">
      <c r="A15" s="103"/>
      <c r="B15" s="3" t="s">
        <v>49</v>
      </c>
      <c r="C15" s="33" t="s">
        <v>50</v>
      </c>
      <c r="D15" s="18"/>
      <c r="E15" s="19" t="s">
        <v>329</v>
      </c>
      <c r="F15" s="84">
        <v>878.23599912500003</v>
      </c>
      <c r="G15" s="83">
        <v>1930.85</v>
      </c>
      <c r="H15" s="9">
        <f t="shared" si="1"/>
        <v>0.60538298534208179</v>
      </c>
      <c r="I15" s="9">
        <f>G15/SUM(G$13:G$18)</f>
        <v>0.51771383832452533</v>
      </c>
      <c r="J15" s="4"/>
      <c r="K15" s="16"/>
      <c r="L15" s="4"/>
    </row>
    <row r="16" spans="1:15">
      <c r="A16" s="103"/>
      <c r="B16" s="3" t="s">
        <v>50</v>
      </c>
      <c r="C16" s="33" t="s">
        <v>51</v>
      </c>
      <c r="D16" s="18"/>
      <c r="E16" s="19" t="s">
        <v>330</v>
      </c>
      <c r="G16" s="43"/>
      <c r="H16" s="9">
        <f t="shared" si="1"/>
        <v>0</v>
      </c>
      <c r="I16" s="9">
        <f>G16/SUM(G$13:G$18)</f>
        <v>0</v>
      </c>
      <c r="J16" s="4"/>
      <c r="K16" s="16"/>
      <c r="L16" s="4"/>
    </row>
    <row r="17" spans="1:12">
      <c r="A17" s="103"/>
      <c r="B17" s="3" t="s">
        <v>51</v>
      </c>
      <c r="C17" s="33" t="s">
        <v>52</v>
      </c>
      <c r="D17" s="18"/>
      <c r="E17" s="19" t="s">
        <v>331</v>
      </c>
      <c r="G17" s="43"/>
      <c r="H17" s="9">
        <f t="shared" si="1"/>
        <v>0</v>
      </c>
      <c r="I17" s="9">
        <f>G17/SUM(G$13:G$18)</f>
        <v>0</v>
      </c>
      <c r="J17" s="4"/>
      <c r="K17" s="16"/>
      <c r="L17" s="4"/>
    </row>
    <row r="18" spans="1:12" ht="15.75">
      <c r="A18" s="103"/>
      <c r="B18" s="3" t="s">
        <v>52</v>
      </c>
      <c r="C18" s="33" t="s">
        <v>48</v>
      </c>
      <c r="D18" s="18"/>
      <c r="E18" s="19" t="s">
        <v>332</v>
      </c>
      <c r="F18" s="84">
        <f>227.6890805+195.162069</f>
        <v>422.85114950000002</v>
      </c>
      <c r="G18" s="83">
        <f>715.4+613.2</f>
        <v>1328.6</v>
      </c>
      <c r="H18" s="9">
        <f t="shared" si="1"/>
        <v>0.29147847673596228</v>
      </c>
      <c r="I18" s="9">
        <f>G18/SUM(G$13:G$18)</f>
        <v>0.35623409669211198</v>
      </c>
      <c r="J18" s="4"/>
      <c r="K18" s="16"/>
      <c r="L18" s="4"/>
    </row>
    <row r="19" spans="1:12">
      <c r="A19" s="103" t="s">
        <v>5</v>
      </c>
      <c r="B19" s="3" t="s">
        <v>53</v>
      </c>
      <c r="C19" s="33" t="s">
        <v>54</v>
      </c>
      <c r="D19" s="18"/>
      <c r="E19" s="19" t="s">
        <v>333</v>
      </c>
      <c r="G19" s="43"/>
      <c r="H19" s="9">
        <f>F19/SUM(F$19:F$26)</f>
        <v>0</v>
      </c>
      <c r="I19" s="9">
        <f>G19/SUM(G$19:G$26)</f>
        <v>0</v>
      </c>
      <c r="J19" s="4"/>
      <c r="K19" s="16"/>
      <c r="L19" s="4"/>
    </row>
    <row r="20" spans="1:12">
      <c r="A20" s="103"/>
      <c r="B20" s="3" t="s">
        <v>54</v>
      </c>
      <c r="C20" s="33" t="s">
        <v>53</v>
      </c>
      <c r="D20" s="18"/>
      <c r="E20" s="19" t="s">
        <v>334</v>
      </c>
      <c r="H20" s="9">
        <f t="shared" ref="H20:I26" si="2">F20/SUM(F$19:F$26)</f>
        <v>0</v>
      </c>
      <c r="I20" s="9">
        <f t="shared" si="2"/>
        <v>0</v>
      </c>
      <c r="J20" s="4"/>
      <c r="K20" s="16"/>
      <c r="L20" s="4"/>
    </row>
    <row r="21" spans="1:12" ht="15.75">
      <c r="A21" s="103"/>
      <c r="B21" s="3" t="s">
        <v>55</v>
      </c>
      <c r="C21" s="33" t="s">
        <v>60</v>
      </c>
      <c r="D21" s="18"/>
      <c r="E21" s="19" t="s">
        <v>335</v>
      </c>
      <c r="F21" s="84">
        <v>91.075632200000001</v>
      </c>
      <c r="G21" s="84">
        <v>286.16000000000003</v>
      </c>
      <c r="H21" s="9">
        <f t="shared" si="2"/>
        <v>2.9882983627742631E-2</v>
      </c>
      <c r="I21" s="9">
        <f t="shared" si="2"/>
        <v>2.1689047606715814E-3</v>
      </c>
      <c r="J21" s="4"/>
      <c r="K21" s="16"/>
      <c r="L21" s="4"/>
    </row>
    <row r="22" spans="1:12" ht="15.75">
      <c r="A22" s="103"/>
      <c r="B22" s="3" t="s">
        <v>56</v>
      </c>
      <c r="C22" s="33" t="s">
        <v>58</v>
      </c>
      <c r="D22" s="21"/>
      <c r="E22" s="19" t="s">
        <v>336</v>
      </c>
      <c r="F22" s="84">
        <f>1084.43053805+1474.756014</f>
        <v>2559.18655205</v>
      </c>
      <c r="G22" s="84">
        <f>2384.18+3459.01908</f>
        <v>5843.1990800000003</v>
      </c>
      <c r="H22" s="9">
        <f t="shared" si="2"/>
        <v>0.83969913782546624</v>
      </c>
      <c r="I22" s="9">
        <f t="shared" si="2"/>
        <v>4.4287609386929702E-2</v>
      </c>
      <c r="J22" s="4"/>
      <c r="K22" s="16"/>
      <c r="L22" s="4"/>
    </row>
    <row r="23" spans="1:12">
      <c r="A23" s="103"/>
      <c r="B23" s="3" t="s">
        <v>57</v>
      </c>
      <c r="C23" s="33" t="s">
        <v>57</v>
      </c>
      <c r="D23" s="18"/>
      <c r="E23" s="19" t="s">
        <v>337</v>
      </c>
      <c r="H23" s="9">
        <f t="shared" si="2"/>
        <v>0</v>
      </c>
      <c r="I23" s="9">
        <f t="shared" si="2"/>
        <v>0</v>
      </c>
      <c r="J23" s="4"/>
      <c r="K23" s="16"/>
      <c r="L23" s="4"/>
    </row>
    <row r="24" spans="1:12" ht="15.75">
      <c r="A24" s="103"/>
      <c r="B24" s="3" t="s">
        <v>58</v>
      </c>
      <c r="C24" s="33" t="s">
        <v>59</v>
      </c>
      <c r="D24" s="18"/>
      <c r="E24" s="19" t="s">
        <v>338</v>
      </c>
      <c r="F24" s="84">
        <f>357.7971265+39.68295403</f>
        <v>397.48008053000001</v>
      </c>
      <c r="G24" s="84">
        <f>1124.2+124684</f>
        <v>125808.2</v>
      </c>
      <c r="H24" s="9">
        <f t="shared" si="2"/>
        <v>0.13041787854679107</v>
      </c>
      <c r="I24" s="9">
        <f t="shared" si="2"/>
        <v>0.95354348585239868</v>
      </c>
      <c r="J24" s="4"/>
      <c r="K24" s="16"/>
      <c r="L24" s="4"/>
    </row>
    <row r="25" spans="1:12">
      <c r="A25" s="103"/>
      <c r="B25" s="3" t="s">
        <v>59</v>
      </c>
      <c r="C25" s="33" t="s">
        <v>55</v>
      </c>
      <c r="D25" s="18"/>
      <c r="E25" s="19" t="s">
        <v>339</v>
      </c>
      <c r="H25" s="9">
        <f t="shared" si="2"/>
        <v>0</v>
      </c>
      <c r="I25" s="9">
        <f t="shared" si="2"/>
        <v>0</v>
      </c>
      <c r="J25" s="4"/>
      <c r="K25" s="16"/>
      <c r="L25" s="4"/>
    </row>
    <row r="26" spans="1:12">
      <c r="A26" s="103"/>
      <c r="B26" s="3" t="s">
        <v>60</v>
      </c>
      <c r="C26" s="33" t="s">
        <v>56</v>
      </c>
      <c r="D26" s="18"/>
      <c r="E26" s="19" t="s">
        <v>340</v>
      </c>
      <c r="H26" s="9">
        <f t="shared" si="2"/>
        <v>0</v>
      </c>
      <c r="I26" s="9">
        <f t="shared" si="2"/>
        <v>0</v>
      </c>
      <c r="J26" s="4"/>
      <c r="K26" s="16"/>
      <c r="L26" s="4"/>
    </row>
    <row r="27" spans="1:12">
      <c r="A27" s="103" t="s">
        <v>6</v>
      </c>
      <c r="B27" s="3" t="s">
        <v>61</v>
      </c>
      <c r="C27" s="33" t="s">
        <v>64</v>
      </c>
      <c r="D27" s="18"/>
      <c r="E27" s="19" t="s">
        <v>341</v>
      </c>
      <c r="H27" s="9">
        <f>F27/SUM(F$27:F$31)</f>
        <v>0</v>
      </c>
      <c r="I27" s="9">
        <f>G27/SUM(G$27:G$31)</f>
        <v>0</v>
      </c>
      <c r="J27" s="4"/>
      <c r="K27" s="16"/>
      <c r="L27" s="4"/>
    </row>
    <row r="28" spans="1:12" ht="15.75">
      <c r="A28" s="103"/>
      <c r="B28" s="3" t="s">
        <v>62</v>
      </c>
      <c r="C28" s="33" t="s">
        <v>61</v>
      </c>
      <c r="D28" s="18"/>
      <c r="E28" s="19" t="s">
        <v>342</v>
      </c>
      <c r="F28" s="84">
        <v>130.108046</v>
      </c>
      <c r="G28" s="84">
        <v>408.8</v>
      </c>
      <c r="H28" s="9">
        <f t="shared" ref="H28:I31" si="3">F28/SUM(F$27:F$31)</f>
        <v>1</v>
      </c>
      <c r="I28" s="9">
        <f t="shared" si="3"/>
        <v>1</v>
      </c>
      <c r="J28" s="4"/>
      <c r="K28" s="16"/>
      <c r="L28" s="4"/>
    </row>
    <row r="29" spans="1:12">
      <c r="A29" s="103"/>
      <c r="B29" s="3" t="s">
        <v>63</v>
      </c>
      <c r="C29" s="33" t="s">
        <v>63</v>
      </c>
      <c r="D29" s="18"/>
      <c r="E29" s="19" t="s">
        <v>343</v>
      </c>
      <c r="H29" s="9">
        <f t="shared" si="3"/>
        <v>0</v>
      </c>
      <c r="I29" s="9">
        <f t="shared" si="3"/>
        <v>0</v>
      </c>
      <c r="J29" s="4"/>
      <c r="K29" s="16"/>
      <c r="L29" s="4"/>
    </row>
    <row r="30" spans="1:12">
      <c r="A30" s="103"/>
      <c r="B30" s="3" t="s">
        <v>64</v>
      </c>
      <c r="C30" s="33" t="s">
        <v>65</v>
      </c>
      <c r="D30" s="18"/>
      <c r="E30" s="19" t="s">
        <v>344</v>
      </c>
      <c r="H30" s="9">
        <f t="shared" si="3"/>
        <v>0</v>
      </c>
      <c r="I30" s="9">
        <f t="shared" si="3"/>
        <v>0</v>
      </c>
      <c r="J30" s="4"/>
      <c r="K30" s="16"/>
      <c r="L30" s="4"/>
    </row>
    <row r="31" spans="1:12">
      <c r="A31" s="103"/>
      <c r="B31" s="3" t="s">
        <v>65</v>
      </c>
      <c r="C31" s="33" t="s">
        <v>62</v>
      </c>
      <c r="D31" s="18"/>
      <c r="E31" s="19" t="s">
        <v>345</v>
      </c>
      <c r="H31" s="9">
        <f t="shared" si="3"/>
        <v>0</v>
      </c>
      <c r="I31" s="9">
        <f t="shared" si="3"/>
        <v>0</v>
      </c>
      <c r="J31" s="4"/>
      <c r="K31" s="16"/>
      <c r="L31" s="4"/>
    </row>
    <row r="32" spans="1:12" ht="15.75">
      <c r="A32" s="103" t="s">
        <v>7</v>
      </c>
      <c r="B32" s="3" t="s">
        <v>66</v>
      </c>
      <c r="C32" s="33" t="s">
        <v>101</v>
      </c>
      <c r="D32" s="18"/>
      <c r="E32" s="19" t="s">
        <v>346</v>
      </c>
      <c r="F32" s="84">
        <v>39.0324138</v>
      </c>
      <c r="G32" s="84">
        <v>122.64</v>
      </c>
      <c r="H32" s="9">
        <f>F32/SUM(F$32:F$69)</f>
        <v>2.7911241801618241E-3</v>
      </c>
      <c r="I32" s="9">
        <f>G32/SUM(G$32:G$69)</f>
        <v>3.0707915049185135E-3</v>
      </c>
      <c r="J32" s="4"/>
      <c r="K32" s="16"/>
      <c r="L32" s="4"/>
    </row>
    <row r="33" spans="1:12" ht="15.75">
      <c r="A33" s="103"/>
      <c r="B33" s="3" t="s">
        <v>67</v>
      </c>
      <c r="C33" s="33" t="s">
        <v>102</v>
      </c>
      <c r="D33" s="18"/>
      <c r="E33" s="19" t="s">
        <v>347</v>
      </c>
      <c r="F33" s="84">
        <v>305.47339099999999</v>
      </c>
      <c r="G33" s="84">
        <v>671.6</v>
      </c>
      <c r="H33" s="9">
        <f t="shared" ref="H33:I69" si="4">F33/SUM(F$32:F$69)</f>
        <v>2.1843746901866655E-2</v>
      </c>
      <c r="I33" s="9">
        <f t="shared" si="4"/>
        <v>1.6816239193601382E-2</v>
      </c>
      <c r="J33" s="4"/>
      <c r="K33" s="16"/>
      <c r="L33" s="4"/>
    </row>
    <row r="34" spans="1:12" ht="15.75">
      <c r="A34" s="103"/>
      <c r="B34" s="3" t="s">
        <v>68</v>
      </c>
      <c r="C34" s="33" t="s">
        <v>103</v>
      </c>
      <c r="D34" s="18"/>
      <c r="E34" s="19" t="s">
        <v>348</v>
      </c>
      <c r="F34" s="84">
        <v>117.0972414</v>
      </c>
      <c r="G34" s="84">
        <v>367.92</v>
      </c>
      <c r="H34" s="9">
        <f t="shared" si="4"/>
        <v>8.3733725404854728E-3</v>
      </c>
      <c r="I34" s="9">
        <f t="shared" si="4"/>
        <v>9.2123745147555409E-3</v>
      </c>
      <c r="J34" s="4"/>
      <c r="K34" s="16"/>
      <c r="L34" s="4"/>
    </row>
    <row r="35" spans="1:12" ht="15.75">
      <c r="A35" s="103"/>
      <c r="B35" s="3" t="s">
        <v>69</v>
      </c>
      <c r="C35" s="33" t="s">
        <v>100</v>
      </c>
      <c r="D35" s="18"/>
      <c r="E35" s="19" t="s">
        <v>349</v>
      </c>
      <c r="F35" s="84">
        <v>591.99160930000005</v>
      </c>
      <c r="G35" s="84">
        <v>1860.04</v>
      </c>
      <c r="H35" s="9">
        <f t="shared" si="4"/>
        <v>4.233205006578767E-2</v>
      </c>
      <c r="I35" s="9">
        <f t="shared" si="4"/>
        <v>4.6573671157930784E-2</v>
      </c>
      <c r="J35" s="4"/>
      <c r="K35" s="16"/>
      <c r="L35" s="4"/>
    </row>
    <row r="36" spans="1:12" ht="15.75">
      <c r="A36" s="103"/>
      <c r="B36" s="3" t="s">
        <v>70</v>
      </c>
      <c r="C36" s="33" t="s">
        <v>97</v>
      </c>
      <c r="D36" s="35"/>
      <c r="E36" s="19" t="s">
        <v>350</v>
      </c>
      <c r="F36" s="84">
        <f>130.108046+149.6242529</f>
        <v>279.73229889999999</v>
      </c>
      <c r="G36" s="84">
        <f>408.8+470.12</f>
        <v>878.92000000000007</v>
      </c>
      <c r="H36" s="9">
        <f t="shared" si="4"/>
        <v>2.0003056624493074E-2</v>
      </c>
      <c r="I36" s="9">
        <f t="shared" si="4"/>
        <v>2.2007339118582679E-2</v>
      </c>
      <c r="J36" s="4"/>
      <c r="K36" s="16"/>
      <c r="L36" s="4"/>
    </row>
    <row r="37" spans="1:12">
      <c r="A37" s="103"/>
      <c r="B37" s="3" t="s">
        <v>71</v>
      </c>
      <c r="C37" s="33" t="s">
        <v>98</v>
      </c>
      <c r="D37" s="18"/>
      <c r="E37" s="19" t="s">
        <v>351</v>
      </c>
      <c r="H37" s="9">
        <f t="shared" si="4"/>
        <v>0</v>
      </c>
      <c r="I37" s="9">
        <f t="shared" si="4"/>
        <v>0</v>
      </c>
      <c r="J37" s="4"/>
      <c r="K37" s="16"/>
      <c r="L37" s="4"/>
    </row>
    <row r="38" spans="1:12" ht="15.75">
      <c r="A38" s="103"/>
      <c r="B38" s="3" t="s">
        <v>72</v>
      </c>
      <c r="C38" s="33" t="s">
        <v>95</v>
      </c>
      <c r="D38" s="18"/>
      <c r="E38" s="19" t="s">
        <v>352</v>
      </c>
      <c r="F38" s="84">
        <v>1237.16723355</v>
      </c>
      <c r="G38" s="84">
        <v>2719.98</v>
      </c>
      <c r="H38" s="9">
        <f t="shared" si="4"/>
        <v>8.8467174952559957E-2</v>
      </c>
      <c r="I38" s="9">
        <f t="shared" si="4"/>
        <v>6.8105768734085595E-2</v>
      </c>
      <c r="J38" s="4"/>
      <c r="K38" s="16"/>
      <c r="L38" s="4"/>
    </row>
    <row r="39" spans="1:12" ht="15.75">
      <c r="A39" s="103"/>
      <c r="B39" s="3" t="s">
        <v>73</v>
      </c>
      <c r="C39" s="33" t="s">
        <v>96</v>
      </c>
      <c r="D39" s="18"/>
      <c r="E39" s="19" t="s">
        <v>353</v>
      </c>
      <c r="F39" s="84">
        <f>149.6242529+109.6283121+160.2241522</f>
        <v>419.4767172</v>
      </c>
      <c r="G39" s="84">
        <f>470.12+4638.98356+643.13</f>
        <v>5752.2335599999997</v>
      </c>
      <c r="H39" s="9">
        <f t="shared" si="4"/>
        <v>2.9995880203335601E-2</v>
      </c>
      <c r="I39" s="9">
        <f t="shared" si="4"/>
        <v>0.14403057689461168</v>
      </c>
      <c r="J39" s="4"/>
      <c r="K39" s="16"/>
      <c r="L39" s="4"/>
    </row>
    <row r="40" spans="1:12">
      <c r="A40" s="103"/>
      <c r="B40" s="3" t="s">
        <v>74</v>
      </c>
      <c r="C40" s="33" t="s">
        <v>99</v>
      </c>
      <c r="D40" s="18"/>
      <c r="E40" s="19" t="s">
        <v>354</v>
      </c>
      <c r="H40" s="9">
        <f t="shared" si="4"/>
        <v>0</v>
      </c>
      <c r="I40" s="9">
        <f t="shared" si="4"/>
        <v>0</v>
      </c>
      <c r="J40" s="4"/>
      <c r="K40" s="16"/>
      <c r="L40" s="4"/>
    </row>
    <row r="41" spans="1:12" ht="15.75">
      <c r="A41" s="103"/>
      <c r="B41" s="3" t="s">
        <v>75</v>
      </c>
      <c r="C41" s="33" t="s">
        <v>93</v>
      </c>
      <c r="D41" s="18"/>
      <c r="E41" s="19" t="s">
        <v>355</v>
      </c>
      <c r="F41" s="84">
        <v>146.37155175000001</v>
      </c>
      <c r="G41" s="84">
        <v>459.9</v>
      </c>
      <c r="H41" s="9">
        <f t="shared" si="4"/>
        <v>1.0466715675606841E-2</v>
      </c>
      <c r="I41" s="9">
        <f t="shared" si="4"/>
        <v>1.1515468143444424E-2</v>
      </c>
      <c r="J41" s="4"/>
      <c r="K41" s="16"/>
      <c r="L41" s="4"/>
    </row>
    <row r="42" spans="1:12">
      <c r="A42" s="103"/>
      <c r="B42" s="3" t="s">
        <v>76</v>
      </c>
      <c r="C42" s="33" t="s">
        <v>94</v>
      </c>
      <c r="D42" s="18"/>
      <c r="E42" s="19" t="s">
        <v>356</v>
      </c>
      <c r="H42" s="9">
        <f t="shared" si="4"/>
        <v>0</v>
      </c>
      <c r="I42" s="9">
        <f t="shared" si="4"/>
        <v>0</v>
      </c>
      <c r="J42" s="4"/>
      <c r="K42" s="16"/>
      <c r="L42" s="4"/>
    </row>
    <row r="43" spans="1:12">
      <c r="A43" s="103"/>
      <c r="B43" s="3" t="s">
        <v>77</v>
      </c>
      <c r="C43" s="33" t="s">
        <v>92</v>
      </c>
      <c r="D43" s="18"/>
      <c r="E43" s="19" t="s">
        <v>357</v>
      </c>
      <c r="H43" s="9">
        <f t="shared" si="4"/>
        <v>0</v>
      </c>
      <c r="I43" s="9">
        <f t="shared" si="4"/>
        <v>0</v>
      </c>
      <c r="J43" s="4"/>
      <c r="K43" s="16"/>
      <c r="L43" s="4"/>
    </row>
    <row r="44" spans="1:12" ht="15.75">
      <c r="A44" s="103"/>
      <c r="B44" s="3" t="s">
        <v>78</v>
      </c>
      <c r="C44" s="33" t="s">
        <v>91</v>
      </c>
      <c r="D44" s="18"/>
      <c r="E44" s="19" t="s">
        <v>358</v>
      </c>
      <c r="F44" s="84">
        <f>240.6998851+313.851705</f>
        <v>554.5515901</v>
      </c>
      <c r="G44" s="84">
        <f>756.28+1102.4825</f>
        <v>1858.7625</v>
      </c>
      <c r="H44" s="9">
        <f t="shared" si="4"/>
        <v>3.9654794607534585E-2</v>
      </c>
      <c r="I44" s="9">
        <f t="shared" si="4"/>
        <v>4.6541683746421217E-2</v>
      </c>
      <c r="K44" s="17"/>
    </row>
    <row r="45" spans="1:12">
      <c r="A45" s="103"/>
      <c r="B45" s="3" t="s">
        <v>79</v>
      </c>
      <c r="C45" s="33" t="s">
        <v>90</v>
      </c>
      <c r="D45" s="18"/>
      <c r="E45" s="19" t="s">
        <v>359</v>
      </c>
      <c r="H45" s="9">
        <f t="shared" si="4"/>
        <v>0</v>
      </c>
      <c r="I45" s="9">
        <f t="shared" si="4"/>
        <v>0</v>
      </c>
      <c r="K45" s="17"/>
    </row>
    <row r="46" spans="1:12">
      <c r="A46" s="103"/>
      <c r="B46" s="3" t="s">
        <v>80</v>
      </c>
      <c r="C46" s="33" t="s">
        <v>89</v>
      </c>
      <c r="D46" s="18"/>
      <c r="E46" s="19" t="s">
        <v>360</v>
      </c>
      <c r="H46" s="9">
        <f t="shared" si="4"/>
        <v>0</v>
      </c>
      <c r="I46" s="9">
        <f t="shared" si="4"/>
        <v>0</v>
      </c>
      <c r="K46" s="17"/>
    </row>
    <row r="47" spans="1:12">
      <c r="A47" s="103"/>
      <c r="B47" s="3" t="s">
        <v>81</v>
      </c>
      <c r="C47" s="33" t="s">
        <v>88</v>
      </c>
      <c r="D47" s="18"/>
      <c r="E47" s="19" t="s">
        <v>361</v>
      </c>
      <c r="H47" s="9">
        <f t="shared" si="4"/>
        <v>0</v>
      </c>
      <c r="I47" s="9">
        <f t="shared" si="4"/>
        <v>0</v>
      </c>
      <c r="K47" s="17"/>
    </row>
    <row r="48" spans="1:12">
      <c r="A48" s="103"/>
      <c r="B48" s="3" t="s">
        <v>82</v>
      </c>
      <c r="C48" s="33" t="s">
        <v>87</v>
      </c>
      <c r="D48" s="18"/>
      <c r="E48" s="19" t="s">
        <v>362</v>
      </c>
      <c r="H48" s="9">
        <f t="shared" si="4"/>
        <v>0</v>
      </c>
      <c r="I48" s="9">
        <f t="shared" si="4"/>
        <v>0</v>
      </c>
      <c r="K48" s="17"/>
    </row>
    <row r="49" spans="1:11">
      <c r="A49" s="103"/>
      <c r="B49" s="3" t="s">
        <v>83</v>
      </c>
      <c r="C49" s="33" t="s">
        <v>86</v>
      </c>
      <c r="D49" s="18"/>
      <c r="E49" s="19" t="s">
        <v>363</v>
      </c>
      <c r="H49" s="9">
        <f t="shared" si="4"/>
        <v>0</v>
      </c>
      <c r="I49" s="9">
        <f t="shared" si="4"/>
        <v>0</v>
      </c>
      <c r="K49" s="17"/>
    </row>
    <row r="50" spans="1:11">
      <c r="A50" s="103"/>
      <c r="B50" s="3" t="s">
        <v>84</v>
      </c>
      <c r="C50" s="33" t="s">
        <v>85</v>
      </c>
      <c r="D50" s="18"/>
      <c r="E50" s="19" t="s">
        <v>364</v>
      </c>
      <c r="H50" s="9">
        <f t="shared" si="4"/>
        <v>0</v>
      </c>
      <c r="I50" s="9">
        <f t="shared" si="4"/>
        <v>0</v>
      </c>
      <c r="K50" s="17"/>
    </row>
    <row r="51" spans="1:11">
      <c r="A51" s="103"/>
      <c r="B51" s="3" t="s">
        <v>85</v>
      </c>
      <c r="C51" s="33" t="s">
        <v>84</v>
      </c>
      <c r="D51" s="18"/>
      <c r="E51" s="19" t="s">
        <v>365</v>
      </c>
      <c r="H51" s="9">
        <f t="shared" si="4"/>
        <v>0</v>
      </c>
      <c r="I51" s="9">
        <f t="shared" si="4"/>
        <v>0</v>
      </c>
      <c r="K51" s="17"/>
    </row>
    <row r="52" spans="1:11" ht="15.75">
      <c r="A52" s="103"/>
      <c r="B52" s="3" t="s">
        <v>86</v>
      </c>
      <c r="C52" s="33" t="s">
        <v>83</v>
      </c>
      <c r="D52" s="18"/>
      <c r="E52" s="19" t="s">
        <v>366</v>
      </c>
      <c r="F52" s="84">
        <f>169.1404598+130.108046+162.6350575+162.6350575+149.6242529</f>
        <v>774.1428737</v>
      </c>
      <c r="G52" s="84">
        <f>531.44+408.8+511+511+470.12</f>
        <v>2432.36</v>
      </c>
      <c r="H52" s="9">
        <f t="shared" si="4"/>
        <v>5.5357296239876175E-2</v>
      </c>
      <c r="I52" s="9">
        <f t="shared" si="4"/>
        <v>6.0904031514217187E-2</v>
      </c>
      <c r="K52" s="17"/>
    </row>
    <row r="53" spans="1:11">
      <c r="A53" s="103"/>
      <c r="B53" s="3" t="s">
        <v>87</v>
      </c>
      <c r="C53" s="33" t="s">
        <v>82</v>
      </c>
      <c r="D53" s="18"/>
      <c r="E53" s="19" t="s">
        <v>367</v>
      </c>
      <c r="H53" s="9">
        <f t="shared" si="4"/>
        <v>0</v>
      </c>
      <c r="I53" s="9">
        <f t="shared" si="4"/>
        <v>0</v>
      </c>
      <c r="K53" s="17"/>
    </row>
    <row r="54" spans="1:11">
      <c r="A54" s="103"/>
      <c r="B54" s="3" t="s">
        <v>88</v>
      </c>
      <c r="C54" s="33" t="s">
        <v>81</v>
      </c>
      <c r="D54" s="18"/>
      <c r="E54" s="19" t="s">
        <v>368</v>
      </c>
      <c r="H54" s="9">
        <f t="shared" si="4"/>
        <v>0</v>
      </c>
      <c r="I54" s="9">
        <f t="shared" si="4"/>
        <v>0</v>
      </c>
      <c r="K54" s="17"/>
    </row>
    <row r="55" spans="1:11" ht="15.75">
      <c r="A55" s="103"/>
      <c r="B55" s="3" t="s">
        <v>89</v>
      </c>
      <c r="C55" s="33" t="s">
        <v>78</v>
      </c>
      <c r="D55" s="36"/>
      <c r="E55" s="19" t="s">
        <v>369</v>
      </c>
      <c r="F55" s="84">
        <f>149.6242529+104.0864368</f>
        <v>253.71068969999999</v>
      </c>
      <c r="G55" s="84">
        <f>470.12+327.04</f>
        <v>797.16000000000008</v>
      </c>
      <c r="H55" s="9">
        <f t="shared" si="4"/>
        <v>1.8142307171051857E-2</v>
      </c>
      <c r="I55" s="9">
        <f t="shared" si="4"/>
        <v>1.9960144781970338E-2</v>
      </c>
      <c r="K55" s="17"/>
    </row>
    <row r="56" spans="1:11" ht="15.75">
      <c r="A56" s="103"/>
      <c r="B56" s="3" t="s">
        <v>90</v>
      </c>
      <c r="C56" s="33" t="s">
        <v>77</v>
      </c>
      <c r="D56" s="35"/>
      <c r="E56" s="19" t="s">
        <v>370</v>
      </c>
      <c r="F56" s="84">
        <f>381.84173875+763.6834775</f>
        <v>1145.5252162500001</v>
      </c>
      <c r="G56" s="84">
        <f>839.5+1679</f>
        <v>2518.5</v>
      </c>
      <c r="H56" s="9">
        <f t="shared" si="4"/>
        <v>8.1914050881999975E-2</v>
      </c>
      <c r="I56" s="9">
        <f t="shared" si="4"/>
        <v>6.3060896976005185E-2</v>
      </c>
      <c r="K56" s="17"/>
    </row>
    <row r="57" spans="1:11" ht="15.75">
      <c r="A57" s="103"/>
      <c r="B57" s="3" t="s">
        <v>91</v>
      </c>
      <c r="C57" s="33" t="s">
        <v>76</v>
      </c>
      <c r="D57" s="18"/>
      <c r="E57" s="19" t="s">
        <v>371</v>
      </c>
      <c r="F57" s="84">
        <v>1145.5252162500001</v>
      </c>
      <c r="G57" s="84">
        <v>2518.5</v>
      </c>
      <c r="H57" s="9">
        <f t="shared" si="4"/>
        <v>8.1914050881999975E-2</v>
      </c>
      <c r="I57" s="9">
        <f t="shared" si="4"/>
        <v>6.3060896976005185E-2</v>
      </c>
      <c r="K57" s="17"/>
    </row>
    <row r="58" spans="1:11" ht="15.75">
      <c r="A58" s="103"/>
      <c r="B58" s="3" t="s">
        <v>92</v>
      </c>
      <c r="C58" s="33" t="s">
        <v>79</v>
      </c>
      <c r="D58" s="18"/>
      <c r="E58" s="19" t="s">
        <v>372</v>
      </c>
      <c r="F58" s="84">
        <v>78.064827600000001</v>
      </c>
      <c r="G58" s="84">
        <v>245.28</v>
      </c>
      <c r="H58" s="9">
        <f t="shared" si="4"/>
        <v>5.5822483603236482E-3</v>
      </c>
      <c r="I58" s="9">
        <f t="shared" si="4"/>
        <v>6.141583009837027E-3</v>
      </c>
      <c r="K58" s="17"/>
    </row>
    <row r="59" spans="1:11" ht="15.75">
      <c r="A59" s="103"/>
      <c r="B59" s="3" t="s">
        <v>93</v>
      </c>
      <c r="C59" s="33" t="s">
        <v>80</v>
      </c>
      <c r="D59" s="18"/>
      <c r="E59" s="19" t="s">
        <v>373</v>
      </c>
      <c r="F59" s="84">
        <v>182.1512644</v>
      </c>
      <c r="G59" s="84">
        <v>572.32000000000005</v>
      </c>
      <c r="H59" s="9">
        <f t="shared" si="4"/>
        <v>1.3025246174088513E-2</v>
      </c>
      <c r="I59" s="9">
        <f t="shared" si="4"/>
        <v>1.4330360356286397E-2</v>
      </c>
      <c r="K59" s="17"/>
    </row>
    <row r="60" spans="1:11" ht="15.75">
      <c r="A60" s="103"/>
      <c r="B60" s="3" t="s">
        <v>94</v>
      </c>
      <c r="C60" s="33" t="s">
        <v>75</v>
      </c>
      <c r="D60" s="18"/>
      <c r="E60" s="19" t="s">
        <v>374</v>
      </c>
      <c r="F60" s="84">
        <v>149.62425289999999</v>
      </c>
      <c r="G60" s="84">
        <v>470.12</v>
      </c>
      <c r="H60" s="9">
        <f t="shared" si="4"/>
        <v>1.0699309357286992E-2</v>
      </c>
      <c r="I60" s="9">
        <f t="shared" si="4"/>
        <v>1.1771367435520968E-2</v>
      </c>
      <c r="K60" s="17"/>
    </row>
    <row r="61" spans="1:11">
      <c r="A61" s="103"/>
      <c r="B61" s="3" t="s">
        <v>95</v>
      </c>
      <c r="C61" s="33" t="s">
        <v>73</v>
      </c>
      <c r="D61" s="18"/>
      <c r="E61" s="19" t="s">
        <v>375</v>
      </c>
      <c r="H61" s="9">
        <f t="shared" si="4"/>
        <v>0</v>
      </c>
      <c r="I61" s="9">
        <f t="shared" si="4"/>
        <v>0</v>
      </c>
      <c r="K61" s="17"/>
    </row>
    <row r="62" spans="1:11" ht="15.75">
      <c r="A62" s="103"/>
      <c r="B62" s="3" t="s">
        <v>96</v>
      </c>
      <c r="C62" s="33" t="s">
        <v>74</v>
      </c>
      <c r="D62" s="36"/>
      <c r="E62" s="19" t="s">
        <v>376</v>
      </c>
      <c r="F62" s="84">
        <v>149.62425289999999</v>
      </c>
      <c r="G62" s="84">
        <v>470.12</v>
      </c>
      <c r="H62" s="9">
        <f t="shared" si="4"/>
        <v>1.0699309357286992E-2</v>
      </c>
      <c r="I62" s="9">
        <f t="shared" si="4"/>
        <v>1.1771367435520968E-2</v>
      </c>
      <c r="K62" s="17"/>
    </row>
    <row r="63" spans="1:11">
      <c r="A63" s="103"/>
      <c r="B63" s="3" t="s">
        <v>97</v>
      </c>
      <c r="C63" s="33" t="s">
        <v>72</v>
      </c>
      <c r="D63" s="18"/>
      <c r="E63" s="19" t="s">
        <v>377</v>
      </c>
      <c r="H63" s="9">
        <f t="shared" si="4"/>
        <v>0</v>
      </c>
      <c r="I63" s="9">
        <f t="shared" si="4"/>
        <v>0</v>
      </c>
      <c r="K63" s="17"/>
    </row>
    <row r="64" spans="1:11" ht="15.75">
      <c r="A64" s="103"/>
      <c r="B64" s="3" t="s">
        <v>98</v>
      </c>
      <c r="C64" s="33" t="s">
        <v>69</v>
      </c>
      <c r="D64" s="18"/>
      <c r="E64" s="19" t="s">
        <v>378</v>
      </c>
      <c r="F64" s="84">
        <f>52.0432184+117.0972414</f>
        <v>169.1404598</v>
      </c>
      <c r="G64" s="84">
        <f>163.52+367.92</f>
        <v>531.44000000000005</v>
      </c>
      <c r="H64" s="9">
        <f t="shared" si="4"/>
        <v>1.2094871447367905E-2</v>
      </c>
      <c r="I64" s="9">
        <f t="shared" si="4"/>
        <v>1.3306763187980226E-2</v>
      </c>
      <c r="K64" s="17"/>
    </row>
    <row r="65" spans="1:11">
      <c r="A65" s="103"/>
      <c r="B65" s="3" t="s">
        <v>99</v>
      </c>
      <c r="C65" s="33" t="s">
        <v>70</v>
      </c>
      <c r="D65" s="18"/>
      <c r="E65" s="19" t="s">
        <v>379</v>
      </c>
      <c r="H65" s="9">
        <f t="shared" si="4"/>
        <v>0</v>
      </c>
      <c r="I65" s="9">
        <f t="shared" si="4"/>
        <v>0</v>
      </c>
      <c r="K65" s="17"/>
    </row>
    <row r="66" spans="1:11" ht="15.75">
      <c r="A66" s="103"/>
      <c r="B66" s="3" t="s">
        <v>100</v>
      </c>
      <c r="C66" s="33" t="s">
        <v>68</v>
      </c>
      <c r="D66" s="36"/>
      <c r="E66" s="19" t="s">
        <v>380</v>
      </c>
      <c r="F66" s="84">
        <v>1069.1568685</v>
      </c>
      <c r="G66" s="84">
        <v>2350.6</v>
      </c>
      <c r="H66" s="9">
        <f t="shared" si="4"/>
        <v>7.6453114156533303E-2</v>
      </c>
      <c r="I66" s="9">
        <f t="shared" si="4"/>
        <v>5.8856837177604836E-2</v>
      </c>
      <c r="K66" s="17"/>
    </row>
    <row r="67" spans="1:11" ht="15.75">
      <c r="A67" s="103"/>
      <c r="B67" s="3" t="s">
        <v>101</v>
      </c>
      <c r="C67" s="33" t="s">
        <v>71</v>
      </c>
      <c r="D67" s="18"/>
      <c r="E67" s="19" t="s">
        <v>381</v>
      </c>
      <c r="F67" s="84">
        <f>1603.73530275+763.6834775+878.2359991+916.420173+364.3025288</f>
        <v>4526.3774811499998</v>
      </c>
      <c r="G67" s="84">
        <f>3525.9+1679+1930.85+2014.8+1144.64</f>
        <v>10295.189999999999</v>
      </c>
      <c r="H67" s="9">
        <f t="shared" si="4"/>
        <v>0.32367154388432251</v>
      </c>
      <c r="I67" s="9">
        <f t="shared" si="4"/>
        <v>0.25778197972539157</v>
      </c>
      <c r="K67" s="17"/>
    </row>
    <row r="68" spans="1:11" ht="15.75">
      <c r="A68" s="103"/>
      <c r="B68" s="3" t="s">
        <v>102</v>
      </c>
      <c r="C68" s="33" t="s">
        <v>67</v>
      </c>
      <c r="D68" s="36"/>
      <c r="E68" s="19" t="s">
        <v>382</v>
      </c>
      <c r="F68" s="84">
        <v>149.62425289999999</v>
      </c>
      <c r="G68" s="84">
        <v>470.12</v>
      </c>
      <c r="H68" s="9">
        <f t="shared" si="4"/>
        <v>1.0699309357286992E-2</v>
      </c>
      <c r="I68" s="9">
        <f t="shared" si="4"/>
        <v>1.1771367435520968E-2</v>
      </c>
      <c r="K68" s="17"/>
    </row>
    <row r="69" spans="1:11">
      <c r="A69" s="103"/>
      <c r="B69" s="3" t="s">
        <v>103</v>
      </c>
      <c r="C69" s="33" t="s">
        <v>66</v>
      </c>
      <c r="D69" s="18"/>
      <c r="E69" s="19" t="s">
        <v>383</v>
      </c>
      <c r="F69" s="3">
        <f>169.1404598+78.0648276+162.6350575+91.0756322</f>
        <v>500.91597709999996</v>
      </c>
      <c r="G69" s="3">
        <f>531.44+245.28+511+286.16</f>
        <v>1573.88</v>
      </c>
      <c r="H69" s="9">
        <f t="shared" si="4"/>
        <v>3.5819426978743407E-2</v>
      </c>
      <c r="I69" s="9">
        <f t="shared" si="4"/>
        <v>3.9408490979787589E-2</v>
      </c>
      <c r="K69" s="17"/>
    </row>
    <row r="70" spans="1:11" ht="15.75">
      <c r="A70" s="27" t="s">
        <v>623</v>
      </c>
      <c r="B70" s="3" t="s">
        <v>384</v>
      </c>
      <c r="C70" s="33" t="s">
        <v>384</v>
      </c>
      <c r="D70" s="18"/>
      <c r="E70" s="19" t="s">
        <v>385</v>
      </c>
      <c r="F70" s="84">
        <v>149.62425289999999</v>
      </c>
      <c r="G70" s="84">
        <v>470.12</v>
      </c>
      <c r="H70" s="9">
        <v>1</v>
      </c>
      <c r="I70" s="9">
        <v>1</v>
      </c>
      <c r="K70" s="17"/>
    </row>
    <row r="71" spans="1:11">
      <c r="A71" s="103" t="s">
        <v>8</v>
      </c>
      <c r="B71" s="3" t="s">
        <v>104</v>
      </c>
      <c r="C71" s="33" t="s">
        <v>106</v>
      </c>
      <c r="D71" s="18"/>
      <c r="E71" s="19" t="s">
        <v>386</v>
      </c>
      <c r="K71" s="17"/>
    </row>
    <row r="72" spans="1:11">
      <c r="A72" s="103"/>
      <c r="B72" s="3" t="s">
        <v>105</v>
      </c>
      <c r="C72" s="33" t="s">
        <v>105</v>
      </c>
      <c r="D72" s="18"/>
      <c r="E72" s="19" t="s">
        <v>387</v>
      </c>
      <c r="K72" s="17"/>
    </row>
    <row r="73" spans="1:11">
      <c r="A73" s="103"/>
      <c r="B73" s="3" t="s">
        <v>106</v>
      </c>
      <c r="C73" s="33" t="s">
        <v>104</v>
      </c>
      <c r="D73" s="18"/>
      <c r="E73" s="19" t="s">
        <v>388</v>
      </c>
      <c r="K73" s="17"/>
    </row>
    <row r="74" spans="1:11" ht="15.75">
      <c r="A74" s="103" t="s">
        <v>9</v>
      </c>
      <c r="B74" s="3" t="s">
        <v>107</v>
      </c>
      <c r="C74" s="33" t="s">
        <v>114</v>
      </c>
      <c r="D74" s="18"/>
      <c r="E74" s="19" t="s">
        <v>389</v>
      </c>
      <c r="F74" s="92">
        <v>227.68908049999999</v>
      </c>
      <c r="G74" s="92">
        <v>715.4</v>
      </c>
      <c r="H74" s="9">
        <f>F74/SUM(F$74:F$86)</f>
        <v>0.60344827586206895</v>
      </c>
      <c r="I74" s="9">
        <f>G74/SUM(G$74:G$86)</f>
        <v>0.60344827586206895</v>
      </c>
      <c r="K74" s="17"/>
    </row>
    <row r="75" spans="1:11">
      <c r="A75" s="103"/>
      <c r="B75" s="3" t="s">
        <v>108</v>
      </c>
      <c r="C75" s="33" t="s">
        <v>390</v>
      </c>
      <c r="D75" s="18"/>
      <c r="E75" s="19" t="s">
        <v>391</v>
      </c>
      <c r="H75" s="9">
        <f t="shared" ref="H75:I86" si="5">F75/SUM(F$74:F$86)</f>
        <v>0</v>
      </c>
      <c r="I75" s="9">
        <f t="shared" si="5"/>
        <v>0</v>
      </c>
      <c r="K75" s="17"/>
    </row>
    <row r="76" spans="1:11">
      <c r="A76" s="103"/>
      <c r="B76" s="3" t="s">
        <v>109</v>
      </c>
      <c r="C76" s="33" t="s">
        <v>392</v>
      </c>
      <c r="D76" s="18"/>
      <c r="E76" s="19" t="s">
        <v>393</v>
      </c>
      <c r="H76" s="9">
        <f t="shared" si="5"/>
        <v>0</v>
      </c>
      <c r="I76" s="9">
        <f t="shared" si="5"/>
        <v>0</v>
      </c>
    </row>
    <row r="77" spans="1:11">
      <c r="A77" s="103"/>
      <c r="B77" s="3" t="s">
        <v>110</v>
      </c>
      <c r="C77" s="33" t="s">
        <v>394</v>
      </c>
      <c r="D77" s="18"/>
      <c r="E77" s="19" t="s">
        <v>395</v>
      </c>
      <c r="H77" s="9">
        <f t="shared" si="5"/>
        <v>0</v>
      </c>
      <c r="I77" s="9">
        <f t="shared" si="5"/>
        <v>0</v>
      </c>
    </row>
    <row r="78" spans="1:11">
      <c r="A78" s="103"/>
      <c r="B78" s="3" t="s">
        <v>111</v>
      </c>
      <c r="C78" s="33" t="s">
        <v>115</v>
      </c>
      <c r="D78" s="18"/>
      <c r="E78" s="19" t="s">
        <v>396</v>
      </c>
      <c r="H78" s="9">
        <f t="shared" si="5"/>
        <v>0</v>
      </c>
      <c r="I78" s="9">
        <f t="shared" si="5"/>
        <v>0</v>
      </c>
    </row>
    <row r="79" spans="1:11">
      <c r="A79" s="103"/>
      <c r="B79" s="3" t="s">
        <v>112</v>
      </c>
      <c r="C79" s="33" t="s">
        <v>110</v>
      </c>
      <c r="D79" s="18"/>
      <c r="E79" s="19" t="s">
        <v>397</v>
      </c>
      <c r="H79" s="9">
        <f t="shared" si="5"/>
        <v>0</v>
      </c>
      <c r="I79" s="9">
        <f t="shared" si="5"/>
        <v>0</v>
      </c>
    </row>
    <row r="80" spans="1:11">
      <c r="A80" s="103"/>
      <c r="B80" s="3" t="s">
        <v>113</v>
      </c>
      <c r="C80" s="33" t="s">
        <v>112</v>
      </c>
      <c r="D80" s="18"/>
      <c r="E80" s="19" t="s">
        <v>398</v>
      </c>
      <c r="H80" s="9">
        <f t="shared" si="5"/>
        <v>0</v>
      </c>
      <c r="I80" s="9">
        <f t="shared" si="5"/>
        <v>0</v>
      </c>
    </row>
    <row r="81" spans="1:9">
      <c r="A81" s="103"/>
      <c r="B81" s="3" t="s">
        <v>114</v>
      </c>
      <c r="C81" s="33" t="s">
        <v>111</v>
      </c>
      <c r="D81" s="18"/>
      <c r="E81" s="19" t="s">
        <v>399</v>
      </c>
      <c r="H81" s="9">
        <f t="shared" si="5"/>
        <v>0</v>
      </c>
      <c r="I81" s="9">
        <f t="shared" si="5"/>
        <v>0</v>
      </c>
    </row>
    <row r="82" spans="1:9" ht="15.75">
      <c r="A82" s="103"/>
      <c r="B82" s="3" t="s">
        <v>115</v>
      </c>
      <c r="C82" s="33" t="s">
        <v>107</v>
      </c>
      <c r="D82" s="18"/>
      <c r="E82" s="19" t="s">
        <v>400</v>
      </c>
      <c r="F82" s="84">
        <v>149.62425289999999</v>
      </c>
      <c r="G82" s="84">
        <v>470.12</v>
      </c>
      <c r="H82" s="9">
        <f t="shared" si="5"/>
        <v>0.39655172413793105</v>
      </c>
      <c r="I82" s="9">
        <f t="shared" si="5"/>
        <v>0.39655172413793105</v>
      </c>
    </row>
    <row r="83" spans="1:9">
      <c r="A83" s="103"/>
      <c r="C83" s="33" t="s">
        <v>401</v>
      </c>
      <c r="D83" s="18"/>
      <c r="E83" s="19" t="s">
        <v>402</v>
      </c>
      <c r="H83" s="9">
        <f t="shared" si="5"/>
        <v>0</v>
      </c>
      <c r="I83" s="9">
        <f t="shared" si="5"/>
        <v>0</v>
      </c>
    </row>
    <row r="84" spans="1:9">
      <c r="A84" s="103"/>
      <c r="C84" s="33" t="s">
        <v>113</v>
      </c>
      <c r="D84" s="18"/>
      <c r="E84" s="19" t="s">
        <v>403</v>
      </c>
      <c r="H84" s="9">
        <f t="shared" si="5"/>
        <v>0</v>
      </c>
      <c r="I84" s="9">
        <f t="shared" si="5"/>
        <v>0</v>
      </c>
    </row>
    <row r="85" spans="1:9">
      <c r="A85" s="103"/>
      <c r="C85" s="33" t="s">
        <v>108</v>
      </c>
      <c r="D85" s="18"/>
      <c r="E85" s="19" t="s">
        <v>404</v>
      </c>
      <c r="H85" s="9">
        <f t="shared" si="5"/>
        <v>0</v>
      </c>
      <c r="I85" s="9">
        <f t="shared" si="5"/>
        <v>0</v>
      </c>
    </row>
    <row r="86" spans="1:9">
      <c r="A86" s="103"/>
      <c r="C86" s="33" t="s">
        <v>109</v>
      </c>
      <c r="D86" s="18"/>
      <c r="E86" s="19" t="s">
        <v>405</v>
      </c>
      <c r="H86" s="9">
        <f t="shared" si="5"/>
        <v>0</v>
      </c>
      <c r="I86" s="9">
        <f t="shared" si="5"/>
        <v>0</v>
      </c>
    </row>
    <row r="87" spans="1:9">
      <c r="A87" s="103" t="s">
        <v>10</v>
      </c>
      <c r="B87" s="3" t="s">
        <v>116</v>
      </c>
      <c r="C87" s="33" t="s">
        <v>120</v>
      </c>
      <c r="D87" s="18"/>
      <c r="E87" s="19" t="s">
        <v>406</v>
      </c>
      <c r="H87" s="9">
        <f>F87/SUM(F$87:F$105)</f>
        <v>0</v>
      </c>
      <c r="I87" s="9">
        <f>G87/SUM(G$87:G$105)</f>
        <v>0</v>
      </c>
    </row>
    <row r="88" spans="1:9" ht="15.75">
      <c r="A88" s="103"/>
      <c r="B88" s="3" t="s">
        <v>117</v>
      </c>
      <c r="C88" s="33" t="s">
        <v>117</v>
      </c>
      <c r="D88" s="18"/>
      <c r="E88" s="19" t="s">
        <v>407</v>
      </c>
      <c r="F88" s="84">
        <v>878.23599912500003</v>
      </c>
      <c r="G88" s="84">
        <v>1930.85</v>
      </c>
      <c r="H88" s="9">
        <f t="shared" ref="H88:I105" si="6">F88/SUM(F$87:F$105)</f>
        <v>0.12230792566242552</v>
      </c>
      <c r="I88" s="9">
        <f t="shared" si="6"/>
        <v>0.1064278132968926</v>
      </c>
    </row>
    <row r="89" spans="1:9" ht="15.75">
      <c r="A89" s="103"/>
      <c r="B89" s="3" t="s">
        <v>118</v>
      </c>
      <c r="C89" s="33" t="s">
        <v>128</v>
      </c>
      <c r="D89" s="18"/>
      <c r="E89" s="19" t="s">
        <v>408</v>
      </c>
      <c r="F89" s="84">
        <v>305.47339099999999</v>
      </c>
      <c r="G89" s="84">
        <v>671.6</v>
      </c>
      <c r="H89" s="9">
        <f t="shared" si="6"/>
        <v>4.254188718693061E-2</v>
      </c>
      <c r="I89" s="9">
        <f t="shared" si="6"/>
        <v>3.7018369842397432E-2</v>
      </c>
    </row>
    <row r="90" spans="1:9" ht="15.75">
      <c r="A90" s="103"/>
      <c r="B90" s="3" t="s">
        <v>119</v>
      </c>
      <c r="C90" s="33" t="s">
        <v>118</v>
      </c>
      <c r="D90" s="18"/>
      <c r="E90" s="19" t="s">
        <v>409</v>
      </c>
      <c r="F90" s="84">
        <f>1397.540763825+149.6242529</f>
        <v>1547.165016725</v>
      </c>
      <c r="G90" s="84">
        <v>3072.57</v>
      </c>
      <c r="H90" s="9">
        <f t="shared" si="6"/>
        <v>0.21546662177551354</v>
      </c>
      <c r="I90" s="9">
        <f t="shared" si="6"/>
        <v>0.16935904202896826</v>
      </c>
    </row>
    <row r="91" spans="1:9" ht="15.75">
      <c r="A91" s="103"/>
      <c r="B91" s="3" t="s">
        <v>120</v>
      </c>
      <c r="C91" s="33" t="s">
        <v>123</v>
      </c>
      <c r="D91" s="18"/>
      <c r="E91" s="19" t="s">
        <v>410</v>
      </c>
      <c r="F91" s="84">
        <v>916.42017299999998</v>
      </c>
      <c r="G91" s="84">
        <f>2014.8+470.12</f>
        <v>2484.92</v>
      </c>
      <c r="H91" s="9">
        <f t="shared" si="6"/>
        <v>0.12762566156079183</v>
      </c>
      <c r="I91" s="9">
        <f t="shared" si="6"/>
        <v>0.13696796841687051</v>
      </c>
    </row>
    <row r="92" spans="1:9">
      <c r="A92" s="103"/>
      <c r="B92" s="3" t="s">
        <v>121</v>
      </c>
      <c r="C92" s="33" t="s">
        <v>119</v>
      </c>
      <c r="D92" s="18"/>
      <c r="E92" s="19" t="s">
        <v>411</v>
      </c>
      <c r="H92" s="9">
        <f t="shared" si="6"/>
        <v>0</v>
      </c>
      <c r="I92" s="9">
        <f t="shared" si="6"/>
        <v>0</v>
      </c>
    </row>
    <row r="93" spans="1:9" ht="15.75">
      <c r="A93" s="103"/>
      <c r="B93" s="3" t="s">
        <v>122</v>
      </c>
      <c r="C93" s="33" t="s">
        <v>129</v>
      </c>
      <c r="D93" s="18"/>
      <c r="E93" s="19" t="s">
        <v>412</v>
      </c>
      <c r="F93" s="84">
        <v>149.62425289999999</v>
      </c>
      <c r="G93" s="84">
        <v>470.12</v>
      </c>
      <c r="H93" s="9">
        <f t="shared" si="6"/>
        <v>2.0837487895305994E-2</v>
      </c>
      <c r="I93" s="9">
        <f t="shared" si="6"/>
        <v>2.5912858889678203E-2</v>
      </c>
    </row>
    <row r="94" spans="1:9">
      <c r="A94" s="103"/>
      <c r="B94" s="3" t="s">
        <v>123</v>
      </c>
      <c r="C94" s="33" t="s">
        <v>124</v>
      </c>
      <c r="D94" s="18"/>
      <c r="E94" s="19" t="s">
        <v>413</v>
      </c>
      <c r="H94" s="9">
        <f t="shared" si="6"/>
        <v>0</v>
      </c>
      <c r="I94" s="9">
        <f t="shared" si="6"/>
        <v>0</v>
      </c>
    </row>
    <row r="95" spans="1:9" ht="15.75">
      <c r="A95" s="103"/>
      <c r="B95" s="3" t="s">
        <v>124</v>
      </c>
      <c r="C95" s="33" t="s">
        <v>126</v>
      </c>
      <c r="D95" s="18"/>
      <c r="E95" s="19" t="s">
        <v>414</v>
      </c>
      <c r="F95" s="84">
        <f>173.94938225+149.6242529+169.1404598</f>
        <v>492.71409495</v>
      </c>
      <c r="G95" s="84">
        <f>474.5+470.12+531.44</f>
        <v>1476.06</v>
      </c>
      <c r="H95" s="9">
        <f t="shared" si="6"/>
        <v>6.8618046809758027E-2</v>
      </c>
      <c r="I95" s="9">
        <f t="shared" si="6"/>
        <v>8.1359938936225659E-2</v>
      </c>
    </row>
    <row r="96" spans="1:9" ht="15.75">
      <c r="A96" s="103"/>
      <c r="B96" s="3" t="s">
        <v>125</v>
      </c>
      <c r="C96" s="33" t="s">
        <v>127</v>
      </c>
      <c r="D96" s="18"/>
      <c r="E96" s="19" t="s">
        <v>415</v>
      </c>
      <c r="F96" s="84">
        <f>195.81260923+656.7677907</f>
        <v>852.58039993</v>
      </c>
      <c r="G96" s="84">
        <f>615.244+1443.94</f>
        <v>2059.1840000000002</v>
      </c>
      <c r="H96" s="45">
        <f t="shared" si="6"/>
        <v>0.11873498726967759</v>
      </c>
      <c r="I96" s="45">
        <f t="shared" si="6"/>
        <v>0.11350154092547247</v>
      </c>
    </row>
    <row r="97" spans="1:9" ht="15.75">
      <c r="A97" s="103"/>
      <c r="B97" s="3" t="s">
        <v>126</v>
      </c>
      <c r="C97" s="33" t="s">
        <v>121</v>
      </c>
      <c r="D97" s="18"/>
      <c r="E97" s="19" t="s">
        <v>416</v>
      </c>
      <c r="F97" s="84">
        <v>263.46879315000001</v>
      </c>
      <c r="G97" s="84">
        <v>827.82</v>
      </c>
      <c r="H97" s="9">
        <f t="shared" si="6"/>
        <v>3.669209825043012E-2</v>
      </c>
      <c r="I97" s="9">
        <f t="shared" si="6"/>
        <v>4.5629164566607268E-2</v>
      </c>
    </row>
    <row r="98" spans="1:9" ht="15.75">
      <c r="A98" s="103"/>
      <c r="B98" s="3" t="s">
        <v>127</v>
      </c>
      <c r="C98" s="33" t="s">
        <v>125</v>
      </c>
      <c r="D98" s="18"/>
      <c r="E98" s="19" t="s">
        <v>417</v>
      </c>
      <c r="F98" s="84">
        <f>149.6242529+188.6566667+149.6242529</f>
        <v>487.90517249999994</v>
      </c>
      <c r="G98" s="84">
        <f>470.12+986.76+470.12</f>
        <v>1927</v>
      </c>
      <c r="H98" s="9">
        <f t="shared" si="6"/>
        <v>6.7948330093389103E-2</v>
      </c>
      <c r="I98" s="9">
        <f t="shared" si="6"/>
        <v>0.1062156025704286</v>
      </c>
    </row>
    <row r="99" spans="1:9" ht="15.75">
      <c r="A99" s="103"/>
      <c r="B99" s="3" t="s">
        <v>128</v>
      </c>
      <c r="C99" s="33" t="s">
        <v>122</v>
      </c>
      <c r="D99" s="18"/>
      <c r="E99" s="19" t="s">
        <v>418</v>
      </c>
      <c r="F99" s="84">
        <v>870.59916435000002</v>
      </c>
      <c r="G99" s="84">
        <v>1914.06</v>
      </c>
      <c r="H99" s="9">
        <f t="shared" si="6"/>
        <v>0.12124437848275224</v>
      </c>
      <c r="I99" s="9">
        <f t="shared" si="6"/>
        <v>0.10550235405083268</v>
      </c>
    </row>
    <row r="100" spans="1:9">
      <c r="A100" s="103"/>
      <c r="B100" s="3" t="s">
        <v>129</v>
      </c>
      <c r="C100" s="33" t="s">
        <v>419</v>
      </c>
      <c r="D100" s="18"/>
      <c r="E100" s="19" t="s">
        <v>420</v>
      </c>
      <c r="H100" s="9">
        <f t="shared" si="6"/>
        <v>0</v>
      </c>
      <c r="I100" s="9">
        <f t="shared" si="6"/>
        <v>0</v>
      </c>
    </row>
    <row r="101" spans="1:9" ht="15.75">
      <c r="A101" s="103"/>
      <c r="B101" s="3" t="s">
        <v>130</v>
      </c>
      <c r="C101" s="33" t="s">
        <v>130</v>
      </c>
      <c r="D101" s="18"/>
      <c r="E101" s="19" t="s">
        <v>421</v>
      </c>
      <c r="F101" s="84">
        <f>149.6242529+117.0972414</f>
        <v>266.72149430000002</v>
      </c>
      <c r="G101" s="84">
        <f>470.12+367.92</f>
        <v>838.04</v>
      </c>
      <c r="H101" s="9">
        <f t="shared" si="6"/>
        <v>3.7145087117719383E-2</v>
      </c>
      <c r="I101" s="9">
        <f t="shared" si="6"/>
        <v>4.6192487585948093E-2</v>
      </c>
    </row>
    <row r="102" spans="1:9">
      <c r="A102" s="103"/>
      <c r="C102" s="33" t="s">
        <v>116</v>
      </c>
      <c r="D102" s="18"/>
      <c r="E102" s="19" t="s">
        <v>422</v>
      </c>
      <c r="H102" s="9">
        <f t="shared" si="6"/>
        <v>0</v>
      </c>
      <c r="I102" s="9">
        <f t="shared" si="6"/>
        <v>0</v>
      </c>
    </row>
    <row r="103" spans="1:9">
      <c r="A103" s="103"/>
      <c r="C103" s="33" t="s">
        <v>423</v>
      </c>
      <c r="D103" s="18"/>
      <c r="E103" s="19" t="s">
        <v>424</v>
      </c>
      <c r="H103" s="9">
        <f t="shared" si="6"/>
        <v>0</v>
      </c>
      <c r="I103" s="9">
        <f t="shared" si="6"/>
        <v>0</v>
      </c>
    </row>
    <row r="104" spans="1:9">
      <c r="A104" s="103"/>
      <c r="C104" s="33" t="s">
        <v>425</v>
      </c>
      <c r="D104" s="18"/>
      <c r="E104" s="19" t="s">
        <v>426</v>
      </c>
      <c r="H104" s="9">
        <f t="shared" si="6"/>
        <v>0</v>
      </c>
      <c r="I104" s="9">
        <f t="shared" si="6"/>
        <v>0</v>
      </c>
    </row>
    <row r="105" spans="1:9" ht="15.75">
      <c r="A105" s="103"/>
      <c r="C105" s="33" t="s">
        <v>427</v>
      </c>
      <c r="D105" s="18"/>
      <c r="E105" s="19" t="s">
        <v>428</v>
      </c>
      <c r="F105" s="84">
        <v>149.62425289999999</v>
      </c>
      <c r="G105" s="84">
        <v>470.12</v>
      </c>
      <c r="H105" s="9">
        <f t="shared" si="6"/>
        <v>2.0837487895305994E-2</v>
      </c>
      <c r="I105" s="9">
        <f t="shared" si="6"/>
        <v>2.5912858889678203E-2</v>
      </c>
    </row>
    <row r="106" spans="1:9" ht="15.75">
      <c r="A106" s="103" t="s">
        <v>11</v>
      </c>
      <c r="B106" s="3" t="s">
        <v>131</v>
      </c>
      <c r="C106" s="33" t="s">
        <v>132</v>
      </c>
      <c r="D106" s="18"/>
      <c r="E106" s="19" t="s">
        <v>429</v>
      </c>
      <c r="F106" s="84">
        <v>32.5270115</v>
      </c>
      <c r="G106" s="84">
        <v>102.2</v>
      </c>
      <c r="H106" s="9">
        <f>F106/SUM(F$106:F$132)</f>
        <v>3.4914912914666366E-3</v>
      </c>
      <c r="I106" s="9">
        <f>G106/SUM(G$106:G$132)</f>
        <v>4.2742422195968877E-3</v>
      </c>
    </row>
    <row r="107" spans="1:9">
      <c r="A107" s="103"/>
      <c r="B107" s="3" t="s">
        <v>132</v>
      </c>
      <c r="C107" s="33" t="s">
        <v>143</v>
      </c>
      <c r="D107" s="18"/>
      <c r="E107" s="19" t="s">
        <v>430</v>
      </c>
      <c r="H107" s="9">
        <f t="shared" ref="H107:I132" si="7">F107/SUM(F$106:F$132)</f>
        <v>0</v>
      </c>
      <c r="I107" s="9">
        <f t="shared" si="7"/>
        <v>0</v>
      </c>
    </row>
    <row r="108" spans="1:9" ht="15.75">
      <c r="A108" s="103"/>
      <c r="B108" s="3" t="s">
        <v>133</v>
      </c>
      <c r="C108" s="33" t="s">
        <v>141</v>
      </c>
      <c r="D108" s="18"/>
      <c r="E108" s="19" t="s">
        <v>431</v>
      </c>
      <c r="F108" s="84">
        <f>149.6242529+78.0648276</f>
        <v>227.68908049999999</v>
      </c>
      <c r="G108" s="84">
        <f>470.12+245.28</f>
        <v>715.4</v>
      </c>
      <c r="H108" s="9">
        <f t="shared" si="7"/>
        <v>2.4440439040266455E-2</v>
      </c>
      <c r="I108" s="9">
        <f t="shared" si="7"/>
        <v>2.9919695537178208E-2</v>
      </c>
    </row>
    <row r="109" spans="1:9">
      <c r="A109" s="103"/>
      <c r="B109" s="3" t="s">
        <v>134</v>
      </c>
      <c r="C109" s="33" t="s">
        <v>138</v>
      </c>
      <c r="D109" s="18"/>
      <c r="E109" s="19" t="s">
        <v>432</v>
      </c>
      <c r="H109" s="9">
        <f t="shared" si="7"/>
        <v>0</v>
      </c>
      <c r="I109" s="9">
        <f t="shared" si="7"/>
        <v>0</v>
      </c>
    </row>
    <row r="110" spans="1:9" ht="15.75">
      <c r="A110" s="103"/>
      <c r="B110" s="3" t="s">
        <v>135</v>
      </c>
      <c r="C110" s="34" t="s">
        <v>145</v>
      </c>
      <c r="D110" s="19"/>
      <c r="E110" s="22" t="s">
        <v>433</v>
      </c>
      <c r="F110" s="90"/>
      <c r="G110" s="90"/>
      <c r="H110" s="9">
        <f t="shared" si="7"/>
        <v>0</v>
      </c>
      <c r="I110" s="9">
        <f t="shared" si="7"/>
        <v>0</v>
      </c>
    </row>
    <row r="111" spans="1:9" ht="15.75">
      <c r="A111" s="103"/>
      <c r="B111" s="3" t="s">
        <v>136</v>
      </c>
      <c r="C111" s="34" t="s">
        <v>137</v>
      </c>
      <c r="D111" s="35"/>
      <c r="E111" s="22" t="s">
        <v>434</v>
      </c>
      <c r="F111" s="84">
        <f>32.5270115+279.7322989</f>
        <v>312.2593104</v>
      </c>
      <c r="G111" s="84">
        <f>102.2+878.92</f>
        <v>981.12</v>
      </c>
      <c r="H111" s="9">
        <f t="shared" si="7"/>
        <v>3.3518316398079714E-2</v>
      </c>
      <c r="I111" s="9">
        <f t="shared" si="7"/>
        <v>4.1032725308130118E-2</v>
      </c>
    </row>
    <row r="112" spans="1:9" ht="15.75">
      <c r="A112" s="103"/>
      <c r="B112" s="3" t="s">
        <v>137</v>
      </c>
      <c r="C112" s="33" t="s">
        <v>134</v>
      </c>
      <c r="D112" s="36"/>
      <c r="E112" s="19" t="s">
        <v>435</v>
      </c>
      <c r="F112" s="90">
        <f>1264.3189375+916.420173+204.2696322</f>
        <v>2385.0087426999999</v>
      </c>
      <c r="G112" s="90">
        <f>2963.8+2014.8+641.816</f>
        <v>5620.4160000000002</v>
      </c>
      <c r="H112" s="45">
        <f t="shared" si="7"/>
        <v>0.25600990903233894</v>
      </c>
      <c r="I112" s="45">
        <f t="shared" si="7"/>
        <v>0.23505889783657397</v>
      </c>
    </row>
    <row r="113" spans="1:13" ht="15.75">
      <c r="A113" s="103"/>
      <c r="B113" s="3" t="s">
        <v>138</v>
      </c>
      <c r="C113" s="33" t="s">
        <v>151</v>
      </c>
      <c r="D113" s="18"/>
      <c r="E113" s="19" t="s">
        <v>436</v>
      </c>
      <c r="F113" s="91">
        <f>149.6242529+913.3077304</f>
        <v>1062.9319833</v>
      </c>
      <c r="G113" s="91">
        <f>470.12+2149.12</f>
        <v>2619.2399999999998</v>
      </c>
      <c r="H113" s="9">
        <f t="shared" si="7"/>
        <v>0.1140964875642913</v>
      </c>
      <c r="I113" s="9">
        <f t="shared" si="7"/>
        <v>0.10954272202795449</v>
      </c>
    </row>
    <row r="114" spans="1:13" ht="15.75">
      <c r="A114" s="103"/>
      <c r="B114" s="3" t="s">
        <v>139</v>
      </c>
      <c r="C114" s="33" t="s">
        <v>133</v>
      </c>
      <c r="D114" s="18"/>
      <c r="E114" s="19" t="s">
        <v>437</v>
      </c>
      <c r="F114" s="84">
        <v>885.87283390000005</v>
      </c>
      <c r="G114" s="84">
        <v>1947.64</v>
      </c>
      <c r="H114" s="9">
        <f t="shared" si="7"/>
        <v>9.5090730512045987E-2</v>
      </c>
      <c r="I114" s="9">
        <f t="shared" si="7"/>
        <v>8.145484458488926E-2</v>
      </c>
    </row>
    <row r="115" spans="1:13" ht="15.75">
      <c r="A115" s="103"/>
      <c r="B115" s="3" t="s">
        <v>140</v>
      </c>
      <c r="C115" s="33" t="s">
        <v>148</v>
      </c>
      <c r="D115" s="18"/>
      <c r="E115" s="19" t="s">
        <v>438</v>
      </c>
      <c r="F115" s="84">
        <f>149.6242529+442.3673564</f>
        <v>591.99160929999994</v>
      </c>
      <c r="G115" s="84">
        <f>470.12+1389.92</f>
        <v>1860.04</v>
      </c>
      <c r="H115" s="9">
        <f t="shared" si="7"/>
        <v>6.3545141504692787E-2</v>
      </c>
      <c r="I115" s="9">
        <f t="shared" si="7"/>
        <v>7.7791208396663342E-2</v>
      </c>
    </row>
    <row r="116" spans="1:13" ht="15.75">
      <c r="A116" s="103"/>
      <c r="B116" s="3" t="s">
        <v>141</v>
      </c>
      <c r="C116" s="33" t="s">
        <v>135</v>
      </c>
      <c r="D116" s="18"/>
      <c r="E116" s="19" t="s">
        <v>439</v>
      </c>
      <c r="F116" s="90">
        <v>1371.5178169000001</v>
      </c>
      <c r="G116" s="90">
        <v>3156.52</v>
      </c>
      <c r="H116" s="9">
        <f t="shared" si="7"/>
        <v>0.14722048823322376</v>
      </c>
      <c r="I116" s="9">
        <f t="shared" si="7"/>
        <v>0.13201302398240672</v>
      </c>
    </row>
    <row r="117" spans="1:13" ht="15.75">
      <c r="A117" s="103"/>
      <c r="B117" s="3" t="s">
        <v>142</v>
      </c>
      <c r="C117" s="33" t="s">
        <v>136</v>
      </c>
      <c r="D117" s="18"/>
      <c r="E117" s="19" t="s">
        <v>440</v>
      </c>
      <c r="F117" s="90"/>
      <c r="G117" s="90"/>
      <c r="H117" s="9">
        <f t="shared" si="7"/>
        <v>0</v>
      </c>
      <c r="I117" s="9">
        <f t="shared" si="7"/>
        <v>0</v>
      </c>
    </row>
    <row r="118" spans="1:13" ht="15.75">
      <c r="A118" s="103"/>
      <c r="B118" s="3" t="s">
        <v>143</v>
      </c>
      <c r="C118" s="33" t="s">
        <v>140</v>
      </c>
      <c r="D118" s="18"/>
      <c r="E118" s="19" t="s">
        <v>441</v>
      </c>
      <c r="F118" s="90"/>
      <c r="G118" s="90"/>
      <c r="H118" s="9">
        <f t="shared" si="7"/>
        <v>0</v>
      </c>
      <c r="I118" s="9">
        <f t="shared" si="7"/>
        <v>0</v>
      </c>
    </row>
    <row r="119" spans="1:13" ht="15.75">
      <c r="A119" s="103"/>
      <c r="B119" s="3" t="s">
        <v>144</v>
      </c>
      <c r="C119" s="33" t="s">
        <v>139</v>
      </c>
      <c r="D119" s="18"/>
      <c r="E119" s="19" t="s">
        <v>442</v>
      </c>
      <c r="F119" s="92">
        <v>0.14962425300000001</v>
      </c>
      <c r="G119" s="92">
        <v>0.47011999999999998</v>
      </c>
      <c r="H119" s="9">
        <f t="shared" si="7"/>
        <v>1.606085995148066E-5</v>
      </c>
      <c r="I119" s="9">
        <f t="shared" si="7"/>
        <v>1.9661514210145679E-5</v>
      </c>
    </row>
    <row r="120" spans="1:13" ht="15.75">
      <c r="A120" s="103"/>
      <c r="B120" s="3" t="s">
        <v>145</v>
      </c>
      <c r="C120" s="33" t="s">
        <v>142</v>
      </c>
      <c r="D120" s="18"/>
      <c r="E120" s="19" t="s">
        <v>443</v>
      </c>
      <c r="F120" s="90"/>
      <c r="G120" s="90"/>
      <c r="H120" s="9">
        <f t="shared" si="7"/>
        <v>0</v>
      </c>
      <c r="I120" s="9">
        <f t="shared" si="7"/>
        <v>0</v>
      </c>
    </row>
    <row r="121" spans="1:13" ht="15.75">
      <c r="A121" s="103"/>
      <c r="B121" s="3" t="s">
        <v>146</v>
      </c>
      <c r="C121" s="33" t="s">
        <v>144</v>
      </c>
      <c r="D121" s="18"/>
      <c r="E121" s="19" t="s">
        <v>444</v>
      </c>
      <c r="F121" s="84">
        <v>79.092736950000003</v>
      </c>
      <c r="G121" s="84">
        <v>394.565</v>
      </c>
      <c r="H121" s="45">
        <f t="shared" si="7"/>
        <v>8.4899162125357409E-3</v>
      </c>
      <c r="I121" s="45">
        <f t="shared" si="7"/>
        <v>1.650162799780084E-2</v>
      </c>
    </row>
    <row r="122" spans="1:13" ht="15.75">
      <c r="A122" s="103"/>
      <c r="B122" s="3" t="s">
        <v>147</v>
      </c>
      <c r="C122" s="33" t="s">
        <v>146</v>
      </c>
      <c r="D122" s="18"/>
      <c r="E122" s="19" t="s">
        <v>445</v>
      </c>
      <c r="F122" s="84">
        <f>123.7973274+149.6242529</f>
        <v>273.42158029999996</v>
      </c>
      <c r="G122" s="84">
        <f>617.58+470.12</f>
        <v>1087.7</v>
      </c>
      <c r="H122" s="9">
        <f t="shared" si="7"/>
        <v>2.9349424447324204E-2</v>
      </c>
      <c r="I122" s="9">
        <f t="shared" si="7"/>
        <v>4.5490149337138304E-2</v>
      </c>
      <c r="L122" s="84"/>
      <c r="M122" s="84"/>
    </row>
    <row r="123" spans="1:13" ht="15.75">
      <c r="A123" s="103"/>
      <c r="B123" s="3" t="s">
        <v>148</v>
      </c>
      <c r="C123" s="33" t="s">
        <v>147</v>
      </c>
      <c r="D123" s="18"/>
      <c r="E123" s="19" t="s">
        <v>446</v>
      </c>
      <c r="F123" s="84">
        <v>162.63505749999999</v>
      </c>
      <c r="G123" s="84">
        <v>511</v>
      </c>
      <c r="H123" s="9">
        <f t="shared" si="7"/>
        <v>1.7457456457333181E-2</v>
      </c>
      <c r="I123" s="9">
        <f t="shared" si="7"/>
        <v>2.1371211097984438E-2</v>
      </c>
      <c r="L123" s="84"/>
      <c r="M123" s="84"/>
    </row>
    <row r="124" spans="1:13" ht="15.75">
      <c r="A124" s="103"/>
      <c r="B124" s="3" t="s">
        <v>149</v>
      </c>
      <c r="C124" s="33" t="s">
        <v>150</v>
      </c>
      <c r="D124" s="18"/>
      <c r="E124" s="19" t="s">
        <v>447</v>
      </c>
      <c r="F124" s="84">
        <v>110.5918391</v>
      </c>
      <c r="G124" s="84">
        <v>347.48</v>
      </c>
      <c r="H124" s="9">
        <f t="shared" si="7"/>
        <v>1.1871070390986565E-2</v>
      </c>
      <c r="I124" s="9">
        <f t="shared" si="7"/>
        <v>1.4532423546629418E-2</v>
      </c>
      <c r="L124" s="84"/>
      <c r="M124" s="84"/>
    </row>
    <row r="125" spans="1:13">
      <c r="A125" s="103"/>
      <c r="B125" s="3" t="s">
        <v>150</v>
      </c>
      <c r="C125" s="33" t="s">
        <v>152</v>
      </c>
      <c r="D125" s="18"/>
      <c r="E125" s="19" t="s">
        <v>448</v>
      </c>
      <c r="F125" s="3">
        <f>1215.6686788+299.2485058+305.473391</f>
        <v>1820.3905755999999</v>
      </c>
      <c r="G125" s="3">
        <f>2955.04+940.24+671.6</f>
        <v>4566.88</v>
      </c>
      <c r="H125" s="9">
        <f t="shared" si="7"/>
        <v>0.19540306805546331</v>
      </c>
      <c r="I125" s="9">
        <f t="shared" si="7"/>
        <v>0.19099756661284376</v>
      </c>
    </row>
    <row r="126" spans="1:13">
      <c r="A126" s="103"/>
      <c r="B126" s="3" t="s">
        <v>151</v>
      </c>
      <c r="C126" s="33" t="s">
        <v>149</v>
      </c>
      <c r="D126" s="18"/>
      <c r="E126" s="19" t="s">
        <v>449</v>
      </c>
      <c r="H126" s="9">
        <f t="shared" si="7"/>
        <v>0</v>
      </c>
      <c r="I126" s="9">
        <f t="shared" si="7"/>
        <v>0</v>
      </c>
    </row>
    <row r="127" spans="1:13">
      <c r="A127" s="103"/>
      <c r="B127" s="3" t="s">
        <v>152</v>
      </c>
      <c r="C127" s="33" t="s">
        <v>131</v>
      </c>
      <c r="D127" s="18"/>
      <c r="E127" s="19" t="s">
        <v>450</v>
      </c>
      <c r="H127" s="9">
        <f t="shared" si="7"/>
        <v>0</v>
      </c>
      <c r="I127" s="9">
        <f t="shared" si="7"/>
        <v>0</v>
      </c>
    </row>
    <row r="128" spans="1:13">
      <c r="A128" s="103"/>
      <c r="C128" s="33" t="s">
        <v>451</v>
      </c>
      <c r="D128" s="18"/>
      <c r="E128" s="19" t="s">
        <v>452</v>
      </c>
      <c r="H128" s="9">
        <f t="shared" si="7"/>
        <v>0</v>
      </c>
      <c r="I128" s="9">
        <f t="shared" si="7"/>
        <v>0</v>
      </c>
    </row>
    <row r="129" spans="1:10">
      <c r="A129" s="103"/>
      <c r="C129" s="33" t="s">
        <v>453</v>
      </c>
      <c r="D129" s="18"/>
      <c r="E129" s="19" t="s">
        <v>454</v>
      </c>
      <c r="H129" s="9">
        <f t="shared" si="7"/>
        <v>0</v>
      </c>
      <c r="I129" s="9">
        <f t="shared" si="7"/>
        <v>0</v>
      </c>
    </row>
    <row r="130" spans="1:10">
      <c r="A130" s="103"/>
      <c r="C130" s="33" t="s">
        <v>455</v>
      </c>
      <c r="D130" s="18"/>
      <c r="E130" s="19" t="s">
        <v>456</v>
      </c>
      <c r="H130" s="9">
        <f t="shared" si="7"/>
        <v>0</v>
      </c>
      <c r="I130" s="9">
        <f t="shared" si="7"/>
        <v>0</v>
      </c>
    </row>
    <row r="131" spans="1:10">
      <c r="A131" s="103"/>
      <c r="C131" s="33" t="s">
        <v>457</v>
      </c>
      <c r="D131" s="18"/>
      <c r="E131" s="19" t="s">
        <v>458</v>
      </c>
      <c r="H131" s="9">
        <f t="shared" si="7"/>
        <v>0</v>
      </c>
      <c r="I131" s="9">
        <f t="shared" si="7"/>
        <v>0</v>
      </c>
    </row>
    <row r="132" spans="1:10">
      <c r="A132" s="103"/>
      <c r="C132" s="33" t="s">
        <v>459</v>
      </c>
      <c r="D132" s="18"/>
      <c r="E132" s="19" t="s">
        <v>460</v>
      </c>
      <c r="H132" s="9">
        <f t="shared" si="7"/>
        <v>0</v>
      </c>
      <c r="I132" s="9">
        <f t="shared" si="7"/>
        <v>0</v>
      </c>
    </row>
    <row r="133" spans="1:10">
      <c r="A133" s="103" t="s">
        <v>12</v>
      </c>
      <c r="B133" s="3" t="s">
        <v>153</v>
      </c>
      <c r="C133" s="22" t="s">
        <v>461</v>
      </c>
      <c r="D133" s="19"/>
      <c r="E133" s="22" t="s">
        <v>462</v>
      </c>
      <c r="H133" s="9">
        <f>F133/SUM(F$133:F$136)</f>
        <v>0</v>
      </c>
      <c r="I133" s="9">
        <f>G133/SUM(G$133:G$136)</f>
        <v>0</v>
      </c>
    </row>
    <row r="134" spans="1:10">
      <c r="A134" s="103"/>
      <c r="B134" s="3" t="s">
        <v>154</v>
      </c>
      <c r="C134" s="33" t="s">
        <v>154</v>
      </c>
      <c r="D134" s="18"/>
      <c r="E134" s="19" t="s">
        <v>463</v>
      </c>
      <c r="H134" s="9">
        <f>F134/SUM(F$133:F$136)</f>
        <v>0</v>
      </c>
      <c r="I134" s="9">
        <f t="shared" ref="I134:I136" si="8">G134/SUM(G$133:G$136)</f>
        <v>0</v>
      </c>
    </row>
    <row r="135" spans="1:10" ht="15.75">
      <c r="A135" s="103"/>
      <c r="C135" s="33" t="s">
        <v>464</v>
      </c>
      <c r="D135" s="18"/>
      <c r="E135" s="19" t="s">
        <v>465</v>
      </c>
      <c r="F135" s="84">
        <v>318.76471270000002</v>
      </c>
      <c r="G135" s="84">
        <v>1001.56</v>
      </c>
      <c r="H135" s="9">
        <f>F135/SUM(F$133:F$136)</f>
        <v>1</v>
      </c>
      <c r="I135" s="9">
        <f t="shared" si="8"/>
        <v>1</v>
      </c>
      <c r="J135" s="3" t="s">
        <v>153</v>
      </c>
    </row>
    <row r="136" spans="1:10" ht="15.75">
      <c r="A136" s="103"/>
      <c r="C136" s="33" t="s">
        <v>466</v>
      </c>
      <c r="D136" s="18"/>
      <c r="E136" s="19" t="s">
        <v>467</v>
      </c>
      <c r="F136" s="90"/>
      <c r="G136" s="90"/>
      <c r="H136" s="9">
        <f>F136/SUM(F$133:F$136)</f>
        <v>0</v>
      </c>
      <c r="I136" s="9">
        <f t="shared" si="8"/>
        <v>0</v>
      </c>
    </row>
    <row r="137" spans="1:10" ht="15.75">
      <c r="A137" s="103" t="s">
        <v>13</v>
      </c>
      <c r="B137" s="3" t="s">
        <v>155</v>
      </c>
      <c r="C137" s="33" t="s">
        <v>163</v>
      </c>
      <c r="D137" s="18"/>
      <c r="E137" s="19" t="s">
        <v>468</v>
      </c>
      <c r="F137" s="91">
        <f>916.420173+189.1348058</f>
        <v>1105.5549788000001</v>
      </c>
      <c r="G137" s="91">
        <f>2014.8+943.525</f>
        <v>2958.3249999999998</v>
      </c>
      <c r="H137" s="105">
        <f>F137/SUM(F$137:F$157)</f>
        <v>9.6234834266230612E-2</v>
      </c>
      <c r="I137" s="105">
        <f>G137/SUM(G$137:G$157)</f>
        <v>8.3373936343336646E-2</v>
      </c>
    </row>
    <row r="138" spans="1:10" ht="15.75">
      <c r="A138" s="103"/>
      <c r="B138" s="3" t="s">
        <v>156</v>
      </c>
      <c r="C138" s="33" t="s">
        <v>156</v>
      </c>
      <c r="D138" s="18"/>
      <c r="E138" s="19" t="s">
        <v>469</v>
      </c>
      <c r="F138" s="90"/>
      <c r="G138" s="90"/>
      <c r="H138" s="94">
        <f t="shared" ref="H138:I157" si="9">F138/SUM(F$137:F$157)</f>
        <v>0</v>
      </c>
      <c r="I138" s="94">
        <f t="shared" si="9"/>
        <v>0</v>
      </c>
    </row>
    <row r="139" spans="1:10" ht="15.75">
      <c r="A139" s="103"/>
      <c r="B139" s="3" t="s">
        <v>157</v>
      </c>
      <c r="C139" s="33" t="s">
        <v>167</v>
      </c>
      <c r="D139" s="18"/>
      <c r="E139" s="19" t="s">
        <v>470</v>
      </c>
      <c r="F139" s="91">
        <f>149.6242529+117.0972414+149.6242529</f>
        <v>416.34574720000001</v>
      </c>
      <c r="G139" s="91">
        <f>470.12+367.92+470.12</f>
        <v>1308.1599999999999</v>
      </c>
      <c r="H139" s="94">
        <f t="shared" si="9"/>
        <v>3.6241493862866722E-2</v>
      </c>
      <c r="I139" s="94">
        <f t="shared" si="9"/>
        <v>3.6867635762432883E-2</v>
      </c>
    </row>
    <row r="140" spans="1:10" ht="15.75">
      <c r="A140" s="103"/>
      <c r="B140" s="3" t="s">
        <v>158</v>
      </c>
      <c r="C140" s="33" t="s">
        <v>166</v>
      </c>
      <c r="D140" s="18"/>
      <c r="E140" s="19" t="s">
        <v>471</v>
      </c>
      <c r="F140" s="92">
        <f>149.6242529+137.552586+260.216092+367.55523</f>
        <v>914.94816089999995</v>
      </c>
      <c r="G140" s="92">
        <f>470.12+686.2+817.6+5801.32259</f>
        <v>7775.2425899999998</v>
      </c>
      <c r="H140" s="94">
        <f t="shared" si="9"/>
        <v>7.9643153271288042E-2</v>
      </c>
      <c r="I140" s="94">
        <f t="shared" si="9"/>
        <v>0.21912825019315321</v>
      </c>
    </row>
    <row r="141" spans="1:10" ht="15.75">
      <c r="A141" s="103"/>
      <c r="B141" s="3" t="s">
        <v>159</v>
      </c>
      <c r="C141" s="33" t="s">
        <v>175</v>
      </c>
      <c r="D141" s="18"/>
      <c r="E141" s="19" t="s">
        <v>472</v>
      </c>
      <c r="F141" s="91">
        <f>878.235999125+65.054023+878.2359991</f>
        <v>1821.526021225</v>
      </c>
      <c r="G141" s="91">
        <f>1930.85+204.4+1930.85</f>
        <v>4066.1</v>
      </c>
      <c r="H141" s="94">
        <f t="shared" si="9"/>
        <v>0.15855770009238579</v>
      </c>
      <c r="I141" s="94">
        <f t="shared" si="9"/>
        <v>0.11459415803390133</v>
      </c>
    </row>
    <row r="142" spans="1:10" ht="15.75">
      <c r="A142" s="103"/>
      <c r="B142" s="3" t="s">
        <v>160</v>
      </c>
      <c r="C142" s="33" t="s">
        <v>164</v>
      </c>
      <c r="D142" s="18"/>
      <c r="E142" s="19" t="s">
        <v>473</v>
      </c>
      <c r="F142" s="90"/>
      <c r="G142" s="90"/>
      <c r="H142" s="94">
        <f t="shared" si="9"/>
        <v>0</v>
      </c>
      <c r="I142" s="94">
        <f t="shared" si="9"/>
        <v>0</v>
      </c>
    </row>
    <row r="143" spans="1:10" ht="15.75">
      <c r="A143" s="103"/>
      <c r="B143" s="3" t="s">
        <v>161</v>
      </c>
      <c r="C143" s="33" t="s">
        <v>171</v>
      </c>
      <c r="D143" s="18"/>
      <c r="E143" s="19" t="s">
        <v>474</v>
      </c>
      <c r="F143" s="84">
        <f>149.6242529+763.6834775</f>
        <v>913.30773039999997</v>
      </c>
      <c r="G143" s="84">
        <f>470.12+1679</f>
        <v>2149.12</v>
      </c>
      <c r="H143" s="94">
        <f t="shared" si="9"/>
        <v>7.9500359325875999E-2</v>
      </c>
      <c r="I143" s="94">
        <f t="shared" si="9"/>
        <v>6.0568258752568313E-2</v>
      </c>
    </row>
    <row r="144" spans="1:10" ht="15.75">
      <c r="A144" s="103"/>
      <c r="B144" s="3" t="s">
        <v>162</v>
      </c>
      <c r="C144" s="33" t="s">
        <v>174</v>
      </c>
      <c r="D144" s="36"/>
      <c r="E144" s="19" t="s">
        <v>475</v>
      </c>
      <c r="F144" s="91">
        <f>878.235999125+149.6242529+149.6242529</f>
        <v>1177.4845049250002</v>
      </c>
      <c r="G144" s="91">
        <f>1930.85+470.12+470.12</f>
        <v>2871.0899999999997</v>
      </c>
      <c r="H144" s="94">
        <f t="shared" si="9"/>
        <v>0.10249605705317999</v>
      </c>
      <c r="I144" s="94">
        <f t="shared" si="9"/>
        <v>8.0915408177259229E-2</v>
      </c>
    </row>
    <row r="145" spans="1:12" ht="15.75">
      <c r="A145" s="103"/>
      <c r="B145" s="3" t="s">
        <v>163</v>
      </c>
      <c r="C145" s="33" t="s">
        <v>173</v>
      </c>
      <c r="D145" s="18"/>
      <c r="E145" s="19" t="s">
        <v>476</v>
      </c>
      <c r="F145" s="90"/>
      <c r="G145" s="90"/>
      <c r="H145" s="94">
        <f t="shared" si="9"/>
        <v>0</v>
      </c>
      <c r="I145" s="94">
        <f t="shared" si="9"/>
        <v>0</v>
      </c>
    </row>
    <row r="146" spans="1:12" ht="15.75">
      <c r="A146" s="103"/>
      <c r="B146" s="3" t="s">
        <v>164</v>
      </c>
      <c r="C146" s="33" t="s">
        <v>172</v>
      </c>
      <c r="D146" s="18"/>
      <c r="E146" s="19" t="s">
        <v>477</v>
      </c>
      <c r="F146" s="90"/>
      <c r="G146" s="90"/>
      <c r="H146" s="94">
        <f t="shared" si="9"/>
        <v>0</v>
      </c>
      <c r="I146" s="94">
        <f t="shared" si="9"/>
        <v>0</v>
      </c>
    </row>
    <row r="147" spans="1:12" ht="15.75">
      <c r="A147" s="103"/>
      <c r="B147" s="3" t="s">
        <v>165</v>
      </c>
      <c r="C147" s="33" t="s">
        <v>161</v>
      </c>
      <c r="D147" s="36"/>
      <c r="E147" s="19" t="s">
        <v>478</v>
      </c>
      <c r="F147" s="84">
        <v>149.62425289999999</v>
      </c>
      <c r="G147" s="84">
        <v>470.12</v>
      </c>
      <c r="H147" s="94">
        <f t="shared" si="9"/>
        <v>1.3024286856967727E-2</v>
      </c>
      <c r="I147" s="94">
        <f t="shared" si="9"/>
        <v>1.324930660212432E-2</v>
      </c>
    </row>
    <row r="148" spans="1:12" ht="15.75">
      <c r="A148" s="103"/>
      <c r="B148" s="3" t="s">
        <v>166</v>
      </c>
      <c r="C148" s="33" t="s">
        <v>162</v>
      </c>
      <c r="D148" s="18"/>
      <c r="E148" s="19" t="s">
        <v>479</v>
      </c>
      <c r="F148" s="90"/>
      <c r="G148" s="90"/>
      <c r="H148" s="94">
        <f t="shared" si="9"/>
        <v>0</v>
      </c>
      <c r="I148" s="94">
        <f t="shared" si="9"/>
        <v>0</v>
      </c>
    </row>
    <row r="149" spans="1:12" ht="29.25">
      <c r="A149" s="103"/>
      <c r="B149" s="3" t="s">
        <v>167</v>
      </c>
      <c r="C149" s="33" t="s">
        <v>158</v>
      </c>
      <c r="D149" s="18"/>
      <c r="E149" s="19" t="s">
        <v>480</v>
      </c>
      <c r="F149" s="90"/>
      <c r="G149" s="90"/>
      <c r="H149" s="94">
        <f t="shared" si="9"/>
        <v>0</v>
      </c>
      <c r="I149" s="94">
        <f t="shared" si="9"/>
        <v>0</v>
      </c>
      <c r="K149" s="93"/>
      <c r="L149" s="93"/>
    </row>
    <row r="150" spans="1:12" ht="15.75">
      <c r="A150" s="103"/>
      <c r="B150" s="3" t="s">
        <v>168</v>
      </c>
      <c r="C150" s="33" t="s">
        <v>159</v>
      </c>
      <c r="D150" s="18"/>
      <c r="E150" s="19" t="s">
        <v>481</v>
      </c>
      <c r="F150" s="91">
        <f>149.6242529+149.6242529+149.6242529+149.6242529</f>
        <v>598.49701159999995</v>
      </c>
      <c r="G150" s="91">
        <f>470.12+470.12+470.12+470.12</f>
        <v>1880.48</v>
      </c>
      <c r="H150" s="94">
        <f t="shared" si="9"/>
        <v>5.2097147427870909E-2</v>
      </c>
      <c r="I150" s="94">
        <f t="shared" si="9"/>
        <v>5.2997226408497279E-2</v>
      </c>
      <c r="K150" s="84"/>
      <c r="L150" s="84"/>
    </row>
    <row r="151" spans="1:12" ht="15.75">
      <c r="A151" s="103"/>
      <c r="B151" s="3" t="s">
        <v>169</v>
      </c>
      <c r="C151" s="33" t="s">
        <v>155</v>
      </c>
      <c r="D151" s="36"/>
      <c r="E151" s="19" t="s">
        <v>482</v>
      </c>
      <c r="F151" s="90">
        <f>1501.90638+149.6242529+396.8295403+153.5274943+149.6242529</f>
        <v>2351.5119204000002</v>
      </c>
      <c r="G151" s="90">
        <f>3854.4+470.12+1246.84+482.384+470.12</f>
        <v>6523.8640000000005</v>
      </c>
      <c r="H151" s="105">
        <f t="shared" si="9"/>
        <v>0.20469118612299961</v>
      </c>
      <c r="I151" s="105">
        <f t="shared" si="9"/>
        <v>0.18386087459916867</v>
      </c>
      <c r="K151" s="84"/>
      <c r="L151" s="84"/>
    </row>
    <row r="152" spans="1:12" ht="15.75">
      <c r="A152" s="103"/>
      <c r="B152" s="3" t="s">
        <v>170</v>
      </c>
      <c r="C152" s="33" t="s">
        <v>169</v>
      </c>
      <c r="D152" s="18"/>
      <c r="E152" s="19" t="s">
        <v>483</v>
      </c>
      <c r="F152" s="92">
        <f>840.0518253+149.6242529+149.6242529</f>
        <v>1139.3003311</v>
      </c>
      <c r="G152" s="92">
        <f>1846.9+470.12+470.12</f>
        <v>2787.14</v>
      </c>
      <c r="H152" s="94">
        <f t="shared" si="9"/>
        <v>9.9172253434086893E-2</v>
      </c>
      <c r="I152" s="94">
        <f t="shared" si="9"/>
        <v>7.8549460569737037E-2</v>
      </c>
    </row>
    <row r="153" spans="1:12" ht="15.75">
      <c r="A153" s="103"/>
      <c r="B153" s="3" t="s">
        <v>171</v>
      </c>
      <c r="C153" s="33" t="s">
        <v>170</v>
      </c>
      <c r="D153" s="18"/>
      <c r="E153" s="19" t="s">
        <v>484</v>
      </c>
      <c r="F153" s="84">
        <v>149.62425289999999</v>
      </c>
      <c r="G153" s="84">
        <v>470.12</v>
      </c>
      <c r="H153" s="94">
        <f t="shared" si="9"/>
        <v>1.3024286856967727E-2</v>
      </c>
      <c r="I153" s="94">
        <f t="shared" si="9"/>
        <v>1.324930660212432E-2</v>
      </c>
    </row>
    <row r="154" spans="1:12" ht="15.75">
      <c r="A154" s="103"/>
      <c r="B154" s="3" t="s">
        <v>172</v>
      </c>
      <c r="C154" s="33" t="s">
        <v>160</v>
      </c>
      <c r="D154" s="18"/>
      <c r="E154" s="19" t="s">
        <v>485</v>
      </c>
      <c r="F154" s="91">
        <f>183.2840346+247.2052874+20.6328879</f>
        <v>451.12220990000003</v>
      </c>
      <c r="G154" s="91">
        <f>402.96+776.72+102.93</f>
        <v>1282.6100000000001</v>
      </c>
      <c r="H154" s="94">
        <f t="shared" si="9"/>
        <v>3.9268667715344742E-2</v>
      </c>
      <c r="I154" s="94">
        <f t="shared" si="9"/>
        <v>3.6147564751447876E-2</v>
      </c>
    </row>
    <row r="155" spans="1:12" ht="15.75">
      <c r="A155" s="103"/>
      <c r="B155" s="3" t="s">
        <v>173</v>
      </c>
      <c r="C155" s="33" t="s">
        <v>157</v>
      </c>
      <c r="D155" s="18"/>
      <c r="E155" s="19" t="s">
        <v>486</v>
      </c>
      <c r="F155" s="84">
        <v>149.62425289999999</v>
      </c>
      <c r="G155" s="84">
        <v>470.12</v>
      </c>
      <c r="H155" s="94">
        <f t="shared" si="9"/>
        <v>1.3024286856967727E-2</v>
      </c>
      <c r="I155" s="94">
        <f t="shared" si="9"/>
        <v>1.324930660212432E-2</v>
      </c>
    </row>
    <row r="156" spans="1:12" ht="15.75">
      <c r="A156" s="103"/>
      <c r="B156" s="3" t="s">
        <v>174</v>
      </c>
      <c r="C156" s="33" t="s">
        <v>165</v>
      </c>
      <c r="D156" s="18"/>
      <c r="E156" s="19" t="s">
        <v>487</v>
      </c>
      <c r="F156" s="90"/>
      <c r="G156" s="90"/>
      <c r="H156" s="94">
        <f t="shared" si="9"/>
        <v>0</v>
      </c>
      <c r="I156" s="94">
        <f t="shared" si="9"/>
        <v>0</v>
      </c>
    </row>
    <row r="157" spans="1:12" ht="15.75">
      <c r="A157" s="103"/>
      <c r="B157" s="3" t="s">
        <v>175</v>
      </c>
      <c r="C157" s="33" t="s">
        <v>168</v>
      </c>
      <c r="D157" s="18"/>
      <c r="E157" s="19" t="s">
        <v>488</v>
      </c>
      <c r="F157" s="84">
        <v>149.62425289999999</v>
      </c>
      <c r="G157" s="84">
        <v>470.12</v>
      </c>
      <c r="H157" s="94">
        <f t="shared" si="9"/>
        <v>1.3024286856967727E-2</v>
      </c>
      <c r="I157" s="94">
        <f t="shared" si="9"/>
        <v>1.324930660212432E-2</v>
      </c>
    </row>
    <row r="158" spans="1:12">
      <c r="A158" s="29" t="s">
        <v>625</v>
      </c>
      <c r="C158" s="33" t="s">
        <v>489</v>
      </c>
      <c r="D158" s="18"/>
      <c r="E158" s="19" t="s">
        <v>490</v>
      </c>
    </row>
    <row r="159" spans="1:12">
      <c r="A159" s="29" t="s">
        <v>14</v>
      </c>
      <c r="B159" s="3" t="s">
        <v>176</v>
      </c>
      <c r="C159" s="33" t="s">
        <v>176</v>
      </c>
      <c r="D159" s="18"/>
      <c r="E159" s="19" t="s">
        <v>491</v>
      </c>
    </row>
    <row r="160" spans="1:12">
      <c r="A160" s="103" t="s">
        <v>624</v>
      </c>
      <c r="B160" s="4" t="s">
        <v>492</v>
      </c>
      <c r="C160" s="33" t="s">
        <v>492</v>
      </c>
      <c r="D160" s="18"/>
      <c r="E160" s="19" t="s">
        <v>493</v>
      </c>
      <c r="H160" s="9">
        <f>F160/SUM(F$160:F$161)</f>
        <v>0</v>
      </c>
      <c r="I160" s="9">
        <f>G160/SUM(G$160:G$161)</f>
        <v>0</v>
      </c>
    </row>
    <row r="161" spans="1:9">
      <c r="A161" s="103"/>
      <c r="B161" s="4" t="s">
        <v>494</v>
      </c>
      <c r="C161" s="33" t="s">
        <v>494</v>
      </c>
      <c r="D161" s="18"/>
      <c r="E161" s="19" t="s">
        <v>495</v>
      </c>
      <c r="F161" s="3">
        <v>299.24850579999998</v>
      </c>
      <c r="G161" s="3">
        <v>1632.2399999999998</v>
      </c>
      <c r="H161" s="9">
        <f>F161/SUM(F$160:F$161)</f>
        <v>1</v>
      </c>
      <c r="I161" s="9">
        <f>G161/SUM(G$160:G$161)</f>
        <v>1</v>
      </c>
    </row>
    <row r="162" spans="1:9">
      <c r="A162" s="29" t="s">
        <v>15</v>
      </c>
      <c r="B162" s="3" t="s">
        <v>177</v>
      </c>
      <c r="C162" s="33" t="s">
        <v>177</v>
      </c>
      <c r="D162" s="18"/>
      <c r="E162" s="19" t="s">
        <v>15</v>
      </c>
      <c r="F162" s="3">
        <v>1832.840346</v>
      </c>
      <c r="G162" s="3">
        <v>4029.6</v>
      </c>
      <c r="H162" s="9">
        <v>1</v>
      </c>
      <c r="I162" s="9">
        <v>1</v>
      </c>
    </row>
    <row r="163" spans="1:9">
      <c r="A163" s="103" t="s">
        <v>16</v>
      </c>
      <c r="B163" s="3" t="s">
        <v>178</v>
      </c>
      <c r="C163" s="33" t="s">
        <v>182</v>
      </c>
      <c r="D163" s="18"/>
      <c r="E163" s="19" t="s">
        <v>496</v>
      </c>
      <c r="H163" s="9">
        <f t="shared" ref="H163:I169" si="10">F163/SUM(F$163:F$170)</f>
        <v>0</v>
      </c>
      <c r="I163" s="9">
        <f t="shared" si="10"/>
        <v>0</v>
      </c>
    </row>
    <row r="164" spans="1:9">
      <c r="A164" s="103"/>
      <c r="B164" s="3" t="s">
        <v>179</v>
      </c>
      <c r="C164" s="33" t="s">
        <v>181</v>
      </c>
      <c r="D164" s="18"/>
      <c r="E164" s="19" t="s">
        <v>497</v>
      </c>
      <c r="H164" s="9">
        <f t="shared" si="10"/>
        <v>0</v>
      </c>
      <c r="I164" s="9">
        <f t="shared" si="10"/>
        <v>0</v>
      </c>
    </row>
    <row r="165" spans="1:9">
      <c r="A165" s="103"/>
      <c r="B165" s="3" t="s">
        <v>180</v>
      </c>
      <c r="C165" s="33" t="s">
        <v>180</v>
      </c>
      <c r="D165" s="18"/>
      <c r="E165" s="19" t="s">
        <v>498</v>
      </c>
      <c r="H165" s="9">
        <f t="shared" si="10"/>
        <v>0</v>
      </c>
      <c r="I165" s="9">
        <f t="shared" si="10"/>
        <v>0</v>
      </c>
    </row>
    <row r="166" spans="1:9">
      <c r="A166" s="103"/>
      <c r="B166" s="3" t="s">
        <v>181</v>
      </c>
      <c r="C166" s="33" t="s">
        <v>179</v>
      </c>
      <c r="D166" s="18"/>
      <c r="E166" s="19" t="s">
        <v>499</v>
      </c>
      <c r="H166" s="9">
        <f t="shared" si="10"/>
        <v>0</v>
      </c>
      <c r="I166" s="9">
        <f t="shared" si="10"/>
        <v>0</v>
      </c>
    </row>
    <row r="167" spans="1:9">
      <c r="A167" s="103"/>
      <c r="B167" s="3" t="s">
        <v>182</v>
      </c>
      <c r="C167" s="33" t="s">
        <v>184</v>
      </c>
      <c r="D167" s="18"/>
      <c r="E167" s="19" t="s">
        <v>500</v>
      </c>
      <c r="H167" s="9">
        <f t="shared" si="10"/>
        <v>0</v>
      </c>
      <c r="I167" s="9">
        <f t="shared" si="10"/>
        <v>0</v>
      </c>
    </row>
    <row r="168" spans="1:9">
      <c r="A168" s="103"/>
      <c r="B168" s="3" t="s">
        <v>183</v>
      </c>
      <c r="C168" s="33" t="s">
        <v>183</v>
      </c>
      <c r="D168" s="36"/>
      <c r="E168" s="19" t="s">
        <v>501</v>
      </c>
      <c r="H168" s="9">
        <f t="shared" si="10"/>
        <v>0</v>
      </c>
      <c r="I168" s="9">
        <f t="shared" si="10"/>
        <v>0</v>
      </c>
    </row>
    <row r="169" spans="1:9">
      <c r="A169" s="103"/>
      <c r="B169" s="3" t="s">
        <v>184</v>
      </c>
      <c r="C169" s="33" t="s">
        <v>178</v>
      </c>
      <c r="D169" s="18"/>
      <c r="E169" s="19" t="s">
        <v>502</v>
      </c>
      <c r="H169" s="9">
        <f t="shared" si="10"/>
        <v>0</v>
      </c>
      <c r="I169" s="9">
        <f t="shared" si="10"/>
        <v>0</v>
      </c>
    </row>
    <row r="170" spans="1:9" ht="15.75">
      <c r="A170" s="103"/>
      <c r="B170" s="3" t="s">
        <v>185</v>
      </c>
      <c r="C170" s="33" t="s">
        <v>185</v>
      </c>
      <c r="D170" s="18"/>
      <c r="E170" s="19" t="s">
        <v>503</v>
      </c>
      <c r="F170" s="84">
        <f>878.235999125+149.6242529</f>
        <v>1027.8602520250001</v>
      </c>
      <c r="G170" s="84">
        <f>1930.85+470.12</f>
        <v>2400.9699999999998</v>
      </c>
      <c r="H170" s="9">
        <f>F170/SUM(F$163:F$170)</f>
        <v>1</v>
      </c>
      <c r="I170" s="9">
        <f>G170/SUM(G$163:G$170)</f>
        <v>1</v>
      </c>
    </row>
    <row r="171" spans="1:9">
      <c r="A171" s="29" t="s">
        <v>505</v>
      </c>
      <c r="C171" s="33" t="s">
        <v>504</v>
      </c>
      <c r="D171" s="18"/>
      <c r="E171" s="19" t="s">
        <v>505</v>
      </c>
    </row>
    <row r="172" spans="1:9">
      <c r="A172" s="103" t="s">
        <v>17</v>
      </c>
      <c r="B172" s="3" t="s">
        <v>186</v>
      </c>
      <c r="C172" s="33" t="s">
        <v>193</v>
      </c>
      <c r="D172" s="18"/>
      <c r="E172" s="19" t="s">
        <v>506</v>
      </c>
      <c r="H172" s="9">
        <f>F172/SUM(F$172:F$183)</f>
        <v>0</v>
      </c>
      <c r="I172" s="9">
        <f>G172/SUM(G$172:G$183)</f>
        <v>0</v>
      </c>
    </row>
    <row r="173" spans="1:9">
      <c r="A173" s="103"/>
      <c r="B173" s="3" t="s">
        <v>187</v>
      </c>
      <c r="C173" s="33" t="s">
        <v>195</v>
      </c>
      <c r="D173" s="18"/>
      <c r="E173" s="19" t="s">
        <v>507</v>
      </c>
      <c r="H173" s="9">
        <f t="shared" ref="H173:I183" si="11">F173/SUM(F$172:F$183)</f>
        <v>0</v>
      </c>
      <c r="I173" s="9">
        <f t="shared" si="11"/>
        <v>0</v>
      </c>
    </row>
    <row r="174" spans="1:9">
      <c r="A174" s="103"/>
      <c r="B174" s="3" t="s">
        <v>188</v>
      </c>
      <c r="C174" s="33" t="s">
        <v>197</v>
      </c>
      <c r="D174" s="18"/>
      <c r="E174" s="19" t="s">
        <v>508</v>
      </c>
      <c r="H174" s="9">
        <f t="shared" si="11"/>
        <v>0</v>
      </c>
      <c r="I174" s="9">
        <f t="shared" si="11"/>
        <v>0</v>
      </c>
    </row>
    <row r="175" spans="1:9">
      <c r="A175" s="103"/>
      <c r="B175" s="3" t="s">
        <v>189</v>
      </c>
      <c r="C175" s="33" t="s">
        <v>188</v>
      </c>
      <c r="D175" s="18"/>
      <c r="E175" s="19" t="s">
        <v>509</v>
      </c>
      <c r="H175" s="9">
        <f t="shared" si="11"/>
        <v>0</v>
      </c>
      <c r="I175" s="9">
        <f t="shared" si="11"/>
        <v>0</v>
      </c>
    </row>
    <row r="176" spans="1:9" ht="15.75">
      <c r="A176" s="103"/>
      <c r="B176" s="3" t="s">
        <v>190</v>
      </c>
      <c r="C176" s="33" t="s">
        <v>194</v>
      </c>
      <c r="D176" s="18"/>
      <c r="E176" s="19" t="s">
        <v>510</v>
      </c>
      <c r="F176" s="84">
        <v>824.77815569999996</v>
      </c>
      <c r="G176" s="84">
        <v>1813.32</v>
      </c>
      <c r="H176" s="9">
        <f t="shared" si="11"/>
        <v>0.3849091844654412</v>
      </c>
      <c r="I176" s="9">
        <f t="shared" si="11"/>
        <v>3.1663579168521279E-3</v>
      </c>
    </row>
    <row r="177" spans="1:9">
      <c r="A177" s="103"/>
      <c r="B177" s="3" t="s">
        <v>191</v>
      </c>
      <c r="C177" s="33" t="s">
        <v>196</v>
      </c>
      <c r="D177" s="18"/>
      <c r="E177" s="19" t="s">
        <v>511</v>
      </c>
      <c r="H177" s="9">
        <f t="shared" si="11"/>
        <v>0</v>
      </c>
      <c r="I177" s="9">
        <f t="shared" si="11"/>
        <v>0</v>
      </c>
    </row>
    <row r="178" spans="1:9">
      <c r="A178" s="103"/>
      <c r="B178" s="3" t="s">
        <v>192</v>
      </c>
      <c r="C178" s="33" t="s">
        <v>190</v>
      </c>
      <c r="D178" s="18"/>
      <c r="E178" s="19" t="s">
        <v>512</v>
      </c>
      <c r="H178" s="9">
        <f t="shared" si="11"/>
        <v>0</v>
      </c>
      <c r="I178" s="9">
        <f t="shared" si="11"/>
        <v>0</v>
      </c>
    </row>
    <row r="179" spans="1:9">
      <c r="A179" s="103"/>
      <c r="B179" s="3" t="s">
        <v>193</v>
      </c>
      <c r="C179" s="33" t="s">
        <v>189</v>
      </c>
      <c r="D179" s="18"/>
      <c r="E179" s="19" t="s">
        <v>513</v>
      </c>
      <c r="H179" s="9">
        <f t="shared" si="11"/>
        <v>0</v>
      </c>
      <c r="I179" s="9">
        <f t="shared" si="11"/>
        <v>0</v>
      </c>
    </row>
    <row r="180" spans="1:9" ht="15.75">
      <c r="A180" s="103"/>
      <c r="B180" s="3" t="s">
        <v>194</v>
      </c>
      <c r="C180" s="33" t="s">
        <v>186</v>
      </c>
      <c r="D180" s="18"/>
      <c r="E180" s="19" t="s">
        <v>514</v>
      </c>
      <c r="F180" s="84">
        <f>423.87905885+149.6242529</f>
        <v>573.50331174999997</v>
      </c>
      <c r="G180" s="84">
        <f>1477.885+470.12</f>
        <v>1948.0050000000001</v>
      </c>
      <c r="H180" s="9">
        <f t="shared" si="11"/>
        <v>0.26764371787534985</v>
      </c>
      <c r="I180" s="9">
        <f t="shared" si="11"/>
        <v>3.4015402983574492E-3</v>
      </c>
    </row>
    <row r="181" spans="1:9">
      <c r="A181" s="103"/>
      <c r="B181" s="3" t="s">
        <v>195</v>
      </c>
      <c r="C181" s="33" t="s">
        <v>187</v>
      </c>
      <c r="D181" s="36"/>
      <c r="E181" s="19" t="s">
        <v>515</v>
      </c>
      <c r="H181" s="9">
        <f t="shared" si="11"/>
        <v>0</v>
      </c>
      <c r="I181" s="9">
        <f t="shared" si="11"/>
        <v>0</v>
      </c>
    </row>
    <row r="182" spans="1:9">
      <c r="A182" s="103"/>
      <c r="B182" s="3" t="s">
        <v>196</v>
      </c>
      <c r="C182" s="33" t="s">
        <v>191</v>
      </c>
      <c r="D182" s="36"/>
      <c r="E182" s="19" t="s">
        <v>516</v>
      </c>
      <c r="F182" s="3">
        <v>594.88065365</v>
      </c>
      <c r="G182" s="3">
        <v>568451.76</v>
      </c>
      <c r="H182" s="9">
        <f t="shared" si="11"/>
        <v>0.27762014023802073</v>
      </c>
      <c r="I182" s="9">
        <f t="shared" si="11"/>
        <v>0.99261119417671773</v>
      </c>
    </row>
    <row r="183" spans="1:9" ht="15.75">
      <c r="A183" s="103"/>
      <c r="B183" s="3" t="s">
        <v>197</v>
      </c>
      <c r="C183" s="33" t="s">
        <v>192</v>
      </c>
      <c r="D183" s="36"/>
      <c r="E183" s="19" t="s">
        <v>517</v>
      </c>
      <c r="F183" s="84">
        <v>149.62425289999999</v>
      </c>
      <c r="G183" s="84">
        <v>470.12</v>
      </c>
      <c r="H183" s="9">
        <f t="shared" si="11"/>
        <v>6.9826957421188066E-2</v>
      </c>
      <c r="I183" s="9">
        <f t="shared" si="11"/>
        <v>8.2090760807277394E-4</v>
      </c>
    </row>
    <row r="184" spans="1:9">
      <c r="A184" s="103" t="s">
        <v>18</v>
      </c>
      <c r="B184" s="3" t="s">
        <v>198</v>
      </c>
      <c r="C184" s="6" t="s">
        <v>206</v>
      </c>
      <c r="D184" s="7"/>
      <c r="E184" s="8" t="s">
        <v>518</v>
      </c>
      <c r="H184" s="9">
        <f>F184/SUM(F$184:F$192)</f>
        <v>0</v>
      </c>
      <c r="I184" s="9">
        <f>G184/SUM(G$184:G$192)</f>
        <v>0</v>
      </c>
    </row>
    <row r="185" spans="1:9">
      <c r="A185" s="103"/>
      <c r="B185" s="3" t="s">
        <v>199</v>
      </c>
      <c r="C185" s="6" t="s">
        <v>204</v>
      </c>
      <c r="D185" s="7"/>
      <c r="E185" s="8" t="s">
        <v>519</v>
      </c>
      <c r="F185" s="88">
        <v>182.1512644</v>
      </c>
      <c r="G185" s="88">
        <v>572.32000000000005</v>
      </c>
      <c r="H185" s="9">
        <f t="shared" ref="H185:I192" si="12">F185/SUM(F$184:F$192)</f>
        <v>0.32941176470588229</v>
      </c>
      <c r="I185" s="9">
        <f t="shared" si="12"/>
        <v>0.32941176470588235</v>
      </c>
    </row>
    <row r="186" spans="1:9">
      <c r="A186" s="103"/>
      <c r="B186" s="3" t="s">
        <v>200</v>
      </c>
      <c r="C186" s="6" t="s">
        <v>203</v>
      </c>
      <c r="D186" s="7"/>
      <c r="E186" s="8" t="s">
        <v>520</v>
      </c>
      <c r="H186" s="9">
        <f t="shared" si="12"/>
        <v>0</v>
      </c>
      <c r="I186" s="9">
        <f t="shared" si="12"/>
        <v>0</v>
      </c>
    </row>
    <row r="187" spans="1:9">
      <c r="A187" s="103"/>
      <c r="B187" s="3" t="s">
        <v>201</v>
      </c>
      <c r="C187" s="6" t="s">
        <v>205</v>
      </c>
      <c r="D187" s="7"/>
      <c r="E187" s="8" t="s">
        <v>521</v>
      </c>
      <c r="H187" s="9">
        <f t="shared" si="12"/>
        <v>0</v>
      </c>
      <c r="I187" s="9">
        <f t="shared" si="12"/>
        <v>0</v>
      </c>
    </row>
    <row r="188" spans="1:9">
      <c r="A188" s="103"/>
      <c r="B188" s="3" t="s">
        <v>202</v>
      </c>
      <c r="C188" s="6" t="s">
        <v>200</v>
      </c>
      <c r="D188" s="7"/>
      <c r="E188" s="8" t="s">
        <v>522</v>
      </c>
      <c r="F188" s="87">
        <v>247.2052874</v>
      </c>
      <c r="G188" s="87">
        <v>776.72</v>
      </c>
      <c r="H188" s="9">
        <f t="shared" si="12"/>
        <v>0.44705882352941173</v>
      </c>
      <c r="I188" s="9">
        <f t="shared" si="12"/>
        <v>0.44705882352941173</v>
      </c>
    </row>
    <row r="189" spans="1:9" ht="15.75">
      <c r="A189" s="103"/>
      <c r="B189" s="3" t="s">
        <v>203</v>
      </c>
      <c r="C189" s="33" t="s">
        <v>202</v>
      </c>
      <c r="D189" s="18"/>
      <c r="E189" s="19" t="s">
        <v>523</v>
      </c>
      <c r="F189" s="84">
        <v>123.6026437</v>
      </c>
      <c r="G189" s="84">
        <v>388.36</v>
      </c>
      <c r="H189" s="9">
        <f t="shared" si="12"/>
        <v>0.22352941176470587</v>
      </c>
      <c r="I189" s="9">
        <f t="shared" si="12"/>
        <v>0.22352941176470587</v>
      </c>
    </row>
    <row r="190" spans="1:9">
      <c r="A190" s="103"/>
      <c r="B190" s="3" t="s">
        <v>204</v>
      </c>
      <c r="C190" s="33" t="s">
        <v>201</v>
      </c>
      <c r="D190" s="18"/>
      <c r="E190" s="19" t="s">
        <v>524</v>
      </c>
      <c r="H190" s="9">
        <f t="shared" si="12"/>
        <v>0</v>
      </c>
      <c r="I190" s="9">
        <f t="shared" si="12"/>
        <v>0</v>
      </c>
    </row>
    <row r="191" spans="1:9">
      <c r="A191" s="103"/>
      <c r="B191" s="3" t="s">
        <v>205</v>
      </c>
      <c r="C191" s="33" t="s">
        <v>199</v>
      </c>
      <c r="D191" s="18"/>
      <c r="E191" s="19" t="s">
        <v>525</v>
      </c>
      <c r="H191" s="9">
        <f t="shared" si="12"/>
        <v>0</v>
      </c>
      <c r="I191" s="9">
        <f t="shared" si="12"/>
        <v>0</v>
      </c>
    </row>
    <row r="192" spans="1:9">
      <c r="A192" s="103"/>
      <c r="B192" s="3" t="s">
        <v>206</v>
      </c>
      <c r="C192" s="33" t="s">
        <v>198</v>
      </c>
      <c r="D192" s="18"/>
      <c r="E192" s="19" t="s">
        <v>526</v>
      </c>
      <c r="H192" s="9">
        <f t="shared" si="12"/>
        <v>0</v>
      </c>
      <c r="I192" s="9">
        <f t="shared" si="12"/>
        <v>0</v>
      </c>
    </row>
    <row r="193" spans="1:9" ht="15.75">
      <c r="A193" s="103" t="s">
        <v>19</v>
      </c>
      <c r="B193" s="3" t="s">
        <v>207</v>
      </c>
      <c r="C193" s="33" t="s">
        <v>219</v>
      </c>
      <c r="D193" s="18"/>
      <c r="E193" s="19" t="s">
        <v>527</v>
      </c>
      <c r="F193" s="91">
        <v>213.8313737</v>
      </c>
      <c r="G193" s="91">
        <v>470.12</v>
      </c>
      <c r="H193" s="9">
        <f>F193/SUM(F$193:F$209)</f>
        <v>3.1358940725567053E-2</v>
      </c>
      <c r="I193" s="9">
        <f>G193/SUM(G$193:G$209)</f>
        <v>2.7110196212149912E-2</v>
      </c>
    </row>
    <row r="194" spans="1:9" ht="15.75">
      <c r="A194" s="103"/>
      <c r="B194" s="3" t="s">
        <v>208</v>
      </c>
      <c r="C194" s="33" t="s">
        <v>210</v>
      </c>
      <c r="D194" s="18"/>
      <c r="E194" s="19" t="s">
        <v>528</v>
      </c>
      <c r="F194" s="90">
        <f>1832.840346+195.162069+117.0972414</f>
        <v>2145.0996563999997</v>
      </c>
      <c r="G194" s="90">
        <f>4029.6+613.2+367.92</f>
        <v>5010.72</v>
      </c>
      <c r="H194" s="9">
        <f t="shared" ref="H194:I209" si="13">F194/SUM(F$193:F$209)</f>
        <v>0.31458458041735826</v>
      </c>
      <c r="I194" s="9">
        <f t="shared" si="13"/>
        <v>0.28895091118043015</v>
      </c>
    </row>
    <row r="195" spans="1:9" ht="15.75">
      <c r="A195" s="103"/>
      <c r="B195" s="3" t="s">
        <v>209</v>
      </c>
      <c r="C195" s="33" t="s">
        <v>221</v>
      </c>
      <c r="D195" s="18"/>
      <c r="E195" s="19" t="s">
        <v>529</v>
      </c>
      <c r="F195" s="91">
        <f>97.5810345+703.7162186</f>
        <v>801.29725310000003</v>
      </c>
      <c r="G195" s="91">
        <f>306.6+2038.16</f>
        <v>2344.7600000000002</v>
      </c>
      <c r="H195" s="9">
        <f t="shared" si="13"/>
        <v>0.11751237729397143</v>
      </c>
      <c r="I195" s="9">
        <f t="shared" si="13"/>
        <v>0.13521420843699616</v>
      </c>
    </row>
    <row r="196" spans="1:9">
      <c r="A196" s="103"/>
      <c r="B196" s="3" t="s">
        <v>210</v>
      </c>
      <c r="C196" s="33" t="s">
        <v>207</v>
      </c>
      <c r="D196" s="18"/>
      <c r="E196" s="19" t="s">
        <v>530</v>
      </c>
      <c r="H196" s="9">
        <f t="shared" si="13"/>
        <v>0</v>
      </c>
      <c r="I196" s="9">
        <f t="shared" si="13"/>
        <v>0</v>
      </c>
    </row>
    <row r="197" spans="1:9" ht="15.75">
      <c r="A197" s="103"/>
      <c r="B197" s="3" t="s">
        <v>211</v>
      </c>
      <c r="C197" s="33" t="s">
        <v>216</v>
      </c>
      <c r="D197" s="18"/>
      <c r="E197" s="19" t="s">
        <v>531</v>
      </c>
      <c r="F197" s="84">
        <v>149.62425289999999</v>
      </c>
      <c r="G197" s="84">
        <v>470.12</v>
      </c>
      <c r="H197" s="9">
        <f t="shared" si="13"/>
        <v>2.1942795374738564E-2</v>
      </c>
      <c r="I197" s="9">
        <f t="shared" si="13"/>
        <v>2.7110196212149912E-2</v>
      </c>
    </row>
    <row r="198" spans="1:9" ht="15.75">
      <c r="A198" s="103"/>
      <c r="B198" s="3" t="s">
        <v>212</v>
      </c>
      <c r="C198" s="33" t="s">
        <v>218</v>
      </c>
      <c r="D198" s="18"/>
      <c r="E198" s="19" t="s">
        <v>532</v>
      </c>
      <c r="F198" s="84">
        <v>78.064827600000001</v>
      </c>
      <c r="G198" s="84">
        <v>245.28</v>
      </c>
      <c r="H198" s="9">
        <f t="shared" si="13"/>
        <v>1.1448414978124469E-2</v>
      </c>
      <c r="I198" s="9">
        <f t="shared" si="13"/>
        <v>1.4144450197643432E-2</v>
      </c>
    </row>
    <row r="199" spans="1:9" ht="15.75">
      <c r="A199" s="103"/>
      <c r="B199" s="3" t="s">
        <v>213</v>
      </c>
      <c r="C199" s="33" t="s">
        <v>213</v>
      </c>
      <c r="D199" s="18"/>
      <c r="E199" s="19" t="s">
        <v>533</v>
      </c>
      <c r="F199" s="84">
        <v>91.075632200000001</v>
      </c>
      <c r="G199" s="84">
        <v>286.16000000000003</v>
      </c>
      <c r="H199" s="9">
        <f t="shared" si="13"/>
        <v>1.3356484141145215E-2</v>
      </c>
      <c r="I199" s="9">
        <f t="shared" si="13"/>
        <v>1.6501858563917341E-2</v>
      </c>
    </row>
    <row r="200" spans="1:9" ht="15.75">
      <c r="A200" s="103"/>
      <c r="B200" s="3" t="s">
        <v>214</v>
      </c>
      <c r="C200" s="33" t="s">
        <v>220</v>
      </c>
      <c r="D200" s="18"/>
      <c r="E200" s="19" t="s">
        <v>534</v>
      </c>
      <c r="F200" s="84">
        <v>300.66811052000003</v>
      </c>
      <c r="G200" s="84">
        <v>1126.317</v>
      </c>
      <c r="H200" s="9">
        <f t="shared" si="13"/>
        <v>4.4093779564326509E-2</v>
      </c>
      <c r="I200" s="9">
        <f t="shared" si="13"/>
        <v>6.4950810148643012E-2</v>
      </c>
    </row>
    <row r="201" spans="1:9" ht="15.75">
      <c r="A201" s="103"/>
      <c r="B201" s="3" t="s">
        <v>215</v>
      </c>
      <c r="C201" s="33" t="s">
        <v>208</v>
      </c>
      <c r="D201" s="18"/>
      <c r="E201" s="19" t="s">
        <v>535</v>
      </c>
      <c r="F201" s="92">
        <v>65.054023000000001</v>
      </c>
      <c r="G201" s="92">
        <v>204.4</v>
      </c>
      <c r="H201" s="9">
        <f t="shared" si="13"/>
        <v>9.5403458151037245E-3</v>
      </c>
      <c r="I201" s="9">
        <f t="shared" si="13"/>
        <v>1.1787041831369527E-2</v>
      </c>
    </row>
    <row r="202" spans="1:9">
      <c r="A202" s="103"/>
      <c r="B202" s="3" t="s">
        <v>216</v>
      </c>
      <c r="C202" s="33" t="s">
        <v>211</v>
      </c>
      <c r="D202" s="18"/>
      <c r="E202" s="19" t="s">
        <v>536</v>
      </c>
      <c r="H202" s="9">
        <f t="shared" si="13"/>
        <v>0</v>
      </c>
      <c r="I202" s="9">
        <f t="shared" si="13"/>
        <v>0</v>
      </c>
    </row>
    <row r="203" spans="1:9" ht="15.75">
      <c r="A203" s="103"/>
      <c r="B203" s="3" t="s">
        <v>217</v>
      </c>
      <c r="C203" s="33" t="s">
        <v>223</v>
      </c>
      <c r="D203" s="18"/>
      <c r="E203" s="19" t="s">
        <v>537</v>
      </c>
      <c r="F203" s="84">
        <v>1527.366955</v>
      </c>
      <c r="G203" s="84">
        <v>3358</v>
      </c>
      <c r="H203" s="9">
        <f t="shared" si="13"/>
        <v>0.22399243375405037</v>
      </c>
      <c r="I203" s="9">
        <f t="shared" si="13"/>
        <v>0.19364425865821366</v>
      </c>
    </row>
    <row r="204" spans="1:9" ht="15.75">
      <c r="A204" s="103"/>
      <c r="B204" s="3" t="s">
        <v>218</v>
      </c>
      <c r="C204" s="33" t="s">
        <v>222</v>
      </c>
      <c r="D204" s="18"/>
      <c r="E204" s="19" t="s">
        <v>538</v>
      </c>
      <c r="F204" s="84">
        <v>763.68347749999998</v>
      </c>
      <c r="G204" s="84">
        <v>1679</v>
      </c>
      <c r="H204" s="9">
        <f t="shared" si="13"/>
        <v>0.11199621687702518</v>
      </c>
      <c r="I204" s="9">
        <f t="shared" si="13"/>
        <v>9.6822129329106832E-2</v>
      </c>
    </row>
    <row r="205" spans="1:9">
      <c r="A205" s="103"/>
      <c r="B205" s="3" t="s">
        <v>219</v>
      </c>
      <c r="C205" s="33" t="s">
        <v>217</v>
      </c>
      <c r="D205" s="18"/>
      <c r="E205" s="19" t="s">
        <v>539</v>
      </c>
      <c r="H205" s="9">
        <f t="shared" si="13"/>
        <v>0</v>
      </c>
      <c r="I205" s="9">
        <f t="shared" si="13"/>
        <v>0</v>
      </c>
    </row>
    <row r="206" spans="1:9" ht="15.75">
      <c r="A206" s="103"/>
      <c r="B206" s="3" t="s">
        <v>220</v>
      </c>
      <c r="C206" s="33" t="s">
        <v>209</v>
      </c>
      <c r="D206" s="18"/>
      <c r="E206" s="19" t="s">
        <v>540</v>
      </c>
      <c r="F206" s="84">
        <v>162.63505749999999</v>
      </c>
      <c r="G206" s="84">
        <v>511</v>
      </c>
      <c r="H206" s="9">
        <f t="shared" si="13"/>
        <v>2.3850864537759309E-2</v>
      </c>
      <c r="I206" s="9">
        <f t="shared" si="13"/>
        <v>2.9467604578423817E-2</v>
      </c>
    </row>
    <row r="207" spans="1:9">
      <c r="A207" s="103"/>
      <c r="B207" s="3" t="s">
        <v>221</v>
      </c>
      <c r="C207" s="33" t="s">
        <v>212</v>
      </c>
      <c r="D207" s="18"/>
      <c r="E207" s="19" t="s">
        <v>541</v>
      </c>
      <c r="H207" s="9">
        <f t="shared" si="13"/>
        <v>0</v>
      </c>
      <c r="I207" s="9">
        <f t="shared" si="13"/>
        <v>0</v>
      </c>
    </row>
    <row r="208" spans="1:9">
      <c r="A208" s="103"/>
      <c r="B208" s="3" t="s">
        <v>222</v>
      </c>
      <c r="C208" s="33" t="s">
        <v>214</v>
      </c>
      <c r="D208" s="18"/>
      <c r="E208" s="19" t="s">
        <v>542</v>
      </c>
      <c r="H208" s="9">
        <f t="shared" si="13"/>
        <v>0</v>
      </c>
      <c r="I208" s="9">
        <f t="shared" si="13"/>
        <v>0</v>
      </c>
    </row>
    <row r="209" spans="1:9" ht="15.75">
      <c r="A209" s="103"/>
      <c r="B209" s="3" t="s">
        <v>223</v>
      </c>
      <c r="C209" s="33" t="s">
        <v>215</v>
      </c>
      <c r="D209" s="36"/>
      <c r="E209" s="19" t="s">
        <v>543</v>
      </c>
      <c r="F209" s="84">
        <f>357.7971265+162.6350575</f>
        <v>520.43218400000001</v>
      </c>
      <c r="G209" s="84">
        <f>1124.2+511</f>
        <v>1635.2</v>
      </c>
      <c r="H209" s="9">
        <f t="shared" si="13"/>
        <v>7.6322766520829796E-2</v>
      </c>
      <c r="I209" s="9">
        <f t="shared" si="13"/>
        <v>9.4296334650956215E-2</v>
      </c>
    </row>
    <row r="210" spans="1:9" ht="15.75">
      <c r="A210" s="103" t="s">
        <v>20</v>
      </c>
      <c r="B210" s="3" t="s">
        <v>224</v>
      </c>
      <c r="C210" s="33" t="s">
        <v>226</v>
      </c>
      <c r="D210" s="18"/>
      <c r="E210" s="19" t="s">
        <v>544</v>
      </c>
      <c r="F210" s="84">
        <f>263.46879315+184.7534253</f>
        <v>448.22221845000001</v>
      </c>
      <c r="G210" s="84">
        <f>827.82+580.496</f>
        <v>1408.316</v>
      </c>
      <c r="H210" s="9">
        <f>F210/SUM(F$210:F$216)</f>
        <v>0.35424164523400881</v>
      </c>
      <c r="I210" s="9">
        <f>G210/SUM(G$210:G$216)</f>
        <v>0.35424164524421597</v>
      </c>
    </row>
    <row r="211" spans="1:9">
      <c r="A211" s="103"/>
      <c r="B211" s="3" t="s">
        <v>225</v>
      </c>
      <c r="C211" s="33" t="s">
        <v>225</v>
      </c>
      <c r="D211" s="18"/>
      <c r="E211" s="19" t="s">
        <v>545</v>
      </c>
      <c r="H211" s="9">
        <f t="shared" ref="H211:I216" si="14">F211/SUM(F$210:F$216)</f>
        <v>0</v>
      </c>
      <c r="I211" s="9">
        <f t="shared" si="14"/>
        <v>0</v>
      </c>
    </row>
    <row r="212" spans="1:9" ht="15.75">
      <c r="A212" s="103"/>
      <c r="B212" s="3" t="s">
        <v>226</v>
      </c>
      <c r="C212" s="33" t="s">
        <v>228</v>
      </c>
      <c r="D212" s="18"/>
      <c r="E212" s="19" t="s">
        <v>546</v>
      </c>
      <c r="F212" s="84">
        <f>149.6242529+494.4105748</f>
        <v>644.03482770000005</v>
      </c>
      <c r="G212" s="84">
        <f>470.12+1553.44</f>
        <v>2023.56</v>
      </c>
      <c r="H212" s="9">
        <f t="shared" si="14"/>
        <v>0.50899742931395819</v>
      </c>
      <c r="I212" s="9">
        <f t="shared" si="14"/>
        <v>0.50899742930591263</v>
      </c>
    </row>
    <row r="213" spans="1:9" ht="15.75">
      <c r="A213" s="103"/>
      <c r="B213" s="3" t="s">
        <v>227</v>
      </c>
      <c r="C213" s="33" t="s">
        <v>224</v>
      </c>
      <c r="D213" s="18"/>
      <c r="E213" s="19" t="s">
        <v>547</v>
      </c>
      <c r="F213" s="84">
        <v>173.04370118</v>
      </c>
      <c r="G213" s="84">
        <v>543.70399999999995</v>
      </c>
      <c r="H213" s="45">
        <f t="shared" si="14"/>
        <v>0.13676092545203319</v>
      </c>
      <c r="I213" s="45">
        <f t="shared" si="14"/>
        <v>0.13676092544987145</v>
      </c>
    </row>
    <row r="214" spans="1:9">
      <c r="A214" s="103"/>
      <c r="B214" s="3" t="s">
        <v>228</v>
      </c>
      <c r="C214" s="33" t="s">
        <v>227</v>
      </c>
      <c r="D214" s="36"/>
      <c r="E214" s="19" t="s">
        <v>548</v>
      </c>
      <c r="H214" s="9">
        <f t="shared" si="14"/>
        <v>0</v>
      </c>
      <c r="I214" s="9">
        <f t="shared" si="14"/>
        <v>0</v>
      </c>
    </row>
    <row r="215" spans="1:9">
      <c r="A215" s="103"/>
      <c r="C215" s="33" t="s">
        <v>549</v>
      </c>
      <c r="D215" s="18"/>
      <c r="E215" s="19" t="s">
        <v>550</v>
      </c>
      <c r="H215" s="9">
        <f t="shared" si="14"/>
        <v>0</v>
      </c>
      <c r="I215" s="9">
        <f t="shared" si="14"/>
        <v>0</v>
      </c>
    </row>
    <row r="216" spans="1:9">
      <c r="A216" s="103"/>
      <c r="C216" s="33" t="s">
        <v>551</v>
      </c>
      <c r="D216" s="18"/>
      <c r="E216" s="19" t="s">
        <v>552</v>
      </c>
      <c r="H216" s="9">
        <f t="shared" si="14"/>
        <v>0</v>
      </c>
      <c r="I216" s="9">
        <f t="shared" si="14"/>
        <v>0</v>
      </c>
    </row>
    <row r="217" spans="1:9">
      <c r="A217" s="103" t="s">
        <v>21</v>
      </c>
      <c r="B217" s="3" t="s">
        <v>229</v>
      </c>
      <c r="C217" s="33" t="s">
        <v>231</v>
      </c>
      <c r="D217" s="18"/>
      <c r="E217" s="19" t="s">
        <v>553</v>
      </c>
      <c r="H217" s="9">
        <f>F217/SUM(F$217:F$224)</f>
        <v>0</v>
      </c>
      <c r="I217" s="9">
        <f>G217/SUM(G$217:G$224)</f>
        <v>0</v>
      </c>
    </row>
    <row r="218" spans="1:9" ht="15.75">
      <c r="A218" s="103"/>
      <c r="B218" s="3" t="s">
        <v>230</v>
      </c>
      <c r="C218" s="33" t="s">
        <v>236</v>
      </c>
      <c r="D218" s="18"/>
      <c r="E218" s="19" t="s">
        <v>554</v>
      </c>
      <c r="F218" s="84">
        <v>137.46302595</v>
      </c>
      <c r="G218" s="84">
        <v>302.22000000000003</v>
      </c>
      <c r="H218" s="9">
        <f t="shared" ref="H218:I224" si="15">F218/SUM(F$217:F$224)</f>
        <v>6.1417974262256807E-2</v>
      </c>
      <c r="I218" s="9">
        <f t="shared" si="15"/>
        <v>5.8499364137346341E-2</v>
      </c>
    </row>
    <row r="219" spans="1:9">
      <c r="A219" s="103"/>
      <c r="B219" s="3" t="s">
        <v>231</v>
      </c>
      <c r="C219" s="33" t="s">
        <v>232</v>
      </c>
      <c r="D219" s="18"/>
      <c r="E219" s="19" t="s">
        <v>555</v>
      </c>
      <c r="H219" s="9">
        <f t="shared" si="15"/>
        <v>0</v>
      </c>
      <c r="I219" s="9">
        <f t="shared" si="15"/>
        <v>0</v>
      </c>
    </row>
    <row r="220" spans="1:9" ht="15.75">
      <c r="A220" s="103"/>
      <c r="B220" s="3" t="s">
        <v>232</v>
      </c>
      <c r="C220" s="33" t="s">
        <v>230</v>
      </c>
      <c r="D220" s="18"/>
      <c r="E220" s="19" t="s">
        <v>556</v>
      </c>
      <c r="F220" s="84">
        <v>878.23599912500003</v>
      </c>
      <c r="G220" s="84">
        <v>1930.85</v>
      </c>
      <c r="H220" s="9">
        <f t="shared" si="15"/>
        <v>0.39239261334219627</v>
      </c>
      <c r="I220" s="9">
        <f t="shared" si="15"/>
        <v>0.37374593754415708</v>
      </c>
    </row>
    <row r="221" spans="1:9" ht="15.75">
      <c r="A221" s="103"/>
      <c r="B221" s="3" t="s">
        <v>233</v>
      </c>
      <c r="C221" s="33" t="s">
        <v>234</v>
      </c>
      <c r="D221" s="18"/>
      <c r="E221" s="19" t="s">
        <v>557</v>
      </c>
      <c r="F221" s="84">
        <v>962.24118165000004</v>
      </c>
      <c r="G221" s="84">
        <v>2115.54</v>
      </c>
      <c r="H221" s="9">
        <f t="shared" si="15"/>
        <v>0.42992581983579764</v>
      </c>
      <c r="I221" s="9">
        <f t="shared" si="15"/>
        <v>0.40949554896142432</v>
      </c>
    </row>
    <row r="222" spans="1:9" ht="15.75">
      <c r="A222" s="103"/>
      <c r="B222" s="3" t="s">
        <v>234</v>
      </c>
      <c r="C222" s="33" t="s">
        <v>233</v>
      </c>
      <c r="D222" s="18"/>
      <c r="E222" s="19" t="s">
        <v>558</v>
      </c>
      <c r="F222" s="84">
        <v>260.216092</v>
      </c>
      <c r="G222" s="84">
        <v>817.6</v>
      </c>
      <c r="H222" s="9">
        <f t="shared" si="15"/>
        <v>0.11626359255974933</v>
      </c>
      <c r="I222" s="9">
        <f t="shared" si="15"/>
        <v>0.15825914935707222</v>
      </c>
    </row>
    <row r="223" spans="1:9">
      <c r="A223" s="103"/>
      <c r="B223" s="3" t="s">
        <v>235</v>
      </c>
      <c r="C223" s="33" t="s">
        <v>229</v>
      </c>
      <c r="D223" s="18"/>
      <c r="E223" s="19" t="s">
        <v>559</v>
      </c>
      <c r="H223" s="9">
        <f t="shared" si="15"/>
        <v>0</v>
      </c>
      <c r="I223" s="9">
        <f t="shared" si="15"/>
        <v>0</v>
      </c>
    </row>
    <row r="224" spans="1:9">
      <c r="A224" s="103"/>
      <c r="B224" s="3" t="s">
        <v>236</v>
      </c>
      <c r="C224" s="33" t="s">
        <v>235</v>
      </c>
      <c r="D224" s="18"/>
      <c r="E224" s="19" t="s">
        <v>560</v>
      </c>
      <c r="H224" s="9">
        <f t="shared" si="15"/>
        <v>0</v>
      </c>
      <c r="I224" s="9">
        <f t="shared" si="15"/>
        <v>0</v>
      </c>
    </row>
    <row r="225" spans="1:9" ht="15.75">
      <c r="A225" s="103" t="s">
        <v>22</v>
      </c>
      <c r="B225" s="3" t="s">
        <v>237</v>
      </c>
      <c r="C225" s="33" t="s">
        <v>237</v>
      </c>
      <c r="D225" s="18"/>
      <c r="E225" s="19" t="s">
        <v>561</v>
      </c>
      <c r="F225" s="84">
        <v>91.075632200000001</v>
      </c>
      <c r="G225" s="84">
        <v>286.16000000000003</v>
      </c>
      <c r="H225" s="9">
        <f>F225/SUM(F$225:F$226)</f>
        <v>1</v>
      </c>
      <c r="I225" s="9">
        <f>G225/SUM(G$225:G$226)</f>
        <v>1</v>
      </c>
    </row>
    <row r="226" spans="1:9">
      <c r="A226" s="103"/>
      <c r="B226" s="3" t="s">
        <v>238</v>
      </c>
      <c r="C226" s="33" t="s">
        <v>238</v>
      </c>
      <c r="D226" s="18"/>
      <c r="E226" s="19" t="s">
        <v>562</v>
      </c>
      <c r="H226" s="9">
        <f>F226/SUM(F$225:F$226)</f>
        <v>0</v>
      </c>
      <c r="I226" s="9">
        <f>G226/SUM(G$225:G$226)</f>
        <v>0</v>
      </c>
    </row>
    <row r="227" spans="1:9">
      <c r="A227" s="103" t="s">
        <v>23</v>
      </c>
      <c r="B227" s="3" t="s">
        <v>239</v>
      </c>
      <c r="C227" s="33" t="s">
        <v>241</v>
      </c>
      <c r="D227" s="18"/>
      <c r="E227" s="19" t="s">
        <v>563</v>
      </c>
      <c r="H227" s="9">
        <f t="shared" ref="H227:I230" si="16">F227/SUM(F$227:F$230)</f>
        <v>0</v>
      </c>
      <c r="I227" s="9">
        <f t="shared" si="16"/>
        <v>0</v>
      </c>
    </row>
    <row r="228" spans="1:9" ht="15.75">
      <c r="A228" s="103"/>
      <c r="B228" s="3" t="s">
        <v>240</v>
      </c>
      <c r="C228" s="33" t="s">
        <v>239</v>
      </c>
      <c r="D228" s="18"/>
      <c r="E228" s="19" t="s">
        <v>564</v>
      </c>
      <c r="F228" s="84">
        <v>139.86614944999999</v>
      </c>
      <c r="G228" s="84">
        <v>439.46</v>
      </c>
      <c r="H228" s="9">
        <f t="shared" si="16"/>
        <v>1</v>
      </c>
      <c r="I228" s="9">
        <f t="shared" si="16"/>
        <v>1</v>
      </c>
    </row>
    <row r="229" spans="1:9">
      <c r="A229" s="103"/>
      <c r="B229" s="3" t="s">
        <v>241</v>
      </c>
      <c r="C229" s="33" t="s">
        <v>242</v>
      </c>
      <c r="D229" s="18"/>
      <c r="E229" s="19" t="s">
        <v>565</v>
      </c>
      <c r="H229" s="9">
        <f t="shared" si="16"/>
        <v>0</v>
      </c>
      <c r="I229" s="9">
        <f t="shared" si="16"/>
        <v>0</v>
      </c>
    </row>
    <row r="230" spans="1:9">
      <c r="A230" s="103"/>
      <c r="B230" s="3" t="s">
        <v>242</v>
      </c>
      <c r="C230" s="33" t="s">
        <v>240</v>
      </c>
      <c r="D230" s="18"/>
      <c r="E230" s="19" t="s">
        <v>566</v>
      </c>
      <c r="H230" s="9">
        <f t="shared" si="16"/>
        <v>0</v>
      </c>
      <c r="I230" s="9">
        <f t="shared" si="16"/>
        <v>0</v>
      </c>
    </row>
    <row r="231" spans="1:9">
      <c r="A231" s="103" t="s">
        <v>24</v>
      </c>
      <c r="B231" s="3" t="s">
        <v>243</v>
      </c>
      <c r="C231" s="33" t="s">
        <v>243</v>
      </c>
      <c r="D231" s="18"/>
      <c r="E231" s="19" t="s">
        <v>567</v>
      </c>
      <c r="H231" s="9">
        <f>F231/SUM(F$231:F$235)</f>
        <v>0</v>
      </c>
      <c r="I231" s="9">
        <f>G231/SUM(G$231:G$235)</f>
        <v>0</v>
      </c>
    </row>
    <row r="232" spans="1:9">
      <c r="A232" s="103"/>
      <c r="B232" s="3" t="s">
        <v>244</v>
      </c>
      <c r="C232" s="33" t="s">
        <v>245</v>
      </c>
      <c r="D232" s="18"/>
      <c r="E232" s="19" t="s">
        <v>568</v>
      </c>
      <c r="H232" s="9">
        <f t="shared" ref="H232:I235" si="17">F232/SUM(F$231:F$235)</f>
        <v>0</v>
      </c>
      <c r="I232" s="9">
        <f t="shared" si="17"/>
        <v>0</v>
      </c>
    </row>
    <row r="233" spans="1:9" ht="15.75">
      <c r="A233" s="103"/>
      <c r="B233" s="3" t="s">
        <v>245</v>
      </c>
      <c r="C233" s="33" t="s">
        <v>244</v>
      </c>
      <c r="D233" s="18"/>
      <c r="E233" s="19" t="s">
        <v>569</v>
      </c>
      <c r="F233" s="84">
        <v>381.84173874999999</v>
      </c>
      <c r="G233" s="84">
        <v>839.5</v>
      </c>
      <c r="H233" s="9">
        <f t="shared" si="17"/>
        <v>1</v>
      </c>
      <c r="I233" s="9">
        <f t="shared" si="17"/>
        <v>1</v>
      </c>
    </row>
    <row r="234" spans="1:9">
      <c r="A234" s="103"/>
      <c r="B234" s="3" t="s">
        <v>246</v>
      </c>
      <c r="C234" s="33" t="s">
        <v>246</v>
      </c>
      <c r="D234" s="18"/>
      <c r="E234" s="19" t="s">
        <v>570</v>
      </c>
      <c r="H234" s="9">
        <f t="shared" si="17"/>
        <v>0</v>
      </c>
      <c r="I234" s="9">
        <f t="shared" si="17"/>
        <v>0</v>
      </c>
    </row>
    <row r="235" spans="1:9">
      <c r="A235" s="103"/>
      <c r="C235" s="33" t="s">
        <v>571</v>
      </c>
      <c r="D235" s="18"/>
      <c r="E235" s="19" t="s">
        <v>572</v>
      </c>
      <c r="H235" s="9">
        <f t="shared" si="17"/>
        <v>0</v>
      </c>
      <c r="I235" s="9">
        <f t="shared" si="17"/>
        <v>0</v>
      </c>
    </row>
    <row r="236" spans="1:9">
      <c r="A236" s="103" t="s">
        <v>25</v>
      </c>
      <c r="B236" s="3" t="s">
        <v>247</v>
      </c>
      <c r="C236" s="33" t="s">
        <v>247</v>
      </c>
      <c r="D236" s="18"/>
      <c r="E236" s="19" t="s">
        <v>573</v>
      </c>
      <c r="H236" s="9">
        <f>F236/SUM(F$236:F$243)</f>
        <v>0</v>
      </c>
      <c r="I236" s="9">
        <f>G236/SUM(G$236:G$243)</f>
        <v>0</v>
      </c>
    </row>
    <row r="237" spans="1:9">
      <c r="A237" s="103"/>
      <c r="B237" s="3" t="s">
        <v>248</v>
      </c>
      <c r="C237" s="33" t="s">
        <v>248</v>
      </c>
      <c r="D237" s="18"/>
      <c r="E237" s="19" t="s">
        <v>574</v>
      </c>
      <c r="H237" s="9">
        <f t="shared" ref="H237:I243" si="18">F237/SUM(F$236:F$243)</f>
        <v>0</v>
      </c>
      <c r="I237" s="9">
        <f t="shared" si="18"/>
        <v>0</v>
      </c>
    </row>
    <row r="238" spans="1:9">
      <c r="A238" s="103"/>
      <c r="B238" s="3" t="s">
        <v>249</v>
      </c>
      <c r="C238" s="33" t="s">
        <v>252</v>
      </c>
      <c r="D238" s="18"/>
      <c r="E238" s="19" t="s">
        <v>575</v>
      </c>
      <c r="H238" s="9">
        <f t="shared" si="18"/>
        <v>0</v>
      </c>
      <c r="I238" s="9">
        <f t="shared" si="18"/>
        <v>0</v>
      </c>
    </row>
    <row r="239" spans="1:9">
      <c r="A239" s="103"/>
      <c r="B239" s="3" t="s">
        <v>250</v>
      </c>
      <c r="C239" s="33" t="s">
        <v>254</v>
      </c>
      <c r="D239" s="18"/>
      <c r="E239" s="19" t="s">
        <v>576</v>
      </c>
      <c r="H239" s="9">
        <f t="shared" si="18"/>
        <v>0</v>
      </c>
      <c r="I239" s="9">
        <f t="shared" si="18"/>
        <v>0</v>
      </c>
    </row>
    <row r="240" spans="1:9" ht="15.75">
      <c r="A240" s="103"/>
      <c r="B240" s="3" t="s">
        <v>251</v>
      </c>
      <c r="C240" s="33" t="s">
        <v>251</v>
      </c>
      <c r="D240" s="36"/>
      <c r="E240" s="19" t="s">
        <v>577</v>
      </c>
      <c r="F240" s="84">
        <f>1832.840346+149.6242529</f>
        <v>1982.4645989000001</v>
      </c>
      <c r="G240" s="84">
        <f>4029.6+470.12</f>
        <v>4499.72</v>
      </c>
      <c r="H240" s="9">
        <f t="shared" si="18"/>
        <v>1</v>
      </c>
      <c r="I240" s="9">
        <f t="shared" si="18"/>
        <v>1</v>
      </c>
    </row>
    <row r="241" spans="1:9">
      <c r="A241" s="103"/>
      <c r="B241" s="3" t="s">
        <v>252</v>
      </c>
      <c r="C241" s="33" t="s">
        <v>253</v>
      </c>
      <c r="D241" s="18"/>
      <c r="E241" s="19" t="s">
        <v>578</v>
      </c>
      <c r="H241" s="9">
        <f t="shared" si="18"/>
        <v>0</v>
      </c>
      <c r="I241" s="9">
        <f t="shared" si="18"/>
        <v>0</v>
      </c>
    </row>
    <row r="242" spans="1:9">
      <c r="A242" s="103"/>
      <c r="B242" s="3" t="s">
        <v>253</v>
      </c>
      <c r="C242" s="33" t="s">
        <v>250</v>
      </c>
      <c r="D242" s="18"/>
      <c r="E242" s="19" t="s">
        <v>579</v>
      </c>
      <c r="H242" s="9">
        <f t="shared" si="18"/>
        <v>0</v>
      </c>
      <c r="I242" s="9">
        <f t="shared" si="18"/>
        <v>0</v>
      </c>
    </row>
    <row r="243" spans="1:9">
      <c r="A243" s="103"/>
      <c r="B243" s="3" t="s">
        <v>254</v>
      </c>
      <c r="C243" s="33" t="s">
        <v>249</v>
      </c>
      <c r="D243" s="18"/>
      <c r="E243" s="19" t="s">
        <v>580</v>
      </c>
      <c r="H243" s="9">
        <f t="shared" si="18"/>
        <v>0</v>
      </c>
      <c r="I243" s="9">
        <f t="shared" si="18"/>
        <v>0</v>
      </c>
    </row>
    <row r="244" spans="1:9">
      <c r="A244" s="103" t="s">
        <v>26</v>
      </c>
      <c r="B244" s="3" t="s">
        <v>255</v>
      </c>
      <c r="C244" s="33" t="s">
        <v>294</v>
      </c>
      <c r="D244" s="36"/>
      <c r="E244" s="19" t="s">
        <v>581</v>
      </c>
      <c r="H244" s="9">
        <f>F244/SUM(F$244:F$284)</f>
        <v>0</v>
      </c>
      <c r="I244" s="9">
        <f>G244/SUM(G$244:G$284)</f>
        <v>0</v>
      </c>
    </row>
    <row r="245" spans="1:9" ht="29.25">
      <c r="A245" s="103"/>
      <c r="B245" s="3" t="s">
        <v>256</v>
      </c>
      <c r="C245" s="33" t="s">
        <v>268</v>
      </c>
      <c r="D245" s="18"/>
      <c r="E245" s="19" t="s">
        <v>582</v>
      </c>
      <c r="H245" s="9">
        <f t="shared" ref="H245:I284" si="19">F245/SUM(F$244:F$284)</f>
        <v>0</v>
      </c>
      <c r="I245" s="9">
        <f t="shared" si="19"/>
        <v>0</v>
      </c>
    </row>
    <row r="246" spans="1:9">
      <c r="A246" s="103"/>
      <c r="B246" s="3" t="s">
        <v>257</v>
      </c>
      <c r="C246" s="33" t="s">
        <v>280</v>
      </c>
      <c r="D246" s="18"/>
      <c r="E246" s="19" t="s">
        <v>583</v>
      </c>
      <c r="H246" s="9">
        <f t="shared" si="19"/>
        <v>0</v>
      </c>
      <c r="I246" s="9">
        <f t="shared" si="19"/>
        <v>0</v>
      </c>
    </row>
    <row r="247" spans="1:9">
      <c r="A247" s="103"/>
      <c r="B247" s="3" t="s">
        <v>258</v>
      </c>
      <c r="C247" s="33" t="s">
        <v>270</v>
      </c>
      <c r="D247" s="18"/>
      <c r="E247" s="19" t="s">
        <v>584</v>
      </c>
      <c r="H247" s="9">
        <f t="shared" si="19"/>
        <v>0</v>
      </c>
      <c r="I247" s="9">
        <f t="shared" si="19"/>
        <v>0</v>
      </c>
    </row>
    <row r="248" spans="1:9" ht="15.75">
      <c r="A248" s="103"/>
      <c r="B248" s="3" t="s">
        <v>259</v>
      </c>
      <c r="C248" s="33" t="s">
        <v>285</v>
      </c>
      <c r="D248" s="18"/>
      <c r="E248" s="19" t="s">
        <v>585</v>
      </c>
      <c r="F248" s="84">
        <v>878.23599912500003</v>
      </c>
      <c r="G248" s="84">
        <v>1930.85</v>
      </c>
      <c r="H248" s="9">
        <f t="shared" si="19"/>
        <v>0.13671182707604038</v>
      </c>
      <c r="I248" s="9">
        <f t="shared" si="19"/>
        <v>0.1130255028361572</v>
      </c>
    </row>
    <row r="249" spans="1:9" ht="15.75">
      <c r="A249" s="103"/>
      <c r="B249" s="3" t="s">
        <v>260</v>
      </c>
      <c r="C249" s="33" t="s">
        <v>264</v>
      </c>
      <c r="D249" s="18"/>
      <c r="E249" s="19" t="s">
        <v>586</v>
      </c>
      <c r="F249" s="84">
        <v>195.162069</v>
      </c>
      <c r="G249" s="84">
        <v>613.20000000000005</v>
      </c>
      <c r="H249" s="9">
        <f t="shared" si="19"/>
        <v>3.0380174640430264E-2</v>
      </c>
      <c r="I249" s="9">
        <f t="shared" si="19"/>
        <v>3.5894677649290004E-2</v>
      </c>
    </row>
    <row r="250" spans="1:9" ht="15.75">
      <c r="A250" s="103"/>
      <c r="B250" s="3" t="s">
        <v>261</v>
      </c>
      <c r="C250" s="33" t="s">
        <v>269</v>
      </c>
      <c r="D250" s="18"/>
      <c r="E250" s="19" t="s">
        <v>587</v>
      </c>
      <c r="F250" s="84">
        <v>878.23599912500003</v>
      </c>
      <c r="G250" s="84">
        <v>1930.85</v>
      </c>
      <c r="H250" s="9">
        <f t="shared" si="19"/>
        <v>0.13671182707604038</v>
      </c>
      <c r="I250" s="9">
        <f t="shared" si="19"/>
        <v>0.1130255028361572</v>
      </c>
    </row>
    <row r="251" spans="1:9" ht="29.25">
      <c r="A251" s="103"/>
      <c r="B251" s="3" t="s">
        <v>262</v>
      </c>
      <c r="C251" s="33" t="s">
        <v>277</v>
      </c>
      <c r="D251" s="18"/>
      <c r="E251" s="19" t="s">
        <v>588</v>
      </c>
      <c r="F251" s="84">
        <v>1069.1568685</v>
      </c>
      <c r="G251" s="84">
        <v>2350.6</v>
      </c>
      <c r="H251" s="9">
        <f t="shared" si="19"/>
        <v>0.16643178948387524</v>
      </c>
      <c r="I251" s="9">
        <f t="shared" si="19"/>
        <v>0.13759626432227831</v>
      </c>
    </row>
    <row r="252" spans="1:9" ht="15.75">
      <c r="A252" s="103"/>
      <c r="B252" s="3" t="s">
        <v>263</v>
      </c>
      <c r="C252" s="33" t="s">
        <v>295</v>
      </c>
      <c r="D252" s="18"/>
      <c r="E252" s="19" t="s">
        <v>589</v>
      </c>
      <c r="F252" s="84">
        <v>992.78852074999998</v>
      </c>
      <c r="G252" s="84">
        <v>2182.6999999999998</v>
      </c>
      <c r="H252" s="9">
        <f t="shared" si="19"/>
        <v>0.15454380452074129</v>
      </c>
      <c r="I252" s="9">
        <f t="shared" si="19"/>
        <v>0.12776795972782987</v>
      </c>
    </row>
    <row r="253" spans="1:9">
      <c r="A253" s="103"/>
      <c r="B253" s="3" t="s">
        <v>264</v>
      </c>
      <c r="C253" s="33" t="s">
        <v>266</v>
      </c>
      <c r="D253" s="18"/>
      <c r="E253" s="19" t="s">
        <v>590</v>
      </c>
      <c r="F253" s="3">
        <f>312.2593104+130.108046</f>
        <v>442.36735640000001</v>
      </c>
      <c r="G253" s="3">
        <f>981.12+408.8</f>
        <v>1389.92</v>
      </c>
      <c r="H253" s="9">
        <f t="shared" si="19"/>
        <v>6.8861729184975268E-2</v>
      </c>
      <c r="I253" s="9">
        <f t="shared" si="19"/>
        <v>8.1361269338390663E-2</v>
      </c>
    </row>
    <row r="254" spans="1:9" ht="15.75">
      <c r="A254" s="103"/>
      <c r="B254" s="3" t="s">
        <v>265</v>
      </c>
      <c r="C254" s="33" t="s">
        <v>263</v>
      </c>
      <c r="D254" s="18"/>
      <c r="E254" s="19" t="s">
        <v>591</v>
      </c>
      <c r="F254" s="84">
        <f>178.89856325+149.6242529+162.6350575</f>
        <v>491.15787364999994</v>
      </c>
      <c r="G254" s="84">
        <f>562.1+470.12+511</f>
        <v>1543.22</v>
      </c>
      <c r="H254" s="9">
        <f t="shared" si="19"/>
        <v>7.6456772845082815E-2</v>
      </c>
      <c r="I254" s="9">
        <f t="shared" si="19"/>
        <v>9.0334938750713162E-2</v>
      </c>
    </row>
    <row r="255" spans="1:9" ht="15.75">
      <c r="A255" s="103"/>
      <c r="B255" s="3" t="s">
        <v>266</v>
      </c>
      <c r="C255" s="33" t="s">
        <v>279</v>
      </c>
      <c r="D255" s="18"/>
      <c r="E255" s="19" t="s">
        <v>592</v>
      </c>
      <c r="F255" s="84">
        <v>715.75755346355697</v>
      </c>
      <c r="G255" s="84">
        <v>2750.4926289999999</v>
      </c>
      <c r="H255" s="9">
        <f t="shared" si="19"/>
        <v>0.1114193940751364</v>
      </c>
      <c r="I255" s="9">
        <f t="shared" si="19"/>
        <v>0.16100464170695236</v>
      </c>
    </row>
    <row r="256" spans="1:9" ht="29.25">
      <c r="A256" s="103"/>
      <c r="B256" s="3" t="s">
        <v>267</v>
      </c>
      <c r="C256" s="33" t="s">
        <v>272</v>
      </c>
      <c r="D256" s="18"/>
      <c r="E256" s="19" t="s">
        <v>593</v>
      </c>
      <c r="H256" s="9">
        <f t="shared" si="19"/>
        <v>0</v>
      </c>
      <c r="I256" s="9">
        <f t="shared" si="19"/>
        <v>0</v>
      </c>
    </row>
    <row r="257" spans="1:9">
      <c r="A257" s="103"/>
      <c r="B257" s="3" t="s">
        <v>268</v>
      </c>
      <c r="C257" s="33" t="s">
        <v>271</v>
      </c>
      <c r="D257" s="18"/>
      <c r="E257" s="19" t="s">
        <v>594</v>
      </c>
      <c r="H257" s="9">
        <f t="shared" si="19"/>
        <v>0</v>
      </c>
      <c r="I257" s="9">
        <f t="shared" si="19"/>
        <v>0</v>
      </c>
    </row>
    <row r="258" spans="1:9" ht="29.25">
      <c r="A258" s="103"/>
      <c r="B258" s="3" t="s">
        <v>269</v>
      </c>
      <c r="C258" s="33" t="s">
        <v>275</v>
      </c>
      <c r="D258" s="18"/>
      <c r="E258" s="19" t="s">
        <v>595</v>
      </c>
      <c r="H258" s="9">
        <f t="shared" si="19"/>
        <v>0</v>
      </c>
      <c r="I258" s="9">
        <f t="shared" si="19"/>
        <v>0</v>
      </c>
    </row>
    <row r="259" spans="1:9">
      <c r="A259" s="103"/>
      <c r="B259" s="3" t="s">
        <v>270</v>
      </c>
      <c r="C259" s="33" t="s">
        <v>267</v>
      </c>
      <c r="D259" s="18"/>
      <c r="E259" s="19" t="s">
        <v>596</v>
      </c>
      <c r="H259" s="9">
        <f t="shared" si="19"/>
        <v>0</v>
      </c>
      <c r="I259" s="9">
        <f t="shared" si="19"/>
        <v>0</v>
      </c>
    </row>
    <row r="260" spans="1:9">
      <c r="A260" s="103"/>
      <c r="B260" s="3" t="s">
        <v>271</v>
      </c>
      <c r="C260" s="33" t="s">
        <v>274</v>
      </c>
      <c r="D260" s="18"/>
      <c r="E260" s="19" t="s">
        <v>597</v>
      </c>
      <c r="H260" s="9">
        <f t="shared" si="19"/>
        <v>0</v>
      </c>
      <c r="I260" s="9">
        <f t="shared" si="19"/>
        <v>0</v>
      </c>
    </row>
    <row r="261" spans="1:9">
      <c r="A261" s="103"/>
      <c r="B261" s="3" t="s">
        <v>272</v>
      </c>
      <c r="C261" s="33" t="s">
        <v>282</v>
      </c>
      <c r="D261" s="18"/>
      <c r="E261" s="19" t="s">
        <v>598</v>
      </c>
      <c r="H261" s="9">
        <f t="shared" si="19"/>
        <v>0</v>
      </c>
      <c r="I261" s="9">
        <f t="shared" si="19"/>
        <v>0</v>
      </c>
    </row>
    <row r="262" spans="1:9">
      <c r="A262" s="103"/>
      <c r="B262" s="3" t="s">
        <v>273</v>
      </c>
      <c r="C262" s="33" t="s">
        <v>287</v>
      </c>
      <c r="D262" s="18"/>
      <c r="E262" s="19" t="s">
        <v>599</v>
      </c>
      <c r="H262" s="9">
        <f t="shared" si="19"/>
        <v>0</v>
      </c>
      <c r="I262" s="9">
        <f t="shared" si="19"/>
        <v>0</v>
      </c>
    </row>
    <row r="263" spans="1:9" ht="15.75">
      <c r="A263" s="103"/>
      <c r="B263" s="3" t="s">
        <v>274</v>
      </c>
      <c r="C263" s="33" t="s">
        <v>265</v>
      </c>
      <c r="D263" s="18"/>
      <c r="E263" s="19" t="s">
        <v>600</v>
      </c>
      <c r="F263" s="84">
        <v>162.63505749999999</v>
      </c>
      <c r="G263" s="84">
        <v>511</v>
      </c>
      <c r="H263" s="9">
        <f t="shared" si="19"/>
        <v>2.531681220035855E-2</v>
      </c>
      <c r="I263" s="9">
        <f t="shared" si="19"/>
        <v>2.9912231374408332E-2</v>
      </c>
    </row>
    <row r="264" spans="1:9">
      <c r="A264" s="103"/>
      <c r="B264" s="3" t="s">
        <v>275</v>
      </c>
      <c r="C264" s="33" t="s">
        <v>293</v>
      </c>
      <c r="D264" s="18"/>
      <c r="E264" s="19" t="s">
        <v>601</v>
      </c>
      <c r="H264" s="9">
        <f t="shared" si="19"/>
        <v>0</v>
      </c>
      <c r="I264" s="9">
        <f t="shared" si="19"/>
        <v>0</v>
      </c>
    </row>
    <row r="265" spans="1:9">
      <c r="A265" s="103"/>
      <c r="B265" s="3" t="s">
        <v>276</v>
      </c>
      <c r="C265" s="33" t="s">
        <v>292</v>
      </c>
      <c r="D265" s="18"/>
      <c r="E265" s="19" t="s">
        <v>602</v>
      </c>
      <c r="H265" s="9">
        <f t="shared" si="19"/>
        <v>0</v>
      </c>
      <c r="I265" s="9">
        <f t="shared" si="19"/>
        <v>0</v>
      </c>
    </row>
    <row r="266" spans="1:9" ht="29.25">
      <c r="A266" s="103"/>
      <c r="B266" s="3" t="s">
        <v>277</v>
      </c>
      <c r="C266" s="33" t="s">
        <v>291</v>
      </c>
      <c r="D266" s="18"/>
      <c r="E266" s="19" t="s">
        <v>603</v>
      </c>
      <c r="H266" s="9">
        <f t="shared" si="19"/>
        <v>0</v>
      </c>
      <c r="I266" s="9">
        <f t="shared" si="19"/>
        <v>0</v>
      </c>
    </row>
    <row r="267" spans="1:9">
      <c r="A267" s="103"/>
      <c r="B267" s="3" t="s">
        <v>278</v>
      </c>
      <c r="C267" s="33" t="s">
        <v>290</v>
      </c>
      <c r="D267" s="18"/>
      <c r="E267" s="19" t="s">
        <v>604</v>
      </c>
      <c r="H267" s="9">
        <f t="shared" si="19"/>
        <v>0</v>
      </c>
      <c r="I267" s="9">
        <f t="shared" si="19"/>
        <v>0</v>
      </c>
    </row>
    <row r="268" spans="1:9" ht="29.25">
      <c r="A268" s="103"/>
      <c r="B268" s="3" t="s">
        <v>279</v>
      </c>
      <c r="C268" s="33" t="s">
        <v>289</v>
      </c>
      <c r="D268" s="18"/>
      <c r="E268" s="19" t="s">
        <v>605</v>
      </c>
      <c r="H268" s="9">
        <f t="shared" si="19"/>
        <v>0</v>
      </c>
      <c r="I268" s="9">
        <f t="shared" si="19"/>
        <v>0</v>
      </c>
    </row>
    <row r="269" spans="1:9" ht="29.25">
      <c r="A269" s="103"/>
      <c r="B269" s="3" t="s">
        <v>280</v>
      </c>
      <c r="C269" s="33" t="s">
        <v>286</v>
      </c>
      <c r="D269" s="18"/>
      <c r="E269" s="19" t="s">
        <v>606</v>
      </c>
      <c r="H269" s="9">
        <f t="shared" si="19"/>
        <v>0</v>
      </c>
      <c r="I269" s="9">
        <f t="shared" si="19"/>
        <v>0</v>
      </c>
    </row>
    <row r="270" spans="1:9">
      <c r="A270" s="103"/>
      <c r="B270" s="3" t="s">
        <v>281</v>
      </c>
      <c r="C270" s="33" t="s">
        <v>283</v>
      </c>
      <c r="D270" s="18"/>
      <c r="E270" s="19" t="s">
        <v>607</v>
      </c>
      <c r="H270" s="9">
        <f t="shared" si="19"/>
        <v>0</v>
      </c>
      <c r="I270" s="9">
        <f t="shared" si="19"/>
        <v>0</v>
      </c>
    </row>
    <row r="271" spans="1:9">
      <c r="A271" s="103"/>
      <c r="B271" s="3" t="s">
        <v>282</v>
      </c>
      <c r="C271" s="33" t="s">
        <v>276</v>
      </c>
      <c r="D271" s="18"/>
      <c r="E271" s="19" t="s">
        <v>608</v>
      </c>
      <c r="H271" s="9">
        <f t="shared" si="19"/>
        <v>0</v>
      </c>
      <c r="I271" s="9">
        <f t="shared" si="19"/>
        <v>0</v>
      </c>
    </row>
    <row r="272" spans="1:9">
      <c r="A272" s="103"/>
      <c r="B272" s="3" t="s">
        <v>283</v>
      </c>
      <c r="C272" s="33" t="s">
        <v>273</v>
      </c>
      <c r="D272" s="18"/>
      <c r="E272" s="19" t="s">
        <v>609</v>
      </c>
      <c r="H272" s="9">
        <f t="shared" si="19"/>
        <v>0</v>
      </c>
      <c r="I272" s="9">
        <f t="shared" si="19"/>
        <v>0</v>
      </c>
    </row>
    <row r="273" spans="1:9" ht="29.25">
      <c r="A273" s="103"/>
      <c r="B273" s="3" t="s">
        <v>284</v>
      </c>
      <c r="C273" s="33" t="s">
        <v>288</v>
      </c>
      <c r="D273" s="18"/>
      <c r="E273" s="19" t="s">
        <v>610</v>
      </c>
      <c r="H273" s="9">
        <f t="shared" si="19"/>
        <v>0</v>
      </c>
      <c r="I273" s="9">
        <f t="shared" si="19"/>
        <v>0</v>
      </c>
    </row>
    <row r="274" spans="1:9">
      <c r="A274" s="103"/>
      <c r="B274" s="3" t="s">
        <v>285</v>
      </c>
      <c r="C274" s="33" t="s">
        <v>284</v>
      </c>
      <c r="D274" s="18"/>
      <c r="E274" s="19" t="s">
        <v>611</v>
      </c>
      <c r="H274" s="9">
        <f t="shared" si="19"/>
        <v>0</v>
      </c>
      <c r="I274" s="9">
        <f t="shared" si="19"/>
        <v>0</v>
      </c>
    </row>
    <row r="275" spans="1:9">
      <c r="A275" s="103"/>
      <c r="B275" s="3" t="s">
        <v>286</v>
      </c>
      <c r="C275" s="33" t="s">
        <v>281</v>
      </c>
      <c r="D275" s="18"/>
      <c r="E275" s="19" t="s">
        <v>612</v>
      </c>
      <c r="H275" s="9">
        <f t="shared" si="19"/>
        <v>0</v>
      </c>
      <c r="I275" s="9">
        <f t="shared" si="19"/>
        <v>0</v>
      </c>
    </row>
    <row r="276" spans="1:9">
      <c r="A276" s="103"/>
      <c r="B276" s="3" t="s">
        <v>287</v>
      </c>
      <c r="C276" s="33" t="s">
        <v>278</v>
      </c>
      <c r="D276" s="18"/>
      <c r="E276" s="19" t="s">
        <v>613</v>
      </c>
      <c r="H276" s="9">
        <f t="shared" si="19"/>
        <v>0</v>
      </c>
      <c r="I276" s="9">
        <f t="shared" si="19"/>
        <v>0</v>
      </c>
    </row>
    <row r="277" spans="1:9">
      <c r="A277" s="103"/>
      <c r="B277" s="3" t="s">
        <v>288</v>
      </c>
      <c r="C277" s="33" t="s">
        <v>255</v>
      </c>
      <c r="D277" s="18"/>
      <c r="E277" s="19" t="s">
        <v>614</v>
      </c>
      <c r="H277" s="9">
        <f t="shared" si="19"/>
        <v>0</v>
      </c>
      <c r="I277" s="9">
        <f t="shared" si="19"/>
        <v>0</v>
      </c>
    </row>
    <row r="278" spans="1:9">
      <c r="A278" s="103"/>
      <c r="B278" s="3" t="s">
        <v>289</v>
      </c>
      <c r="C278" s="33" t="s">
        <v>256</v>
      </c>
      <c r="D278" s="18"/>
      <c r="E278" s="19" t="s">
        <v>615</v>
      </c>
      <c r="H278" s="9">
        <f t="shared" si="19"/>
        <v>0</v>
      </c>
      <c r="I278" s="9">
        <f t="shared" si="19"/>
        <v>0</v>
      </c>
    </row>
    <row r="279" spans="1:9">
      <c r="A279" s="103"/>
      <c r="B279" s="3" t="s">
        <v>290</v>
      </c>
      <c r="C279" s="33" t="s">
        <v>261</v>
      </c>
      <c r="D279" s="18"/>
      <c r="E279" s="19" t="s">
        <v>616</v>
      </c>
      <c r="H279" s="9">
        <f t="shared" si="19"/>
        <v>0</v>
      </c>
      <c r="I279" s="9">
        <f t="shared" si="19"/>
        <v>0</v>
      </c>
    </row>
    <row r="280" spans="1:9">
      <c r="A280" s="103"/>
      <c r="B280" s="3" t="s">
        <v>291</v>
      </c>
      <c r="C280" s="33" t="s">
        <v>259</v>
      </c>
      <c r="D280" s="18"/>
      <c r="E280" s="19" t="s">
        <v>617</v>
      </c>
      <c r="H280" s="9">
        <f t="shared" si="19"/>
        <v>0</v>
      </c>
      <c r="I280" s="9">
        <f t="shared" si="19"/>
        <v>0</v>
      </c>
    </row>
    <row r="281" spans="1:9" ht="15.75">
      <c r="A281" s="103"/>
      <c r="B281" s="3" t="s">
        <v>292</v>
      </c>
      <c r="C281" s="33" t="s">
        <v>260</v>
      </c>
      <c r="D281" s="35"/>
      <c r="E281" s="19" t="s">
        <v>618</v>
      </c>
      <c r="F281" s="84">
        <v>149.62425289999999</v>
      </c>
      <c r="G281" s="84">
        <v>470.12</v>
      </c>
      <c r="H281" s="9">
        <f t="shared" si="19"/>
        <v>2.3291467224329867E-2</v>
      </c>
      <c r="I281" s="9">
        <f t="shared" si="19"/>
        <v>2.7519252864455664E-2</v>
      </c>
    </row>
    <row r="282" spans="1:9">
      <c r="A282" s="103"/>
      <c r="B282" s="3" t="s">
        <v>293</v>
      </c>
      <c r="C282" s="33" t="s">
        <v>258</v>
      </c>
      <c r="D282" s="18"/>
      <c r="E282" s="19" t="s">
        <v>619</v>
      </c>
      <c r="H282" s="9">
        <f t="shared" si="19"/>
        <v>0</v>
      </c>
      <c r="I282" s="9">
        <f t="shared" si="19"/>
        <v>0</v>
      </c>
    </row>
    <row r="283" spans="1:9" ht="15.75">
      <c r="A283" s="103"/>
      <c r="B283" s="3" t="s">
        <v>294</v>
      </c>
      <c r="C283" s="33" t="s">
        <v>257</v>
      </c>
      <c r="D283" s="18"/>
      <c r="E283" s="19" t="s">
        <v>620</v>
      </c>
      <c r="F283" s="84">
        <v>149.62425289999999</v>
      </c>
      <c r="G283" s="84">
        <v>470.12</v>
      </c>
      <c r="H283" s="9">
        <f t="shared" si="19"/>
        <v>2.3291467224329867E-2</v>
      </c>
      <c r="I283" s="9">
        <f t="shared" si="19"/>
        <v>2.7519252864455664E-2</v>
      </c>
    </row>
    <row r="284" spans="1:9" ht="15.75">
      <c r="A284" s="103"/>
      <c r="B284" s="3" t="s">
        <v>295</v>
      </c>
      <c r="C284" s="33" t="s">
        <v>262</v>
      </c>
      <c r="D284" s="18"/>
      <c r="E284" s="19" t="s">
        <v>621</v>
      </c>
      <c r="F284" s="84">
        <v>299.24850579999998</v>
      </c>
      <c r="G284" s="84">
        <v>940.24</v>
      </c>
      <c r="H284" s="9">
        <f t="shared" si="19"/>
        <v>4.6582934448659734E-2</v>
      </c>
      <c r="I284" s="9">
        <f t="shared" si="19"/>
        <v>5.5038505728911329E-2</v>
      </c>
    </row>
    <row r="285" spans="1:9">
      <c r="A285" s="103" t="s">
        <v>27</v>
      </c>
      <c r="B285" s="3" t="s">
        <v>296</v>
      </c>
      <c r="C285" s="24" t="s">
        <v>298</v>
      </c>
      <c r="E285" s="22" t="s">
        <v>630</v>
      </c>
    </row>
    <row r="286" spans="1:9">
      <c r="A286" s="103"/>
      <c r="B286" s="3" t="s">
        <v>297</v>
      </c>
      <c r="C286" s="22" t="s">
        <v>297</v>
      </c>
      <c r="E286" s="22" t="s">
        <v>631</v>
      </c>
    </row>
    <row r="287" spans="1:9">
      <c r="A287" s="103"/>
      <c r="B287" s="3" t="s">
        <v>298</v>
      </c>
      <c r="C287" s="22" t="s">
        <v>299</v>
      </c>
      <c r="E287" s="22" t="s">
        <v>632</v>
      </c>
    </row>
    <row r="288" spans="1:9">
      <c r="A288" s="103"/>
      <c r="B288" s="3" t="s">
        <v>299</v>
      </c>
      <c r="C288" s="33" t="s">
        <v>626</v>
      </c>
      <c r="E288" s="22" t="s">
        <v>633</v>
      </c>
    </row>
    <row r="289" spans="1:5">
      <c r="A289" s="103"/>
      <c r="B289" s="3" t="s">
        <v>300</v>
      </c>
      <c r="C289" s="24" t="s">
        <v>627</v>
      </c>
      <c r="E289" s="22" t="s">
        <v>634</v>
      </c>
    </row>
    <row r="290" spans="1:5">
      <c r="A290" s="103"/>
      <c r="B290" s="3" t="s">
        <v>301</v>
      </c>
      <c r="C290" s="24" t="s">
        <v>628</v>
      </c>
      <c r="E290" s="22" t="s">
        <v>635</v>
      </c>
    </row>
    <row r="291" spans="1:5">
      <c r="A291" s="103"/>
      <c r="B291" s="3" t="s">
        <v>302</v>
      </c>
      <c r="C291" s="24" t="s">
        <v>629</v>
      </c>
      <c r="E291" s="22" t="s">
        <v>636</v>
      </c>
    </row>
    <row r="292" spans="1:5">
      <c r="A292" s="103" t="s">
        <v>637</v>
      </c>
      <c r="B292" s="3" t="s">
        <v>303</v>
      </c>
      <c r="C292" s="24" t="s">
        <v>305</v>
      </c>
      <c r="D292" s="23"/>
      <c r="E292" s="24" t="s">
        <v>638</v>
      </c>
    </row>
    <row r="293" spans="1:5">
      <c r="A293" s="103"/>
      <c r="B293" s="3" t="s">
        <v>304</v>
      </c>
      <c r="C293" s="24" t="s">
        <v>307</v>
      </c>
      <c r="D293" s="23"/>
      <c r="E293" s="24" t="s">
        <v>639</v>
      </c>
    </row>
    <row r="294" spans="1:5">
      <c r="A294" s="103"/>
      <c r="B294" s="3" t="s">
        <v>305</v>
      </c>
      <c r="C294" s="24" t="s">
        <v>309</v>
      </c>
      <c r="D294" s="23"/>
      <c r="E294" s="24" t="s">
        <v>640</v>
      </c>
    </row>
    <row r="295" spans="1:5">
      <c r="A295" s="103"/>
      <c r="B295" s="3" t="s">
        <v>306</v>
      </c>
      <c r="C295" s="24" t="s">
        <v>303</v>
      </c>
      <c r="D295" s="23"/>
      <c r="E295" s="24" t="s">
        <v>641</v>
      </c>
    </row>
    <row r="296" spans="1:5">
      <c r="A296" s="103"/>
      <c r="B296" s="3" t="s">
        <v>307</v>
      </c>
      <c r="C296" s="24" t="s">
        <v>308</v>
      </c>
      <c r="D296" s="23"/>
      <c r="E296" s="24" t="s">
        <v>642</v>
      </c>
    </row>
    <row r="297" spans="1:5">
      <c r="A297" s="103"/>
      <c r="B297" s="3" t="s">
        <v>308</v>
      </c>
      <c r="C297" s="24" t="s">
        <v>304</v>
      </c>
      <c r="D297" s="23"/>
      <c r="E297" s="24" t="s">
        <v>643</v>
      </c>
    </row>
    <row r="298" spans="1:5">
      <c r="A298" s="103"/>
      <c r="B298" s="3" t="s">
        <v>309</v>
      </c>
      <c r="C298" s="24" t="s">
        <v>306</v>
      </c>
      <c r="D298" s="23"/>
      <c r="E298" s="24" t="s">
        <v>644</v>
      </c>
    </row>
    <row r="299" spans="1:5">
      <c r="A299" s="29" t="s">
        <v>28</v>
      </c>
      <c r="B299" s="3" t="s">
        <v>310</v>
      </c>
      <c r="C299" s="37" t="s">
        <v>310</v>
      </c>
      <c r="D299" s="38"/>
      <c r="E299" s="37" t="s">
        <v>645</v>
      </c>
    </row>
    <row r="300" spans="1:5">
      <c r="A300" s="27" t="s">
        <v>29</v>
      </c>
      <c r="B300" s="3" t="s">
        <v>311</v>
      </c>
      <c r="C300" s="22" t="s">
        <v>311</v>
      </c>
      <c r="D300" s="19"/>
      <c r="E300" s="19" t="s">
        <v>646</v>
      </c>
    </row>
    <row r="301" spans="1:5">
      <c r="A301" s="103" t="s">
        <v>30</v>
      </c>
      <c r="B301" s="3" t="s">
        <v>35</v>
      </c>
      <c r="C301" s="22" t="s">
        <v>33</v>
      </c>
      <c r="D301" s="19"/>
      <c r="E301" s="22" t="s">
        <v>647</v>
      </c>
    </row>
    <row r="302" spans="1:5">
      <c r="A302" s="103"/>
      <c r="B302" s="3" t="s">
        <v>34</v>
      </c>
      <c r="C302" s="22" t="s">
        <v>34</v>
      </c>
      <c r="D302" s="19"/>
      <c r="E302" s="22" t="s">
        <v>648</v>
      </c>
    </row>
    <row r="303" spans="1:5">
      <c r="A303" s="103"/>
      <c r="B303" s="3" t="s">
        <v>33</v>
      </c>
      <c r="C303" s="22" t="s">
        <v>35</v>
      </c>
      <c r="D303" s="19"/>
      <c r="E303" s="22" t="s">
        <v>649</v>
      </c>
    </row>
    <row r="304" spans="1:5">
      <c r="A304" s="103" t="s">
        <v>31</v>
      </c>
      <c r="B304" s="3" t="s">
        <v>312</v>
      </c>
      <c r="C304" s="22" t="s">
        <v>315</v>
      </c>
      <c r="D304" s="19"/>
      <c r="E304" s="22" t="s">
        <v>650</v>
      </c>
    </row>
    <row r="305" spans="1:5">
      <c r="A305" s="103"/>
      <c r="B305" s="3" t="s">
        <v>313</v>
      </c>
      <c r="C305" s="22" t="s">
        <v>314</v>
      </c>
      <c r="D305" s="19"/>
      <c r="E305" s="22" t="s">
        <v>651</v>
      </c>
    </row>
    <row r="306" spans="1:5" ht="29.25">
      <c r="A306" s="103"/>
      <c r="B306" s="3" t="s">
        <v>314</v>
      </c>
      <c r="C306" s="22" t="s">
        <v>313</v>
      </c>
      <c r="D306" s="19"/>
      <c r="E306" s="19" t="s">
        <v>652</v>
      </c>
    </row>
    <row r="307" spans="1:5">
      <c r="A307" s="103"/>
      <c r="B307" s="3" t="s">
        <v>315</v>
      </c>
      <c r="C307" s="22" t="s">
        <v>312</v>
      </c>
      <c r="D307" s="19"/>
      <c r="E307" s="19" t="s">
        <v>653</v>
      </c>
    </row>
    <row r="308" spans="1:5">
      <c r="A308" s="29" t="s">
        <v>32</v>
      </c>
      <c r="B308" s="3" t="s">
        <v>316</v>
      </c>
      <c r="C308" s="39" t="s">
        <v>656</v>
      </c>
    </row>
    <row r="309" spans="1:5">
      <c r="A309" s="29" t="s">
        <v>655</v>
      </c>
      <c r="B309" s="3" t="s">
        <v>658</v>
      </c>
      <c r="C309" s="39" t="s">
        <v>658</v>
      </c>
      <c r="E309" s="3" t="s">
        <v>655</v>
      </c>
    </row>
    <row r="310" spans="1:5">
      <c r="A310" s="29" t="s">
        <v>654</v>
      </c>
      <c r="C310" s="39" t="s">
        <v>657</v>
      </c>
      <c r="E310" s="3" t="s">
        <v>654</v>
      </c>
    </row>
  </sheetData>
  <mergeCells count="27">
    <mergeCell ref="A71:A73"/>
    <mergeCell ref="A2:A12"/>
    <mergeCell ref="A13:A18"/>
    <mergeCell ref="A19:A26"/>
    <mergeCell ref="A27:A31"/>
    <mergeCell ref="A32:A69"/>
    <mergeCell ref="A217:A224"/>
    <mergeCell ref="A74:A86"/>
    <mergeCell ref="A87:A105"/>
    <mergeCell ref="A106:A132"/>
    <mergeCell ref="A133:A136"/>
    <mergeCell ref="A137:A157"/>
    <mergeCell ref="A160:A161"/>
    <mergeCell ref="A163:A170"/>
    <mergeCell ref="A172:A183"/>
    <mergeCell ref="A184:A192"/>
    <mergeCell ref="A193:A209"/>
    <mergeCell ref="A210:A216"/>
    <mergeCell ref="A292:A298"/>
    <mergeCell ref="A301:A303"/>
    <mergeCell ref="A304:A307"/>
    <mergeCell ref="A225:A226"/>
    <mergeCell ref="A227:A230"/>
    <mergeCell ref="A231:A235"/>
    <mergeCell ref="A236:A243"/>
    <mergeCell ref="A244:A284"/>
    <mergeCell ref="A285:A29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0"/>
  <sheetViews>
    <sheetView zoomScaleNormal="100" workbookViewId="0">
      <selection activeCell="G4" sqref="G4"/>
    </sheetView>
  </sheetViews>
  <sheetFormatPr baseColWidth="10" defaultRowHeight="15.75"/>
  <cols>
    <col min="1" max="1" width="19" bestFit="1" customWidth="1"/>
    <col min="2" max="2" width="6.125" bestFit="1" customWidth="1"/>
    <col min="3" max="3" width="17.875" customWidth="1"/>
    <col min="4" max="4" width="20.625" bestFit="1" customWidth="1"/>
    <col min="5" max="5" width="22.375" bestFit="1" customWidth="1"/>
    <col min="6" max="6" width="10" style="98" bestFit="1" customWidth="1"/>
  </cols>
  <sheetData>
    <row r="1" spans="1:14">
      <c r="A1" s="62" t="s">
        <v>0</v>
      </c>
      <c r="B1" s="62" t="s">
        <v>1</v>
      </c>
      <c r="C1" s="62" t="s">
        <v>2</v>
      </c>
      <c r="D1" s="62" t="s">
        <v>660</v>
      </c>
      <c r="E1" s="62" t="s">
        <v>900</v>
      </c>
      <c r="F1" s="96" t="s">
        <v>901</v>
      </c>
      <c r="G1" s="63"/>
      <c r="H1" s="63"/>
      <c r="I1" s="63"/>
      <c r="J1" s="64"/>
      <c r="K1" s="64"/>
      <c r="L1" s="64"/>
      <c r="M1" s="64"/>
      <c r="N1" s="64"/>
    </row>
    <row r="2" spans="1:14" ht="57.75">
      <c r="A2" s="104" t="s">
        <v>3</v>
      </c>
      <c r="B2" s="66" t="s">
        <v>36</v>
      </c>
      <c r="C2" s="46"/>
      <c r="D2" s="68" t="s">
        <v>622</v>
      </c>
      <c r="E2" s="64"/>
      <c r="F2" s="97"/>
      <c r="G2" s="64"/>
      <c r="H2" s="64"/>
      <c r="I2" s="64"/>
      <c r="J2" s="69"/>
      <c r="K2" s="64"/>
      <c r="L2" s="64"/>
      <c r="M2" s="64"/>
      <c r="N2" s="64"/>
    </row>
    <row r="3" spans="1:14">
      <c r="A3" s="104"/>
      <c r="B3" s="66" t="s">
        <v>46</v>
      </c>
      <c r="C3" s="46" t="s">
        <v>661</v>
      </c>
      <c r="D3" s="68" t="s">
        <v>317</v>
      </c>
      <c r="E3" s="64">
        <v>650</v>
      </c>
      <c r="F3" s="97">
        <f t="shared" ref="F3:F9" si="0">E3/SUM(E$2:E$12)</f>
        <v>0.61904761904761907</v>
      </c>
      <c r="G3" s="69"/>
      <c r="H3" s="70"/>
      <c r="I3" s="64"/>
      <c r="J3" s="69"/>
      <c r="K3" s="64"/>
      <c r="L3" s="64"/>
      <c r="M3" s="64"/>
      <c r="N3" s="64"/>
    </row>
    <row r="4" spans="1:14">
      <c r="A4" s="104"/>
      <c r="B4" s="66" t="s">
        <v>40</v>
      </c>
      <c r="C4" s="46"/>
      <c r="D4" s="68" t="s">
        <v>318</v>
      </c>
      <c r="E4" s="64"/>
      <c r="F4" s="97"/>
      <c r="G4" s="64"/>
      <c r="H4" s="64"/>
      <c r="I4" s="64"/>
      <c r="J4" s="69"/>
      <c r="K4" s="64"/>
      <c r="L4" s="64"/>
      <c r="M4" s="64"/>
      <c r="N4" s="64"/>
    </row>
    <row r="5" spans="1:14">
      <c r="A5" s="104"/>
      <c r="B5" s="66" t="s">
        <v>44</v>
      </c>
      <c r="C5" s="46"/>
      <c r="D5" s="68" t="s">
        <v>319</v>
      </c>
      <c r="E5" s="64"/>
      <c r="F5" s="97"/>
      <c r="G5" s="64"/>
      <c r="H5" s="64"/>
      <c r="I5" s="64"/>
      <c r="J5" s="69"/>
      <c r="K5" s="64"/>
      <c r="L5" s="64"/>
      <c r="M5" s="64"/>
      <c r="N5" s="64"/>
    </row>
    <row r="6" spans="1:14">
      <c r="A6" s="104"/>
      <c r="B6" s="66" t="s">
        <v>45</v>
      </c>
      <c r="C6" s="46"/>
      <c r="D6" s="68" t="s">
        <v>320</v>
      </c>
      <c r="E6" s="64"/>
      <c r="F6" s="97"/>
      <c r="G6" s="64"/>
      <c r="H6" s="64"/>
      <c r="I6" s="64"/>
      <c r="J6" s="69"/>
      <c r="K6" s="64"/>
      <c r="L6" s="64"/>
      <c r="M6" s="64"/>
      <c r="N6" s="64"/>
    </row>
    <row r="7" spans="1:14">
      <c r="A7" s="104"/>
      <c r="B7" s="66" t="s">
        <v>37</v>
      </c>
      <c r="C7" s="46"/>
      <c r="D7" s="68" t="s">
        <v>321</v>
      </c>
      <c r="E7" s="64"/>
      <c r="F7" s="97"/>
      <c r="G7" s="64"/>
      <c r="H7" s="64"/>
      <c r="I7" s="64"/>
      <c r="J7" s="69"/>
      <c r="K7" s="64"/>
      <c r="L7" s="64"/>
      <c r="M7" s="64"/>
      <c r="N7" s="64"/>
    </row>
    <row r="8" spans="1:14">
      <c r="A8" s="104"/>
      <c r="B8" s="66" t="s">
        <v>43</v>
      </c>
      <c r="C8" s="46"/>
      <c r="D8" s="68" t="s">
        <v>322</v>
      </c>
      <c r="E8" s="64"/>
      <c r="F8" s="97"/>
      <c r="G8" s="64"/>
      <c r="H8" s="64"/>
      <c r="I8" s="64"/>
      <c r="J8" s="69"/>
      <c r="K8" s="64"/>
      <c r="L8" s="64"/>
      <c r="M8" s="64"/>
      <c r="N8" s="64"/>
    </row>
    <row r="9" spans="1:14">
      <c r="A9" s="104"/>
      <c r="B9" s="66" t="s">
        <v>42</v>
      </c>
      <c r="C9" s="46" t="s">
        <v>920</v>
      </c>
      <c r="D9" s="68" t="s">
        <v>323</v>
      </c>
      <c r="E9" s="64">
        <v>400</v>
      </c>
      <c r="F9" s="97">
        <f t="shared" si="0"/>
        <v>0.38095238095238093</v>
      </c>
      <c r="G9" s="64"/>
      <c r="H9" s="64"/>
      <c r="I9" s="64"/>
      <c r="J9" s="69"/>
      <c r="K9" s="64"/>
      <c r="L9" s="64"/>
      <c r="M9" s="64"/>
      <c r="N9" s="64"/>
    </row>
    <row r="10" spans="1:14">
      <c r="A10" s="104"/>
      <c r="B10" s="66" t="s">
        <v>41</v>
      </c>
      <c r="C10" s="46"/>
      <c r="D10" s="68" t="s">
        <v>324</v>
      </c>
      <c r="E10" s="64"/>
      <c r="F10" s="97"/>
      <c r="G10" s="64"/>
      <c r="H10" s="64"/>
      <c r="I10" s="64"/>
      <c r="J10" s="69"/>
      <c r="K10" s="64"/>
      <c r="L10" s="64"/>
      <c r="M10" s="64"/>
      <c r="N10" s="64"/>
    </row>
    <row r="11" spans="1:14">
      <c r="A11" s="104"/>
      <c r="B11" s="66" t="s">
        <v>39</v>
      </c>
      <c r="C11" s="46"/>
      <c r="D11" s="68" t="s">
        <v>325</v>
      </c>
      <c r="E11" s="64"/>
      <c r="F11" s="97"/>
      <c r="G11" s="64"/>
      <c r="H11" s="64"/>
      <c r="I11" s="64"/>
      <c r="J11" s="69"/>
      <c r="K11" s="64"/>
      <c r="L11" s="64"/>
      <c r="M11" s="64"/>
      <c r="N11" s="64"/>
    </row>
    <row r="12" spans="1:14">
      <c r="A12" s="104"/>
      <c r="B12" s="66" t="s">
        <v>38</v>
      </c>
      <c r="C12" s="46"/>
      <c r="D12" s="68" t="s">
        <v>326</v>
      </c>
      <c r="E12" s="64"/>
      <c r="F12" s="97"/>
      <c r="G12" s="64"/>
      <c r="H12" s="64"/>
      <c r="I12" s="64"/>
      <c r="J12" s="69"/>
      <c r="K12" s="64"/>
      <c r="L12" s="64"/>
      <c r="M12" s="64"/>
      <c r="N12" s="64"/>
    </row>
    <row r="13" spans="1:14">
      <c r="A13" s="104" t="s">
        <v>4</v>
      </c>
      <c r="B13" s="66" t="s">
        <v>47</v>
      </c>
      <c r="C13" s="46"/>
      <c r="D13" s="68" t="s">
        <v>327</v>
      </c>
      <c r="E13" s="64"/>
      <c r="F13" s="97"/>
      <c r="G13" s="64"/>
      <c r="H13" s="64"/>
      <c r="I13" s="64"/>
      <c r="J13" s="69"/>
      <c r="K13" s="64"/>
      <c r="L13" s="64"/>
      <c r="M13" s="64"/>
      <c r="N13" s="64"/>
    </row>
    <row r="14" spans="1:14">
      <c r="A14" s="104"/>
      <c r="B14" s="66" t="s">
        <v>49</v>
      </c>
      <c r="C14" s="46"/>
      <c r="D14" s="68" t="s">
        <v>328</v>
      </c>
      <c r="E14" s="64"/>
      <c r="F14" s="97"/>
      <c r="G14" s="64"/>
      <c r="H14" s="64"/>
      <c r="I14" s="64"/>
      <c r="J14" s="69"/>
      <c r="K14" s="64"/>
      <c r="L14" s="64"/>
      <c r="M14" s="64"/>
      <c r="N14" s="64"/>
    </row>
    <row r="15" spans="1:14">
      <c r="A15" s="104"/>
      <c r="B15" s="66" t="s">
        <v>50</v>
      </c>
      <c r="C15" s="46" t="s">
        <v>934</v>
      </c>
      <c r="D15" s="68" t="s">
        <v>329</v>
      </c>
      <c r="E15" s="64">
        <f>1118/3</f>
        <v>372.66666666666669</v>
      </c>
      <c r="F15" s="97">
        <f t="shared" ref="F15:F18" si="1">E15/SUM(E$13:E$18)</f>
        <v>0.33333333333333337</v>
      </c>
      <c r="G15" s="64"/>
      <c r="H15" s="64"/>
      <c r="I15" s="64"/>
      <c r="J15" s="69"/>
      <c r="K15" s="64"/>
      <c r="L15" s="64"/>
      <c r="M15" s="64"/>
      <c r="N15" s="64"/>
    </row>
    <row r="16" spans="1:14">
      <c r="A16" s="104"/>
      <c r="B16" s="66" t="s">
        <v>51</v>
      </c>
      <c r="C16" s="46"/>
      <c r="D16" s="68" t="s">
        <v>330</v>
      </c>
      <c r="E16" s="64"/>
      <c r="F16" s="97"/>
      <c r="G16" s="64"/>
      <c r="H16" s="64"/>
      <c r="I16" s="64"/>
      <c r="J16" s="69"/>
      <c r="K16" s="64"/>
      <c r="L16" s="64"/>
      <c r="M16" s="64"/>
      <c r="N16" s="64"/>
    </row>
    <row r="17" spans="1:14">
      <c r="A17" s="104"/>
      <c r="B17" s="66" t="s">
        <v>52</v>
      </c>
      <c r="C17" s="46" t="s">
        <v>932</v>
      </c>
      <c r="D17" s="68" t="s">
        <v>331</v>
      </c>
      <c r="E17" s="64">
        <f>1118/3</f>
        <v>372.66666666666669</v>
      </c>
      <c r="F17" s="97">
        <f t="shared" si="1"/>
        <v>0.33333333333333337</v>
      </c>
      <c r="G17" s="64"/>
      <c r="H17" s="64"/>
      <c r="I17" s="64"/>
      <c r="J17" s="69"/>
      <c r="K17" s="64"/>
      <c r="L17" s="64"/>
      <c r="M17" s="64"/>
      <c r="N17" s="64"/>
    </row>
    <row r="18" spans="1:14">
      <c r="A18" s="104"/>
      <c r="B18" s="66" t="s">
        <v>48</v>
      </c>
      <c r="C18" s="46" t="s">
        <v>933</v>
      </c>
      <c r="D18" s="68" t="s">
        <v>332</v>
      </c>
      <c r="E18" s="64">
        <f>1118/3</f>
        <v>372.66666666666669</v>
      </c>
      <c r="F18" s="97">
        <f t="shared" si="1"/>
        <v>0.33333333333333337</v>
      </c>
      <c r="G18" s="64"/>
      <c r="H18" s="64"/>
      <c r="I18" s="64"/>
      <c r="J18" s="69"/>
      <c r="K18" s="64"/>
      <c r="L18" s="64"/>
      <c r="M18" s="64"/>
      <c r="N18" s="64"/>
    </row>
    <row r="19" spans="1:14">
      <c r="A19" s="104" t="s">
        <v>5</v>
      </c>
      <c r="B19" s="66" t="s">
        <v>54</v>
      </c>
      <c r="C19" s="46" t="s">
        <v>929</v>
      </c>
      <c r="D19" s="68" t="s">
        <v>333</v>
      </c>
      <c r="E19" s="64">
        <v>350</v>
      </c>
      <c r="F19" s="97">
        <v>1</v>
      </c>
      <c r="G19" s="64"/>
      <c r="H19" s="64"/>
      <c r="I19" s="64"/>
      <c r="J19" s="69"/>
      <c r="K19" s="64"/>
      <c r="L19" s="64"/>
      <c r="M19" s="64"/>
      <c r="N19" s="64"/>
    </row>
    <row r="20" spans="1:14">
      <c r="A20" s="104"/>
      <c r="B20" s="66" t="s">
        <v>53</v>
      </c>
      <c r="C20" s="46"/>
      <c r="D20" s="68" t="s">
        <v>334</v>
      </c>
      <c r="E20" s="64"/>
      <c r="F20" s="97"/>
      <c r="G20" s="64"/>
      <c r="H20" s="64"/>
      <c r="I20" s="64"/>
      <c r="J20" s="69"/>
      <c r="K20" s="64"/>
      <c r="L20" s="64"/>
      <c r="M20" s="64"/>
      <c r="N20" s="64"/>
    </row>
    <row r="21" spans="1:14">
      <c r="A21" s="104"/>
      <c r="B21" s="66" t="s">
        <v>60</v>
      </c>
      <c r="C21" s="46"/>
      <c r="D21" s="68" t="s">
        <v>335</v>
      </c>
      <c r="E21" s="64"/>
      <c r="F21" s="97"/>
      <c r="G21" s="64"/>
      <c r="H21" s="64"/>
      <c r="I21" s="64"/>
      <c r="J21" s="69"/>
      <c r="K21" s="64"/>
      <c r="L21" s="64"/>
      <c r="M21" s="64"/>
      <c r="N21" s="64"/>
    </row>
    <row r="22" spans="1:14">
      <c r="A22" s="104"/>
      <c r="B22" s="66" t="s">
        <v>58</v>
      </c>
      <c r="C22" s="71"/>
      <c r="D22" s="68" t="s">
        <v>336</v>
      </c>
      <c r="E22" s="64"/>
      <c r="F22" s="97"/>
      <c r="G22" s="64"/>
      <c r="H22" s="64"/>
      <c r="I22" s="64"/>
      <c r="J22" s="69"/>
      <c r="K22" s="64"/>
      <c r="L22" s="64"/>
      <c r="M22" s="64"/>
      <c r="N22" s="64"/>
    </row>
    <row r="23" spans="1:14">
      <c r="A23" s="104"/>
      <c r="B23" s="66" t="s">
        <v>57</v>
      </c>
      <c r="C23" s="46"/>
      <c r="D23" s="68" t="s">
        <v>337</v>
      </c>
      <c r="E23" s="64"/>
      <c r="F23" s="97"/>
      <c r="G23" s="64"/>
      <c r="H23" s="64"/>
      <c r="I23" s="64"/>
      <c r="J23" s="69"/>
      <c r="K23" s="64"/>
      <c r="L23" s="64"/>
      <c r="M23" s="64"/>
      <c r="N23" s="64"/>
    </row>
    <row r="24" spans="1:14">
      <c r="A24" s="104"/>
      <c r="B24" s="66" t="s">
        <v>59</v>
      </c>
      <c r="C24" s="46"/>
      <c r="D24" s="68" t="s">
        <v>338</v>
      </c>
      <c r="E24" s="64"/>
      <c r="F24" s="97"/>
      <c r="G24" s="64"/>
      <c r="H24" s="64"/>
      <c r="I24" s="64"/>
      <c r="J24" s="69"/>
      <c r="K24" s="64"/>
      <c r="L24" s="64"/>
      <c r="M24" s="64"/>
      <c r="N24" s="64"/>
    </row>
    <row r="25" spans="1:14">
      <c r="A25" s="104"/>
      <c r="B25" s="66" t="s">
        <v>55</v>
      </c>
      <c r="C25" s="46"/>
      <c r="D25" s="68" t="s">
        <v>339</v>
      </c>
      <c r="E25" s="64"/>
      <c r="F25" s="97"/>
      <c r="G25" s="64"/>
      <c r="H25" s="64"/>
      <c r="I25" s="64"/>
      <c r="J25" s="69"/>
      <c r="K25" s="64"/>
      <c r="L25" s="64"/>
      <c r="M25" s="64"/>
      <c r="N25" s="64"/>
    </row>
    <row r="26" spans="1:14">
      <c r="A26" s="104"/>
      <c r="B26" s="66" t="s">
        <v>56</v>
      </c>
      <c r="C26" s="46"/>
      <c r="D26" s="68" t="s">
        <v>340</v>
      </c>
      <c r="E26" s="64"/>
      <c r="F26" s="97"/>
      <c r="G26" s="64"/>
      <c r="H26" s="64"/>
      <c r="I26" s="64"/>
      <c r="J26" s="69"/>
      <c r="K26" s="64"/>
      <c r="L26" s="64"/>
      <c r="M26" s="64"/>
      <c r="N26" s="64"/>
    </row>
    <row r="27" spans="1:14">
      <c r="A27" s="104" t="s">
        <v>6</v>
      </c>
      <c r="B27" s="66" t="s">
        <v>64</v>
      </c>
      <c r="C27" s="46"/>
      <c r="D27" s="68" t="s">
        <v>341</v>
      </c>
      <c r="E27" s="64"/>
      <c r="F27" s="97"/>
      <c r="G27" s="64"/>
      <c r="H27" s="64"/>
      <c r="I27" s="64"/>
      <c r="J27" s="69"/>
      <c r="K27" s="64"/>
      <c r="L27" s="64"/>
      <c r="M27" s="64"/>
      <c r="N27" s="64"/>
    </row>
    <row r="28" spans="1:14">
      <c r="A28" s="104"/>
      <c r="B28" s="66" t="s">
        <v>61</v>
      </c>
      <c r="C28" s="46"/>
      <c r="D28" s="68" t="s">
        <v>342</v>
      </c>
      <c r="E28" s="64"/>
      <c r="F28" s="97"/>
      <c r="G28" s="64"/>
      <c r="H28" s="64"/>
      <c r="I28" s="64"/>
      <c r="J28" s="69"/>
      <c r="K28" s="64"/>
      <c r="L28" s="64"/>
      <c r="M28" s="64"/>
      <c r="N28" s="64"/>
    </row>
    <row r="29" spans="1:14">
      <c r="A29" s="104"/>
      <c r="B29" s="66" t="s">
        <v>63</v>
      </c>
      <c r="C29" s="46"/>
      <c r="D29" s="68" t="s">
        <v>343</v>
      </c>
      <c r="E29" s="64"/>
      <c r="F29" s="97"/>
      <c r="G29" s="64"/>
      <c r="H29" s="64"/>
      <c r="I29" s="64"/>
      <c r="J29" s="69"/>
      <c r="K29" s="64"/>
      <c r="L29" s="64"/>
      <c r="M29" s="64"/>
      <c r="N29" s="64"/>
    </row>
    <row r="30" spans="1:14">
      <c r="A30" s="104"/>
      <c r="B30" s="66" t="s">
        <v>65</v>
      </c>
      <c r="C30" s="46"/>
      <c r="D30" s="68" t="s">
        <v>344</v>
      </c>
      <c r="E30" s="64"/>
      <c r="F30" s="97"/>
      <c r="G30" s="64"/>
      <c r="H30" s="64"/>
      <c r="I30" s="64"/>
      <c r="J30" s="69"/>
      <c r="K30" s="64"/>
      <c r="L30" s="64"/>
      <c r="M30" s="64"/>
      <c r="N30" s="64"/>
    </row>
    <row r="31" spans="1:14">
      <c r="A31" s="104"/>
      <c r="B31" s="66" t="s">
        <v>62</v>
      </c>
      <c r="C31" s="46"/>
      <c r="D31" s="68" t="s">
        <v>345</v>
      </c>
      <c r="E31" s="64"/>
      <c r="F31" s="97"/>
      <c r="G31" s="64"/>
      <c r="H31" s="64"/>
      <c r="I31" s="64"/>
      <c r="J31" s="69"/>
      <c r="K31" s="64"/>
      <c r="L31" s="64"/>
      <c r="M31" s="64"/>
      <c r="N31" s="64"/>
    </row>
    <row r="32" spans="1:14">
      <c r="A32" s="104" t="s">
        <v>7</v>
      </c>
      <c r="B32" s="66" t="s">
        <v>101</v>
      </c>
      <c r="C32" s="46"/>
      <c r="D32" s="68" t="s">
        <v>346</v>
      </c>
      <c r="E32" s="64"/>
      <c r="F32" s="97"/>
      <c r="G32" s="64"/>
      <c r="H32" s="64"/>
      <c r="I32" s="64"/>
      <c r="J32" s="69"/>
      <c r="K32" s="64"/>
      <c r="L32" s="64"/>
      <c r="M32" s="64"/>
      <c r="N32" s="64"/>
    </row>
    <row r="33" spans="1:14">
      <c r="A33" s="104"/>
      <c r="B33" s="66" t="s">
        <v>102</v>
      </c>
      <c r="C33" s="46"/>
      <c r="D33" s="68" t="s">
        <v>347</v>
      </c>
      <c r="E33" s="64"/>
      <c r="F33" s="97"/>
      <c r="G33" s="64"/>
      <c r="H33" s="64"/>
      <c r="I33" s="64"/>
      <c r="J33" s="69"/>
      <c r="K33" s="64"/>
      <c r="L33" s="64"/>
      <c r="M33" s="64"/>
      <c r="N33" s="64"/>
    </row>
    <row r="34" spans="1:14">
      <c r="A34" s="104"/>
      <c r="B34" s="66" t="s">
        <v>103</v>
      </c>
      <c r="C34" s="46"/>
      <c r="D34" s="68" t="s">
        <v>348</v>
      </c>
      <c r="E34" s="64"/>
      <c r="F34" s="97"/>
      <c r="G34" s="64"/>
      <c r="H34" s="64"/>
      <c r="I34" s="64"/>
      <c r="J34" s="69"/>
      <c r="K34" s="64"/>
      <c r="L34" s="64"/>
      <c r="M34" s="64"/>
      <c r="N34" s="64"/>
    </row>
    <row r="35" spans="1:14">
      <c r="A35" s="104"/>
      <c r="B35" s="66" t="s">
        <v>100</v>
      </c>
      <c r="C35" s="46"/>
      <c r="D35" s="68" t="s">
        <v>349</v>
      </c>
      <c r="E35" s="64"/>
      <c r="F35" s="97"/>
      <c r="G35" s="64"/>
      <c r="H35" s="64"/>
      <c r="I35" s="64"/>
      <c r="J35" s="69"/>
      <c r="K35" s="64"/>
      <c r="L35" s="64"/>
      <c r="M35" s="64"/>
      <c r="N35" s="64"/>
    </row>
    <row r="36" spans="1:14">
      <c r="A36" s="104"/>
      <c r="B36" s="66" t="s">
        <v>97</v>
      </c>
      <c r="C36" s="73"/>
      <c r="D36" s="68" t="s">
        <v>350</v>
      </c>
      <c r="E36" s="64"/>
      <c r="F36" s="97"/>
      <c r="G36" s="64"/>
      <c r="H36" s="64"/>
      <c r="I36" s="64"/>
      <c r="J36" s="69"/>
      <c r="K36" s="64"/>
      <c r="L36" s="64"/>
      <c r="M36" s="64"/>
      <c r="N36" s="64"/>
    </row>
    <row r="37" spans="1:14">
      <c r="A37" s="104"/>
      <c r="B37" s="66" t="s">
        <v>98</v>
      </c>
      <c r="C37" s="46"/>
      <c r="D37" s="68" t="s">
        <v>351</v>
      </c>
      <c r="E37" s="64"/>
      <c r="F37" s="97"/>
      <c r="G37" s="64"/>
      <c r="H37" s="64"/>
      <c r="I37" s="64"/>
      <c r="J37" s="69"/>
      <c r="K37" s="64"/>
      <c r="L37" s="64"/>
      <c r="M37" s="64"/>
      <c r="N37" s="64"/>
    </row>
    <row r="38" spans="1:14">
      <c r="A38" s="104"/>
      <c r="B38" s="66" t="s">
        <v>95</v>
      </c>
      <c r="C38" s="46"/>
      <c r="D38" s="68" t="s">
        <v>352</v>
      </c>
      <c r="E38" s="64"/>
      <c r="F38" s="97"/>
      <c r="G38" s="64"/>
      <c r="H38" s="64"/>
      <c r="I38" s="64"/>
      <c r="J38" s="69"/>
      <c r="K38" s="64"/>
      <c r="L38" s="64"/>
      <c r="M38" s="64"/>
      <c r="N38" s="64"/>
    </row>
    <row r="39" spans="1:14">
      <c r="A39" s="104"/>
      <c r="B39" s="66" t="s">
        <v>96</v>
      </c>
      <c r="C39" s="46"/>
      <c r="D39" s="68" t="s">
        <v>353</v>
      </c>
      <c r="E39" s="64"/>
      <c r="F39" s="97"/>
      <c r="G39" s="64"/>
      <c r="H39" s="64"/>
      <c r="I39" s="64"/>
      <c r="J39" s="69"/>
      <c r="K39" s="64"/>
      <c r="L39" s="64"/>
      <c r="M39" s="64"/>
      <c r="N39" s="64"/>
    </row>
    <row r="40" spans="1:14">
      <c r="A40" s="104"/>
      <c r="B40" s="66" t="s">
        <v>99</v>
      </c>
      <c r="C40" s="46"/>
      <c r="D40" s="68" t="s">
        <v>354</v>
      </c>
      <c r="E40" s="64"/>
      <c r="F40" s="97"/>
      <c r="G40" s="64"/>
      <c r="H40" s="64"/>
      <c r="I40" s="64"/>
      <c r="J40" s="69"/>
      <c r="K40" s="64"/>
      <c r="L40" s="64"/>
      <c r="M40" s="64"/>
      <c r="N40" s="64"/>
    </row>
    <row r="41" spans="1:14">
      <c r="A41" s="104"/>
      <c r="B41" s="66" t="s">
        <v>93</v>
      </c>
      <c r="C41" s="46"/>
      <c r="D41" s="68" t="s">
        <v>355</v>
      </c>
      <c r="E41" s="64"/>
      <c r="F41" s="97"/>
      <c r="G41" s="64"/>
      <c r="H41" s="64"/>
      <c r="I41" s="64"/>
      <c r="J41" s="69"/>
      <c r="K41" s="64"/>
      <c r="L41" s="64"/>
      <c r="M41" s="64"/>
      <c r="N41" s="64"/>
    </row>
    <row r="42" spans="1:14">
      <c r="A42" s="104"/>
      <c r="B42" s="66" t="s">
        <v>94</v>
      </c>
      <c r="C42" s="46"/>
      <c r="D42" s="68" t="s">
        <v>356</v>
      </c>
      <c r="E42" s="64"/>
      <c r="F42" s="97"/>
      <c r="G42" s="64"/>
      <c r="H42" s="64"/>
      <c r="I42" s="64"/>
      <c r="J42" s="69"/>
      <c r="K42" s="64"/>
      <c r="L42" s="64"/>
      <c r="M42" s="64"/>
      <c r="N42" s="64"/>
    </row>
    <row r="43" spans="1:14">
      <c r="A43" s="104"/>
      <c r="B43" s="66" t="s">
        <v>92</v>
      </c>
      <c r="C43" s="46"/>
      <c r="D43" s="68" t="s">
        <v>357</v>
      </c>
      <c r="E43" s="64"/>
      <c r="F43" s="97"/>
      <c r="G43" s="64"/>
      <c r="H43" s="64"/>
      <c r="I43" s="64"/>
      <c r="J43" s="69"/>
      <c r="K43" s="64"/>
      <c r="L43" s="64"/>
      <c r="M43" s="64"/>
      <c r="N43" s="64"/>
    </row>
    <row r="44" spans="1:14">
      <c r="A44" s="104"/>
      <c r="B44" s="66" t="s">
        <v>91</v>
      </c>
      <c r="C44" s="46"/>
      <c r="D44" s="68" t="s">
        <v>358</v>
      </c>
      <c r="E44" s="64"/>
      <c r="F44" s="97"/>
      <c r="G44" s="64"/>
      <c r="H44" s="64"/>
      <c r="I44" s="64"/>
      <c r="J44" s="69"/>
      <c r="K44" s="64"/>
      <c r="L44" s="64"/>
      <c r="M44" s="64"/>
      <c r="N44" s="64"/>
    </row>
    <row r="45" spans="1:14">
      <c r="A45" s="104"/>
      <c r="B45" s="66" t="s">
        <v>90</v>
      </c>
      <c r="C45" s="46"/>
      <c r="D45" s="68" t="s">
        <v>359</v>
      </c>
      <c r="E45" s="64"/>
      <c r="F45" s="97"/>
      <c r="G45" s="64"/>
      <c r="H45" s="64"/>
      <c r="I45" s="64"/>
      <c r="J45" s="69"/>
      <c r="K45" s="64"/>
      <c r="L45" s="64"/>
      <c r="M45" s="64"/>
      <c r="N45" s="64"/>
    </row>
    <row r="46" spans="1:14">
      <c r="A46" s="104"/>
      <c r="B46" s="66" t="s">
        <v>89</v>
      </c>
      <c r="C46" s="46"/>
      <c r="D46" s="68" t="s">
        <v>360</v>
      </c>
      <c r="E46" s="64"/>
      <c r="F46" s="97"/>
      <c r="G46" s="64"/>
      <c r="H46" s="64"/>
      <c r="I46" s="64"/>
      <c r="J46" s="69"/>
      <c r="K46" s="64"/>
      <c r="L46" s="64"/>
      <c r="M46" s="64"/>
      <c r="N46" s="64"/>
    </row>
    <row r="47" spans="1:14">
      <c r="A47" s="104"/>
      <c r="B47" s="66" t="s">
        <v>88</v>
      </c>
      <c r="C47" s="46"/>
      <c r="D47" s="68" t="s">
        <v>361</v>
      </c>
      <c r="E47" s="64"/>
      <c r="F47" s="97"/>
      <c r="G47" s="64"/>
      <c r="H47" s="64"/>
      <c r="I47" s="64"/>
      <c r="J47" s="69"/>
      <c r="K47" s="64"/>
      <c r="L47" s="64"/>
      <c r="M47" s="64"/>
      <c r="N47" s="64"/>
    </row>
    <row r="48" spans="1:14">
      <c r="A48" s="104"/>
      <c r="B48" s="66" t="s">
        <v>87</v>
      </c>
      <c r="C48" s="46"/>
      <c r="D48" s="68" t="s">
        <v>362</v>
      </c>
      <c r="E48" s="64"/>
      <c r="F48" s="97"/>
      <c r="G48" s="64"/>
      <c r="H48" s="64"/>
      <c r="I48" s="64"/>
      <c r="J48" s="69"/>
      <c r="K48" s="64"/>
      <c r="L48" s="64"/>
      <c r="M48" s="64"/>
      <c r="N48" s="64"/>
    </row>
    <row r="49" spans="1:14">
      <c r="A49" s="104"/>
      <c r="B49" s="66" t="s">
        <v>86</v>
      </c>
      <c r="C49" s="46"/>
      <c r="D49" s="68" t="s">
        <v>363</v>
      </c>
      <c r="E49" s="64"/>
      <c r="F49" s="97"/>
      <c r="G49" s="64"/>
      <c r="H49" s="64"/>
      <c r="I49" s="64"/>
      <c r="J49" s="69"/>
      <c r="K49" s="64"/>
      <c r="L49" s="64"/>
      <c r="M49" s="64"/>
      <c r="N49" s="64"/>
    </row>
    <row r="50" spans="1:14" ht="29.25">
      <c r="A50" s="104"/>
      <c r="B50" s="66" t="s">
        <v>85</v>
      </c>
      <c r="C50" s="46"/>
      <c r="D50" s="68" t="s">
        <v>364</v>
      </c>
      <c r="E50" s="64"/>
      <c r="F50" s="97"/>
      <c r="G50" s="64"/>
      <c r="H50" s="64"/>
      <c r="I50" s="64"/>
      <c r="J50" s="69"/>
      <c r="K50" s="64"/>
      <c r="L50" s="64"/>
      <c r="M50" s="64"/>
      <c r="N50" s="64"/>
    </row>
    <row r="51" spans="1:14">
      <c r="A51" s="104"/>
      <c r="B51" s="66" t="s">
        <v>84</v>
      </c>
      <c r="C51" s="46"/>
      <c r="D51" s="68" t="s">
        <v>365</v>
      </c>
      <c r="E51" s="64"/>
      <c r="F51" s="97"/>
      <c r="G51" s="64"/>
      <c r="H51" s="64"/>
      <c r="I51" s="64"/>
      <c r="J51" s="69"/>
      <c r="K51" s="64"/>
      <c r="L51" s="64"/>
      <c r="M51" s="64"/>
      <c r="N51" s="64"/>
    </row>
    <row r="52" spans="1:14">
      <c r="A52" s="104"/>
      <c r="B52" s="66" t="s">
        <v>83</v>
      </c>
      <c r="C52" s="46"/>
      <c r="D52" s="68" t="s">
        <v>366</v>
      </c>
      <c r="E52" s="64"/>
      <c r="F52" s="97"/>
      <c r="G52" s="64"/>
      <c r="H52" s="64"/>
      <c r="I52" s="64"/>
      <c r="J52" s="69"/>
      <c r="K52" s="64"/>
      <c r="L52" s="64"/>
      <c r="M52" s="64"/>
      <c r="N52" s="64"/>
    </row>
    <row r="53" spans="1:14">
      <c r="A53" s="104"/>
      <c r="B53" s="66" t="s">
        <v>82</v>
      </c>
      <c r="C53" s="46"/>
      <c r="D53" s="68" t="s">
        <v>367</v>
      </c>
      <c r="E53" s="64"/>
      <c r="F53" s="97"/>
      <c r="G53" s="64"/>
      <c r="H53" s="64"/>
      <c r="I53" s="64"/>
      <c r="J53" s="69"/>
      <c r="K53" s="64"/>
      <c r="L53" s="64"/>
      <c r="M53" s="64"/>
      <c r="N53" s="64"/>
    </row>
    <row r="54" spans="1:14">
      <c r="A54" s="104"/>
      <c r="B54" s="66" t="s">
        <v>81</v>
      </c>
      <c r="C54" s="46"/>
      <c r="D54" s="68" t="s">
        <v>368</v>
      </c>
      <c r="E54" s="64"/>
      <c r="F54" s="97"/>
      <c r="G54" s="64"/>
      <c r="H54" s="64"/>
      <c r="I54" s="64"/>
      <c r="J54" s="69"/>
      <c r="K54" s="64"/>
      <c r="L54" s="64"/>
      <c r="M54" s="64"/>
      <c r="N54" s="64"/>
    </row>
    <row r="55" spans="1:14">
      <c r="A55" s="104"/>
      <c r="B55" s="66" t="s">
        <v>78</v>
      </c>
      <c r="C55" s="72" t="s">
        <v>688</v>
      </c>
      <c r="D55" s="68" t="s">
        <v>369</v>
      </c>
      <c r="E55" s="64">
        <v>260</v>
      </c>
      <c r="F55" s="97">
        <f t="shared" ref="F55:F68" si="2">E55/SUM(E$32:E$69)</f>
        <v>7.9877112135176648E-2</v>
      </c>
      <c r="G55" s="64"/>
      <c r="H55" s="64"/>
      <c r="I55" s="64"/>
      <c r="J55" s="69"/>
      <c r="K55" s="64"/>
      <c r="L55" s="64"/>
      <c r="M55" s="64"/>
      <c r="N55" s="64"/>
    </row>
    <row r="56" spans="1:14">
      <c r="A56" s="104"/>
      <c r="B56" s="66" t="s">
        <v>77</v>
      </c>
      <c r="C56" s="73" t="s">
        <v>902</v>
      </c>
      <c r="D56" s="68" t="s">
        <v>370</v>
      </c>
      <c r="E56" s="64">
        <v>330</v>
      </c>
      <c r="F56" s="97">
        <f t="shared" si="2"/>
        <v>0.10138248847926268</v>
      </c>
      <c r="G56" s="64"/>
      <c r="H56" s="64"/>
      <c r="I56" s="64"/>
      <c r="J56" s="69"/>
      <c r="K56" s="64"/>
      <c r="L56" s="64"/>
      <c r="M56" s="64"/>
      <c r="N56" s="64"/>
    </row>
    <row r="57" spans="1:14">
      <c r="A57" s="104"/>
      <c r="B57" s="66" t="s">
        <v>76</v>
      </c>
      <c r="C57" s="46"/>
      <c r="D57" s="68" t="s">
        <v>371</v>
      </c>
      <c r="E57" s="64"/>
      <c r="F57" s="97"/>
      <c r="G57" s="64"/>
      <c r="H57" s="64"/>
      <c r="I57" s="64"/>
      <c r="J57" s="69"/>
      <c r="K57" s="64"/>
      <c r="L57" s="64"/>
      <c r="M57" s="64"/>
      <c r="N57" s="64"/>
    </row>
    <row r="58" spans="1:14">
      <c r="A58" s="104"/>
      <c r="B58" s="66" t="s">
        <v>79</v>
      </c>
      <c r="C58" s="46"/>
      <c r="D58" s="68" t="s">
        <v>372</v>
      </c>
      <c r="E58" s="64"/>
      <c r="F58" s="97"/>
      <c r="G58" s="64"/>
      <c r="H58" s="64"/>
      <c r="I58" s="64"/>
      <c r="J58" s="69"/>
      <c r="K58" s="64"/>
      <c r="L58" s="64"/>
      <c r="M58" s="64"/>
      <c r="N58" s="64"/>
    </row>
    <row r="59" spans="1:14">
      <c r="A59" s="104"/>
      <c r="B59" s="66" t="s">
        <v>80</v>
      </c>
      <c r="C59" s="46"/>
      <c r="D59" s="68" t="s">
        <v>373</v>
      </c>
      <c r="E59" s="64"/>
      <c r="F59" s="97"/>
      <c r="G59" s="64"/>
      <c r="H59" s="64"/>
      <c r="I59" s="64"/>
      <c r="J59" s="69"/>
      <c r="K59" s="64"/>
      <c r="L59" s="64"/>
      <c r="M59" s="64"/>
      <c r="N59" s="64"/>
    </row>
    <row r="60" spans="1:14">
      <c r="A60" s="104"/>
      <c r="B60" s="66" t="s">
        <v>75</v>
      </c>
      <c r="C60" s="46"/>
      <c r="D60" s="68" t="s">
        <v>374</v>
      </c>
      <c r="E60" s="64"/>
      <c r="F60" s="97"/>
      <c r="G60" s="64"/>
      <c r="H60" s="64"/>
      <c r="I60" s="64"/>
      <c r="J60" s="69"/>
      <c r="K60" s="64"/>
      <c r="L60" s="64"/>
      <c r="M60" s="64"/>
      <c r="N60" s="64"/>
    </row>
    <row r="61" spans="1:14">
      <c r="A61" s="104"/>
      <c r="B61" s="66" t="s">
        <v>73</v>
      </c>
      <c r="C61" s="46"/>
      <c r="D61" s="68" t="s">
        <v>375</v>
      </c>
      <c r="E61" s="64"/>
      <c r="F61" s="97"/>
      <c r="G61" s="64"/>
      <c r="H61" s="64"/>
      <c r="I61" s="64"/>
      <c r="J61" s="69"/>
      <c r="K61" s="64"/>
      <c r="L61" s="64"/>
      <c r="M61" s="64"/>
      <c r="N61" s="64"/>
    </row>
    <row r="62" spans="1:14">
      <c r="A62" s="104"/>
      <c r="B62" s="66" t="s">
        <v>74</v>
      </c>
      <c r="C62" s="3" t="s">
        <v>690</v>
      </c>
      <c r="D62" s="68" t="s">
        <v>376</v>
      </c>
      <c r="E62" s="64">
        <v>875</v>
      </c>
      <c r="F62" s="97">
        <f t="shared" si="2"/>
        <v>0.26881720430107525</v>
      </c>
      <c r="G62" s="64"/>
      <c r="H62" s="64"/>
      <c r="I62" s="64"/>
      <c r="J62" s="69"/>
      <c r="K62" s="64"/>
      <c r="L62" s="64"/>
      <c r="M62" s="64"/>
      <c r="N62" s="64"/>
    </row>
    <row r="63" spans="1:14">
      <c r="A63" s="104"/>
      <c r="B63" s="66" t="s">
        <v>72</v>
      </c>
      <c r="C63" s="46"/>
      <c r="D63" s="68" t="s">
        <v>377</v>
      </c>
      <c r="E63" s="64"/>
      <c r="F63" s="97"/>
      <c r="G63" s="64"/>
      <c r="H63" s="64"/>
      <c r="I63" s="64"/>
      <c r="J63" s="69"/>
      <c r="K63" s="64"/>
      <c r="L63" s="64"/>
      <c r="M63" s="64"/>
      <c r="N63" s="64"/>
    </row>
    <row r="64" spans="1:14">
      <c r="A64" s="104"/>
      <c r="B64" s="66" t="s">
        <v>69</v>
      </c>
      <c r="C64" s="46"/>
      <c r="D64" s="68" t="s">
        <v>378</v>
      </c>
      <c r="E64" s="64"/>
      <c r="F64" s="97"/>
      <c r="G64" s="64"/>
      <c r="H64" s="64"/>
      <c r="I64" s="64"/>
      <c r="J64" s="69"/>
      <c r="K64" s="64"/>
      <c r="L64" s="64"/>
      <c r="M64" s="64"/>
      <c r="N64" s="64"/>
    </row>
    <row r="65" spans="1:14">
      <c r="A65" s="104"/>
      <c r="B65" s="66" t="s">
        <v>70</v>
      </c>
      <c r="C65" s="46"/>
      <c r="D65" s="68" t="s">
        <v>379</v>
      </c>
      <c r="E65" s="64"/>
      <c r="F65" s="97"/>
      <c r="G65" s="64"/>
      <c r="H65" s="64"/>
      <c r="I65" s="64"/>
      <c r="J65" s="69"/>
      <c r="K65" s="64"/>
      <c r="L65" s="64"/>
      <c r="M65" s="64"/>
      <c r="N65" s="64"/>
    </row>
    <row r="66" spans="1:14">
      <c r="A66" s="104"/>
      <c r="B66" s="66" t="s">
        <v>68</v>
      </c>
      <c r="C66" s="72"/>
      <c r="D66" s="68" t="s">
        <v>380</v>
      </c>
      <c r="E66" s="64"/>
      <c r="F66" s="97"/>
      <c r="G66" s="64"/>
      <c r="H66" s="64"/>
      <c r="I66" s="64"/>
      <c r="J66" s="69"/>
      <c r="K66" s="64"/>
      <c r="L66" s="64"/>
      <c r="M66" s="64"/>
      <c r="N66" s="64"/>
    </row>
    <row r="67" spans="1:14" ht="29.25">
      <c r="A67" s="104"/>
      <c r="B67" s="66" t="s">
        <v>71</v>
      </c>
      <c r="C67" s="46" t="s">
        <v>927</v>
      </c>
      <c r="D67" s="68" t="s">
        <v>381</v>
      </c>
      <c r="E67" s="64">
        <v>1090</v>
      </c>
      <c r="F67" s="97">
        <f t="shared" si="2"/>
        <v>0.3348694316436252</v>
      </c>
      <c r="G67" s="64"/>
      <c r="H67" s="64"/>
      <c r="I67" s="64"/>
      <c r="J67" s="69"/>
      <c r="K67" s="64"/>
      <c r="L67" s="64"/>
      <c r="M67" s="64"/>
      <c r="N67" s="64"/>
    </row>
    <row r="68" spans="1:14">
      <c r="A68" s="104"/>
      <c r="B68" s="66" t="s">
        <v>67</v>
      </c>
      <c r="C68" s="72" t="s">
        <v>928</v>
      </c>
      <c r="D68" s="68" t="s">
        <v>382</v>
      </c>
      <c r="E68" s="64">
        <v>700</v>
      </c>
      <c r="F68" s="97">
        <f t="shared" si="2"/>
        <v>0.21505376344086022</v>
      </c>
      <c r="G68" s="64"/>
      <c r="H68" s="64"/>
      <c r="I68" s="64"/>
      <c r="J68" s="69"/>
      <c r="K68" s="64"/>
      <c r="L68" s="64"/>
      <c r="M68" s="64"/>
      <c r="N68" s="64"/>
    </row>
    <row r="69" spans="1:14">
      <c r="A69" s="104"/>
      <c r="B69" s="66" t="s">
        <v>66</v>
      </c>
      <c r="C69" s="46"/>
      <c r="D69" s="68" t="s">
        <v>383</v>
      </c>
      <c r="E69" s="64"/>
      <c r="F69" s="97"/>
      <c r="G69" s="64"/>
      <c r="H69" s="64"/>
      <c r="I69" s="64"/>
      <c r="J69" s="69"/>
      <c r="K69" s="64"/>
      <c r="L69" s="64"/>
      <c r="M69" s="64"/>
      <c r="N69" s="64"/>
    </row>
    <row r="70" spans="1:14">
      <c r="A70" s="65" t="s">
        <v>623</v>
      </c>
      <c r="B70" s="66" t="s">
        <v>384</v>
      </c>
      <c r="C70" s="46"/>
      <c r="D70" s="68" t="s">
        <v>385</v>
      </c>
      <c r="E70" s="64">
        <v>200</v>
      </c>
      <c r="F70" s="97">
        <v>1</v>
      </c>
      <c r="G70" s="64"/>
      <c r="H70" s="64"/>
      <c r="I70" s="64"/>
      <c r="J70" s="69"/>
      <c r="K70" s="64"/>
      <c r="L70" s="64"/>
      <c r="M70" s="64"/>
      <c r="N70" s="64"/>
    </row>
    <row r="71" spans="1:14">
      <c r="A71" s="104" t="s">
        <v>8</v>
      </c>
      <c r="B71" s="66" t="s">
        <v>106</v>
      </c>
      <c r="C71" s="46"/>
      <c r="D71" s="68" t="s">
        <v>386</v>
      </c>
      <c r="E71" s="64"/>
      <c r="F71" s="97"/>
      <c r="G71" s="64"/>
      <c r="H71" s="64"/>
      <c r="I71" s="64"/>
      <c r="J71" s="69"/>
      <c r="K71" s="64"/>
      <c r="L71" s="64"/>
      <c r="M71" s="64"/>
      <c r="N71" s="64"/>
    </row>
    <row r="72" spans="1:14">
      <c r="A72" s="104"/>
      <c r="B72" s="66" t="s">
        <v>105</v>
      </c>
      <c r="C72" s="46"/>
      <c r="D72" s="68" t="s">
        <v>387</v>
      </c>
      <c r="E72" s="64"/>
      <c r="F72" s="97"/>
      <c r="G72" s="64"/>
      <c r="H72" s="64"/>
      <c r="I72" s="64"/>
      <c r="J72" s="69"/>
      <c r="K72" s="64"/>
      <c r="L72" s="64"/>
      <c r="M72" s="64"/>
      <c r="N72" s="64"/>
    </row>
    <row r="73" spans="1:14">
      <c r="A73" s="104"/>
      <c r="B73" s="66" t="s">
        <v>104</v>
      </c>
      <c r="C73" s="46"/>
      <c r="D73" s="68" t="s">
        <v>388</v>
      </c>
      <c r="E73" s="64"/>
      <c r="F73" s="97"/>
      <c r="G73" s="64"/>
      <c r="H73" s="64"/>
      <c r="I73" s="64"/>
      <c r="J73" s="69"/>
      <c r="K73" s="64"/>
      <c r="L73" s="64"/>
      <c r="M73" s="64"/>
      <c r="N73" s="64"/>
    </row>
    <row r="74" spans="1:14">
      <c r="A74" s="104" t="s">
        <v>9</v>
      </c>
      <c r="B74" s="66" t="s">
        <v>114</v>
      </c>
      <c r="C74" s="46"/>
      <c r="D74" s="68" t="s">
        <v>389</v>
      </c>
      <c r="E74" s="64"/>
      <c r="F74" s="97"/>
      <c r="G74" s="64"/>
      <c r="H74" s="64"/>
      <c r="I74" s="64"/>
      <c r="J74" s="69"/>
      <c r="K74" s="64"/>
      <c r="L74" s="64"/>
      <c r="M74" s="64"/>
      <c r="N74" s="64"/>
    </row>
    <row r="75" spans="1:14">
      <c r="A75" s="104"/>
      <c r="B75" s="66" t="s">
        <v>390</v>
      </c>
      <c r="C75" s="46"/>
      <c r="D75" s="68" t="s">
        <v>391</v>
      </c>
      <c r="E75" s="64"/>
      <c r="F75" s="97"/>
      <c r="G75" s="64"/>
      <c r="H75" s="64"/>
      <c r="I75" s="64"/>
      <c r="J75" s="69"/>
      <c r="K75" s="64"/>
      <c r="L75" s="64"/>
      <c r="M75" s="64"/>
      <c r="N75" s="64"/>
    </row>
    <row r="76" spans="1:14">
      <c r="A76" s="104"/>
      <c r="B76" s="66" t="s">
        <v>392</v>
      </c>
      <c r="C76" s="46"/>
      <c r="D76" s="68" t="s">
        <v>393</v>
      </c>
      <c r="E76" s="64"/>
      <c r="F76" s="97"/>
      <c r="G76" s="64"/>
      <c r="H76" s="64"/>
      <c r="I76" s="64"/>
      <c r="J76" s="64"/>
      <c r="K76" s="64"/>
      <c r="L76" s="64"/>
      <c r="M76" s="64"/>
      <c r="N76" s="64"/>
    </row>
    <row r="77" spans="1:14">
      <c r="A77" s="104"/>
      <c r="B77" s="66" t="s">
        <v>394</v>
      </c>
      <c r="C77" s="46"/>
      <c r="D77" s="68" t="s">
        <v>395</v>
      </c>
      <c r="E77" s="64"/>
      <c r="F77" s="97"/>
      <c r="G77" s="64"/>
      <c r="H77" s="64"/>
      <c r="I77" s="64"/>
      <c r="J77" s="64"/>
      <c r="K77" s="64"/>
      <c r="L77" s="64"/>
      <c r="M77" s="64"/>
      <c r="N77" s="64"/>
    </row>
    <row r="78" spans="1:14" ht="29.25">
      <c r="A78" s="104"/>
      <c r="B78" s="66" t="s">
        <v>115</v>
      </c>
      <c r="C78" s="46" t="s">
        <v>923</v>
      </c>
      <c r="D78" s="68" t="s">
        <v>396</v>
      </c>
      <c r="E78" s="64">
        <v>150</v>
      </c>
      <c r="F78" s="97">
        <v>1</v>
      </c>
      <c r="G78" s="64"/>
      <c r="H78" s="64"/>
      <c r="I78" s="64"/>
      <c r="J78" s="64"/>
      <c r="K78" s="64"/>
      <c r="L78" s="64"/>
      <c r="M78" s="64"/>
      <c r="N78" s="64"/>
    </row>
    <row r="79" spans="1:14">
      <c r="A79" s="104"/>
      <c r="B79" s="66" t="s">
        <v>110</v>
      </c>
      <c r="C79" s="46"/>
      <c r="D79" s="68" t="s">
        <v>397</v>
      </c>
      <c r="E79" s="64"/>
      <c r="F79" s="97"/>
      <c r="G79" s="64"/>
      <c r="H79" s="64"/>
      <c r="I79" s="64"/>
      <c r="J79" s="64"/>
      <c r="K79" s="64"/>
      <c r="L79" s="64"/>
      <c r="M79" s="64"/>
      <c r="N79" s="64"/>
    </row>
    <row r="80" spans="1:14">
      <c r="A80" s="104"/>
      <c r="B80" s="66" t="s">
        <v>112</v>
      </c>
      <c r="C80" s="46"/>
      <c r="D80" s="68" t="s">
        <v>398</v>
      </c>
      <c r="E80" s="64"/>
      <c r="F80" s="97"/>
      <c r="G80" s="64"/>
      <c r="H80" s="64"/>
      <c r="I80" s="64"/>
      <c r="J80" s="64"/>
      <c r="K80" s="64"/>
      <c r="L80" s="64"/>
      <c r="M80" s="64"/>
      <c r="N80" s="64"/>
    </row>
    <row r="81" spans="1:14">
      <c r="A81" s="104"/>
      <c r="B81" s="66" t="s">
        <v>111</v>
      </c>
      <c r="C81" s="46"/>
      <c r="D81" s="68" t="s">
        <v>399</v>
      </c>
      <c r="E81" s="64"/>
      <c r="F81" s="97"/>
      <c r="G81" s="64"/>
      <c r="H81" s="64"/>
      <c r="I81" s="64"/>
      <c r="J81" s="64"/>
      <c r="K81" s="64"/>
      <c r="L81" s="64"/>
      <c r="M81" s="64"/>
      <c r="N81" s="64"/>
    </row>
    <row r="82" spans="1:14">
      <c r="A82" s="104"/>
      <c r="B82" s="66" t="s">
        <v>107</v>
      </c>
      <c r="C82" s="46"/>
      <c r="D82" s="68" t="s">
        <v>400</v>
      </c>
      <c r="E82" s="64"/>
      <c r="F82" s="97"/>
      <c r="G82" s="64"/>
      <c r="H82" s="64"/>
      <c r="I82" s="64"/>
      <c r="J82" s="64"/>
      <c r="K82" s="64"/>
      <c r="L82" s="64"/>
      <c r="M82" s="64"/>
      <c r="N82" s="64"/>
    </row>
    <row r="83" spans="1:14">
      <c r="A83" s="104"/>
      <c r="B83" s="66" t="s">
        <v>401</v>
      </c>
      <c r="C83" s="46"/>
      <c r="D83" s="68" t="s">
        <v>402</v>
      </c>
      <c r="E83" s="64"/>
      <c r="F83" s="97"/>
      <c r="G83" s="64"/>
      <c r="H83" s="64"/>
      <c r="I83" s="64"/>
      <c r="J83" s="64"/>
      <c r="K83" s="64"/>
      <c r="L83" s="64"/>
      <c r="M83" s="64"/>
      <c r="N83" s="64"/>
    </row>
    <row r="84" spans="1:14">
      <c r="A84" s="104"/>
      <c r="B84" s="66" t="s">
        <v>113</v>
      </c>
      <c r="C84" s="46"/>
      <c r="D84" s="68" t="s">
        <v>403</v>
      </c>
      <c r="E84" s="64"/>
      <c r="F84" s="97"/>
      <c r="G84" s="64"/>
      <c r="H84" s="64"/>
      <c r="I84" s="64"/>
      <c r="J84" s="64"/>
      <c r="K84" s="64"/>
      <c r="L84" s="64"/>
      <c r="M84" s="64"/>
      <c r="N84" s="64"/>
    </row>
    <row r="85" spans="1:14">
      <c r="A85" s="104"/>
      <c r="B85" s="66" t="s">
        <v>108</v>
      </c>
      <c r="C85" s="46"/>
      <c r="D85" s="68" t="s">
        <v>404</v>
      </c>
      <c r="E85" s="64"/>
      <c r="F85" s="97"/>
      <c r="G85" s="64"/>
      <c r="H85" s="64"/>
      <c r="I85" s="64"/>
      <c r="J85" s="64"/>
      <c r="K85" s="64"/>
      <c r="L85" s="64"/>
      <c r="M85" s="64"/>
      <c r="N85" s="64"/>
    </row>
    <row r="86" spans="1:14">
      <c r="A86" s="104"/>
      <c r="B86" s="66" t="s">
        <v>109</v>
      </c>
      <c r="C86" s="46"/>
      <c r="D86" s="68" t="s">
        <v>405</v>
      </c>
      <c r="E86" s="64"/>
      <c r="F86" s="97"/>
      <c r="G86" s="64"/>
      <c r="H86" s="64"/>
      <c r="I86" s="64"/>
      <c r="J86" s="64"/>
      <c r="K86" s="64"/>
      <c r="L86" s="64"/>
      <c r="M86" s="64"/>
      <c r="N86" s="64"/>
    </row>
    <row r="87" spans="1:14">
      <c r="A87" s="104" t="s">
        <v>10</v>
      </c>
      <c r="B87" s="66" t="s">
        <v>120</v>
      </c>
      <c r="C87" s="46"/>
      <c r="D87" s="68" t="s">
        <v>406</v>
      </c>
      <c r="E87" s="64"/>
      <c r="F87" s="97"/>
      <c r="G87" s="64"/>
      <c r="H87" s="64"/>
      <c r="I87" s="64"/>
      <c r="J87" s="64"/>
      <c r="K87" s="64"/>
      <c r="L87" s="64"/>
      <c r="M87" s="64"/>
      <c r="N87" s="64"/>
    </row>
    <row r="88" spans="1:14">
      <c r="A88" s="104"/>
      <c r="B88" s="66" t="s">
        <v>117</v>
      </c>
      <c r="C88" s="46"/>
      <c r="D88" s="68" t="s">
        <v>407</v>
      </c>
      <c r="E88" s="64"/>
      <c r="F88" s="97"/>
      <c r="G88" s="64"/>
      <c r="H88" s="64"/>
      <c r="I88" s="64"/>
      <c r="J88" s="64"/>
      <c r="K88" s="64"/>
      <c r="L88" s="64"/>
      <c r="M88" s="64"/>
      <c r="N88" s="64"/>
    </row>
    <row r="89" spans="1:14">
      <c r="A89" s="104"/>
      <c r="B89" s="66" t="s">
        <v>128</v>
      </c>
      <c r="C89" s="46"/>
      <c r="D89" s="68" t="s">
        <v>408</v>
      </c>
      <c r="E89" s="64"/>
      <c r="F89" s="97"/>
      <c r="G89" s="64"/>
      <c r="H89" s="64"/>
      <c r="I89" s="64"/>
      <c r="J89" s="64"/>
      <c r="K89" s="64"/>
      <c r="L89" s="64"/>
      <c r="M89" s="64"/>
      <c r="N89" s="64"/>
    </row>
    <row r="90" spans="1:14">
      <c r="A90" s="104"/>
      <c r="B90" s="66" t="s">
        <v>118</v>
      </c>
      <c r="C90" s="46"/>
      <c r="D90" s="68" t="s">
        <v>409</v>
      </c>
      <c r="E90" s="64"/>
      <c r="F90" s="97"/>
      <c r="G90" s="64"/>
      <c r="H90" s="64"/>
      <c r="I90" s="64"/>
      <c r="J90" s="64"/>
      <c r="K90" s="64"/>
      <c r="L90" s="64"/>
      <c r="M90" s="64"/>
      <c r="N90" s="64"/>
    </row>
    <row r="91" spans="1:14" ht="29.25">
      <c r="A91" s="104"/>
      <c r="B91" s="66" t="s">
        <v>123</v>
      </c>
      <c r="C91" s="46"/>
      <c r="D91" s="68" t="s">
        <v>410</v>
      </c>
      <c r="E91" s="64"/>
      <c r="F91" s="97"/>
      <c r="G91" s="64"/>
      <c r="H91" s="64"/>
      <c r="I91" s="64"/>
      <c r="J91" s="64"/>
      <c r="K91" s="64"/>
      <c r="L91" s="64"/>
      <c r="M91" s="64"/>
      <c r="N91" s="64"/>
    </row>
    <row r="92" spans="1:14">
      <c r="A92" s="104"/>
      <c r="B92" s="66" t="s">
        <v>119</v>
      </c>
      <c r="C92" s="46"/>
      <c r="D92" s="68" t="s">
        <v>411</v>
      </c>
      <c r="E92" s="64"/>
      <c r="F92" s="97"/>
      <c r="G92" s="64"/>
      <c r="H92" s="64"/>
      <c r="I92" s="64"/>
      <c r="J92" s="64"/>
      <c r="K92" s="64"/>
      <c r="L92" s="64"/>
      <c r="M92" s="64"/>
      <c r="N92" s="64"/>
    </row>
    <row r="93" spans="1:14">
      <c r="A93" s="104"/>
      <c r="B93" s="66" t="s">
        <v>129</v>
      </c>
      <c r="C93" s="46"/>
      <c r="D93" s="68" t="s">
        <v>412</v>
      </c>
      <c r="E93" s="64"/>
      <c r="F93" s="97"/>
      <c r="G93" s="64"/>
      <c r="H93" s="64"/>
      <c r="I93" s="64"/>
      <c r="J93" s="64"/>
      <c r="K93" s="64"/>
      <c r="L93" s="64"/>
      <c r="M93" s="64"/>
      <c r="N93" s="64"/>
    </row>
    <row r="94" spans="1:14">
      <c r="A94" s="104"/>
      <c r="B94" s="66" t="s">
        <v>124</v>
      </c>
      <c r="C94" s="46"/>
      <c r="D94" s="68" t="s">
        <v>413</v>
      </c>
      <c r="E94" s="64"/>
      <c r="F94" s="97"/>
      <c r="G94" s="64"/>
      <c r="H94" s="64"/>
      <c r="I94" s="64"/>
      <c r="J94" s="64"/>
      <c r="K94" s="64"/>
      <c r="L94" s="64"/>
      <c r="M94" s="64"/>
      <c r="N94" s="64"/>
    </row>
    <row r="95" spans="1:14">
      <c r="A95" s="104"/>
      <c r="B95" s="66" t="s">
        <v>126</v>
      </c>
      <c r="C95" s="46"/>
      <c r="D95" s="68" t="s">
        <v>414</v>
      </c>
      <c r="E95" s="64"/>
      <c r="F95" s="97"/>
      <c r="G95" s="64"/>
      <c r="H95" s="64"/>
      <c r="I95" s="64"/>
      <c r="J95" s="64"/>
      <c r="K95" s="64"/>
      <c r="L95" s="64"/>
      <c r="M95" s="64"/>
      <c r="N95" s="64"/>
    </row>
    <row r="96" spans="1:14">
      <c r="A96" s="104"/>
      <c r="B96" s="66" t="s">
        <v>127</v>
      </c>
      <c r="C96" s="46" t="s">
        <v>667</v>
      </c>
      <c r="D96" s="68" t="s">
        <v>415</v>
      </c>
      <c r="E96" s="64">
        <v>200</v>
      </c>
      <c r="F96" s="97">
        <f t="shared" ref="F96:F101" si="3">E96/SUM(E$87:E$105)</f>
        <v>0.32520325203252032</v>
      </c>
      <c r="G96" s="64"/>
      <c r="H96" s="64"/>
      <c r="I96" s="64"/>
      <c r="J96" s="64"/>
      <c r="K96" s="64"/>
      <c r="L96" s="64"/>
      <c r="M96" s="64"/>
      <c r="N96" s="64"/>
    </row>
    <row r="97" spans="1:14">
      <c r="A97" s="104"/>
      <c r="B97" s="66" t="s">
        <v>121</v>
      </c>
      <c r="C97" s="46"/>
      <c r="D97" s="68" t="s">
        <v>416</v>
      </c>
      <c r="E97" s="64"/>
      <c r="F97" s="97"/>
      <c r="G97" s="64"/>
      <c r="H97" s="64"/>
      <c r="I97" s="64"/>
      <c r="J97" s="64"/>
      <c r="K97" s="64"/>
      <c r="L97" s="64"/>
      <c r="M97" s="64"/>
      <c r="N97" s="64"/>
    </row>
    <row r="98" spans="1:14">
      <c r="A98" s="104"/>
      <c r="B98" s="66" t="s">
        <v>125</v>
      </c>
      <c r="C98" s="46"/>
      <c r="D98" s="68" t="s">
        <v>417</v>
      </c>
      <c r="E98" s="64"/>
      <c r="F98" s="97"/>
      <c r="G98" s="64"/>
      <c r="H98" s="64"/>
      <c r="I98" s="64"/>
      <c r="J98" s="64"/>
      <c r="K98" s="64"/>
      <c r="L98" s="64"/>
      <c r="M98" s="64"/>
      <c r="N98" s="64"/>
    </row>
    <row r="99" spans="1:14">
      <c r="A99" s="104"/>
      <c r="B99" s="66" t="s">
        <v>122</v>
      </c>
      <c r="C99" s="46"/>
      <c r="D99" s="68" t="s">
        <v>418</v>
      </c>
      <c r="E99" s="64"/>
      <c r="F99" s="97"/>
      <c r="G99" s="64"/>
      <c r="H99" s="64"/>
      <c r="I99" s="64"/>
      <c r="J99" s="64"/>
      <c r="K99" s="64"/>
      <c r="L99" s="64"/>
      <c r="M99" s="64"/>
      <c r="N99" s="64"/>
    </row>
    <row r="100" spans="1:14">
      <c r="A100" s="104"/>
      <c r="B100" s="66" t="s">
        <v>419</v>
      </c>
      <c r="C100" s="46"/>
      <c r="D100" s="68" t="s">
        <v>420</v>
      </c>
      <c r="E100" s="64"/>
      <c r="F100" s="97"/>
      <c r="G100" s="64"/>
      <c r="H100" s="64"/>
      <c r="I100" s="64"/>
      <c r="J100" s="64"/>
      <c r="K100" s="64"/>
      <c r="L100" s="64"/>
      <c r="M100" s="64"/>
      <c r="N100" s="64"/>
    </row>
    <row r="101" spans="1:14">
      <c r="A101" s="104"/>
      <c r="B101" s="66" t="s">
        <v>130</v>
      </c>
      <c r="C101" t="s">
        <v>903</v>
      </c>
      <c r="D101" s="68" t="s">
        <v>421</v>
      </c>
      <c r="E101" s="64">
        <v>415</v>
      </c>
      <c r="F101" s="97">
        <f t="shared" si="3"/>
        <v>0.67479674796747968</v>
      </c>
      <c r="G101" s="64"/>
      <c r="H101" s="64"/>
      <c r="I101" s="64"/>
      <c r="J101" s="64"/>
      <c r="K101" s="64"/>
      <c r="L101" s="64"/>
      <c r="M101" s="64"/>
      <c r="N101" s="64"/>
    </row>
    <row r="102" spans="1:14">
      <c r="A102" s="104"/>
      <c r="B102" s="66" t="s">
        <v>116</v>
      </c>
      <c r="C102" s="46"/>
      <c r="D102" s="68" t="s">
        <v>422</v>
      </c>
      <c r="E102" s="64"/>
      <c r="F102" s="97"/>
      <c r="G102" s="64"/>
      <c r="H102" s="64"/>
      <c r="I102" s="64"/>
      <c r="J102" s="64"/>
      <c r="K102" s="64"/>
      <c r="L102" s="64"/>
      <c r="M102" s="64"/>
      <c r="N102" s="64"/>
    </row>
    <row r="103" spans="1:14">
      <c r="A103" s="104"/>
      <c r="B103" s="66" t="s">
        <v>423</v>
      </c>
      <c r="C103" s="46"/>
      <c r="D103" s="68" t="s">
        <v>424</v>
      </c>
      <c r="E103" s="64"/>
      <c r="F103" s="97"/>
      <c r="G103" s="64"/>
      <c r="H103" s="64"/>
      <c r="I103" s="64"/>
      <c r="J103" s="64"/>
      <c r="K103" s="64"/>
      <c r="L103" s="64"/>
      <c r="M103" s="64"/>
      <c r="N103" s="64"/>
    </row>
    <row r="104" spans="1:14">
      <c r="A104" s="104"/>
      <c r="B104" s="66" t="s">
        <v>425</v>
      </c>
      <c r="C104" s="46"/>
      <c r="D104" s="68" t="s">
        <v>426</v>
      </c>
      <c r="E104" s="64"/>
      <c r="F104" s="97"/>
      <c r="G104" s="64"/>
      <c r="H104" s="64"/>
      <c r="I104" s="64"/>
      <c r="J104" s="64"/>
      <c r="K104" s="64"/>
      <c r="L104" s="64"/>
      <c r="M104" s="64"/>
      <c r="N104" s="64"/>
    </row>
    <row r="105" spans="1:14">
      <c r="A105" s="104"/>
      <c r="B105" s="66" t="s">
        <v>427</v>
      </c>
      <c r="C105" s="46"/>
      <c r="D105" s="68" t="s">
        <v>428</v>
      </c>
      <c r="E105" s="64"/>
      <c r="F105" s="97"/>
      <c r="G105" s="64"/>
      <c r="H105" s="64"/>
      <c r="I105" s="64"/>
      <c r="J105" s="64"/>
      <c r="K105" s="64"/>
      <c r="L105" s="64"/>
      <c r="M105" s="64"/>
      <c r="N105" s="64"/>
    </row>
    <row r="106" spans="1:14">
      <c r="A106" s="104" t="s">
        <v>11</v>
      </c>
      <c r="B106" s="66" t="s">
        <v>132</v>
      </c>
      <c r="C106" s="46"/>
      <c r="D106" s="68" t="s">
        <v>429</v>
      </c>
      <c r="E106" s="64"/>
      <c r="F106" s="97"/>
      <c r="G106" s="64"/>
      <c r="H106" s="64"/>
      <c r="I106" s="64"/>
      <c r="J106" s="64"/>
      <c r="K106" s="64"/>
      <c r="L106" s="64"/>
      <c r="M106" s="64"/>
      <c r="N106" s="64"/>
    </row>
    <row r="107" spans="1:14">
      <c r="A107" s="104"/>
      <c r="B107" s="66" t="s">
        <v>143</v>
      </c>
      <c r="C107" s="46" t="s">
        <v>915</v>
      </c>
      <c r="D107" s="68" t="s">
        <v>430</v>
      </c>
      <c r="E107" s="64">
        <v>390</v>
      </c>
      <c r="F107" s="97">
        <f t="shared" ref="F107:F119" si="4">E107/SUM(E$106:E$132)</f>
        <v>0.24683544303797469</v>
      </c>
      <c r="G107" s="64"/>
      <c r="H107" s="64"/>
      <c r="I107" s="64"/>
      <c r="J107" s="64"/>
      <c r="K107" s="64"/>
      <c r="L107" s="64"/>
      <c r="M107" s="64"/>
      <c r="N107" s="64"/>
    </row>
    <row r="108" spans="1:14">
      <c r="A108" s="104"/>
      <c r="B108" s="66" t="s">
        <v>141</v>
      </c>
      <c r="C108" s="46"/>
      <c r="D108" s="68" t="s">
        <v>431</v>
      </c>
      <c r="E108" s="64"/>
      <c r="F108" s="97"/>
      <c r="G108" s="64"/>
      <c r="H108" s="64"/>
      <c r="I108" s="64"/>
      <c r="J108" s="64"/>
      <c r="K108" s="64"/>
      <c r="L108" s="64"/>
      <c r="M108" s="64"/>
      <c r="N108" s="64"/>
    </row>
    <row r="109" spans="1:14">
      <c r="A109" s="104"/>
      <c r="B109" s="66" t="s">
        <v>138</v>
      </c>
      <c r="C109" s="46"/>
      <c r="D109" s="68" t="s">
        <v>432</v>
      </c>
      <c r="E109" s="64"/>
      <c r="F109" s="97"/>
      <c r="G109" s="64"/>
      <c r="H109" s="64"/>
      <c r="I109" s="64"/>
      <c r="J109" s="64"/>
      <c r="K109" s="64"/>
      <c r="L109" s="64"/>
      <c r="M109" s="64"/>
      <c r="N109" s="64"/>
    </row>
    <row r="110" spans="1:14">
      <c r="A110" s="104"/>
      <c r="B110" s="74" t="s">
        <v>145</v>
      </c>
      <c r="C110" s="68"/>
      <c r="D110" s="67" t="s">
        <v>433</v>
      </c>
      <c r="E110" s="64"/>
      <c r="F110" s="97"/>
      <c r="G110" s="64"/>
      <c r="H110" s="64"/>
      <c r="I110" s="64"/>
      <c r="J110" s="64"/>
      <c r="K110" s="64"/>
      <c r="L110" s="64"/>
      <c r="M110" s="64"/>
      <c r="N110" s="64"/>
    </row>
    <row r="111" spans="1:14" ht="29.25">
      <c r="A111" s="104"/>
      <c r="B111" s="74" t="s">
        <v>137</v>
      </c>
      <c r="C111" s="73" t="s">
        <v>917</v>
      </c>
      <c r="D111" s="67" t="s">
        <v>434</v>
      </c>
      <c r="E111" s="64">
        <f>390+400</f>
        <v>790</v>
      </c>
      <c r="F111" s="97">
        <f t="shared" si="4"/>
        <v>0.5</v>
      </c>
      <c r="G111" s="64"/>
      <c r="H111" s="64"/>
      <c r="I111" s="64"/>
      <c r="J111" s="64"/>
      <c r="K111" s="64"/>
      <c r="L111" s="64"/>
      <c r="M111" s="64"/>
      <c r="N111" s="64"/>
    </row>
    <row r="112" spans="1:14">
      <c r="A112" s="104"/>
      <c r="B112" s="66" t="s">
        <v>134</v>
      </c>
      <c r="C112" s="72"/>
      <c r="D112" s="68" t="s">
        <v>435</v>
      </c>
      <c r="E112" s="64"/>
      <c r="F112" s="97"/>
      <c r="G112" s="64"/>
      <c r="H112" s="64"/>
      <c r="I112" s="64"/>
      <c r="J112" s="64"/>
      <c r="K112" s="64"/>
      <c r="L112" s="64"/>
      <c r="M112" s="64"/>
      <c r="N112" s="64"/>
    </row>
    <row r="113" spans="1:14">
      <c r="A113" s="104"/>
      <c r="B113" s="66" t="s">
        <v>151</v>
      </c>
      <c r="C113" s="46"/>
      <c r="D113" s="68" t="s">
        <v>436</v>
      </c>
      <c r="E113" s="64"/>
      <c r="F113" s="97"/>
      <c r="G113" s="64"/>
      <c r="H113" s="64"/>
      <c r="I113" s="64"/>
      <c r="J113" s="64"/>
      <c r="K113" s="64"/>
      <c r="L113" s="64"/>
      <c r="M113" s="64"/>
      <c r="N113" s="64"/>
    </row>
    <row r="114" spans="1:14">
      <c r="A114" s="104"/>
      <c r="B114" s="66" t="s">
        <v>133</v>
      </c>
      <c r="C114" s="46" t="s">
        <v>916</v>
      </c>
      <c r="D114" s="68" t="s">
        <v>437</v>
      </c>
      <c r="E114" s="64">
        <v>240</v>
      </c>
      <c r="F114" s="97">
        <f t="shared" si="4"/>
        <v>0.15189873417721519</v>
      </c>
      <c r="G114" s="64"/>
      <c r="H114" s="64"/>
      <c r="I114" s="64"/>
      <c r="J114" s="64"/>
      <c r="K114" s="64"/>
      <c r="L114" s="64"/>
      <c r="M114" s="64"/>
      <c r="N114" s="64"/>
    </row>
    <row r="115" spans="1:14">
      <c r="A115" s="104"/>
      <c r="B115" s="66" t="s">
        <v>148</v>
      </c>
      <c r="C115" s="46"/>
      <c r="D115" s="68" t="s">
        <v>438</v>
      </c>
      <c r="E115" s="64"/>
      <c r="F115" s="97"/>
      <c r="G115" s="64"/>
      <c r="H115" s="64"/>
      <c r="I115" s="64"/>
      <c r="J115" s="64"/>
      <c r="K115" s="64"/>
      <c r="L115" s="64"/>
      <c r="M115" s="64"/>
      <c r="N115" s="64"/>
    </row>
    <row r="116" spans="1:14">
      <c r="A116" s="104"/>
      <c r="B116" s="66" t="s">
        <v>135</v>
      </c>
      <c r="C116" s="46"/>
      <c r="D116" s="68" t="s">
        <v>439</v>
      </c>
      <c r="E116" s="64"/>
      <c r="F116" s="97"/>
      <c r="G116" s="64"/>
      <c r="H116" s="64"/>
      <c r="I116" s="64"/>
      <c r="J116" s="64"/>
      <c r="K116" s="64"/>
      <c r="L116" s="64"/>
      <c r="M116" s="64"/>
      <c r="N116" s="64"/>
    </row>
    <row r="117" spans="1:14">
      <c r="A117" s="104"/>
      <c r="B117" s="66" t="s">
        <v>136</v>
      </c>
      <c r="C117" s="46"/>
      <c r="D117" s="68" t="s">
        <v>440</v>
      </c>
      <c r="E117" s="64"/>
      <c r="F117" s="97"/>
      <c r="G117" s="64"/>
      <c r="H117" s="64"/>
      <c r="I117" s="64"/>
      <c r="J117" s="64"/>
      <c r="K117" s="64"/>
      <c r="L117" s="64"/>
      <c r="M117" s="64"/>
      <c r="N117" s="64"/>
    </row>
    <row r="118" spans="1:14">
      <c r="A118" s="104"/>
      <c r="B118" s="66" t="s">
        <v>140</v>
      </c>
      <c r="C118" s="46"/>
      <c r="D118" s="68" t="s">
        <v>441</v>
      </c>
      <c r="E118" s="64"/>
      <c r="F118" s="97"/>
      <c r="G118" s="64"/>
      <c r="H118" s="64"/>
      <c r="I118" s="64"/>
      <c r="J118" s="64"/>
      <c r="K118" s="64"/>
      <c r="L118" s="64"/>
      <c r="M118" s="64"/>
      <c r="N118" s="64"/>
    </row>
    <row r="119" spans="1:14">
      <c r="A119" s="104"/>
      <c r="B119" s="66" t="s">
        <v>139</v>
      </c>
      <c r="C119" s="46" t="s">
        <v>918</v>
      </c>
      <c r="D119" s="68" t="s">
        <v>442</v>
      </c>
      <c r="E119" s="64">
        <v>160</v>
      </c>
      <c r="F119" s="97">
        <f t="shared" si="4"/>
        <v>0.10126582278481013</v>
      </c>
      <c r="G119" s="64"/>
      <c r="H119" s="64"/>
      <c r="I119" s="64"/>
      <c r="J119" s="64"/>
      <c r="K119" s="64"/>
      <c r="L119" s="64"/>
      <c r="M119" s="64"/>
      <c r="N119" s="64"/>
    </row>
    <row r="120" spans="1:14">
      <c r="A120" s="104"/>
      <c r="B120" s="66" t="s">
        <v>142</v>
      </c>
      <c r="C120" s="46"/>
      <c r="D120" s="68" t="s">
        <v>443</v>
      </c>
      <c r="E120" s="64"/>
      <c r="F120" s="97"/>
      <c r="G120" s="64"/>
      <c r="H120" s="64"/>
      <c r="I120" s="64"/>
      <c r="J120" s="64"/>
      <c r="K120" s="64"/>
      <c r="L120" s="64"/>
      <c r="M120" s="64"/>
      <c r="N120" s="64"/>
    </row>
    <row r="121" spans="1:14">
      <c r="A121" s="104"/>
      <c r="B121" s="66" t="s">
        <v>144</v>
      </c>
      <c r="C121" s="46"/>
      <c r="D121" s="68" t="s">
        <v>444</v>
      </c>
      <c r="E121" s="64"/>
      <c r="F121" s="97"/>
      <c r="G121" s="64"/>
      <c r="H121" s="64"/>
      <c r="I121" s="64"/>
      <c r="J121" s="64"/>
      <c r="K121" s="64"/>
      <c r="L121" s="64"/>
      <c r="M121" s="64"/>
      <c r="N121" s="64"/>
    </row>
    <row r="122" spans="1:14">
      <c r="A122" s="104"/>
      <c r="B122" s="66" t="s">
        <v>146</v>
      </c>
      <c r="C122" s="46"/>
      <c r="D122" s="68" t="s">
        <v>445</v>
      </c>
      <c r="E122" s="64"/>
      <c r="F122" s="97"/>
      <c r="G122" s="64"/>
      <c r="H122" s="64"/>
      <c r="I122" s="64"/>
      <c r="J122" s="64"/>
      <c r="K122" s="64"/>
      <c r="L122" s="64"/>
      <c r="M122" s="64"/>
      <c r="N122" s="64"/>
    </row>
    <row r="123" spans="1:14">
      <c r="A123" s="104"/>
      <c r="B123" s="66" t="s">
        <v>147</v>
      </c>
      <c r="C123" s="46"/>
      <c r="D123" s="68" t="s">
        <v>446</v>
      </c>
      <c r="E123" s="64"/>
      <c r="F123" s="97"/>
      <c r="G123" s="64"/>
      <c r="H123" s="64"/>
      <c r="I123" s="64"/>
      <c r="J123" s="64"/>
      <c r="K123" s="64"/>
      <c r="L123" s="64"/>
      <c r="M123" s="64"/>
      <c r="N123" s="64"/>
    </row>
    <row r="124" spans="1:14">
      <c r="A124" s="104"/>
      <c r="B124" s="66" t="s">
        <v>150</v>
      </c>
      <c r="C124" s="46"/>
      <c r="D124" s="68" t="s">
        <v>447</v>
      </c>
      <c r="E124" s="64"/>
      <c r="F124" s="97"/>
      <c r="G124" s="64"/>
      <c r="H124" s="64"/>
      <c r="I124" s="64"/>
      <c r="J124" s="64"/>
      <c r="K124" s="64"/>
      <c r="L124" s="64"/>
      <c r="M124" s="64"/>
      <c r="N124" s="64"/>
    </row>
    <row r="125" spans="1:14">
      <c r="A125" s="104"/>
      <c r="B125" s="66" t="s">
        <v>152</v>
      </c>
      <c r="C125" s="46"/>
      <c r="D125" s="68" t="s">
        <v>448</v>
      </c>
      <c r="E125" s="64"/>
      <c r="F125" s="97"/>
      <c r="G125" s="64"/>
      <c r="H125" s="64"/>
      <c r="I125" s="64"/>
      <c r="J125" s="64"/>
      <c r="K125" s="64"/>
      <c r="L125" s="64"/>
      <c r="M125" s="64"/>
      <c r="N125" s="64"/>
    </row>
    <row r="126" spans="1:14" ht="29.25">
      <c r="A126" s="104"/>
      <c r="B126" s="66" t="s">
        <v>149</v>
      </c>
      <c r="C126" s="46"/>
      <c r="D126" s="68" t="s">
        <v>449</v>
      </c>
      <c r="E126" s="64"/>
      <c r="F126" s="97"/>
      <c r="G126" s="64"/>
      <c r="H126" s="64"/>
      <c r="I126" s="64"/>
      <c r="J126" s="64"/>
      <c r="K126" s="64"/>
      <c r="L126" s="64"/>
      <c r="M126" s="64"/>
      <c r="N126" s="64"/>
    </row>
    <row r="127" spans="1:14">
      <c r="A127" s="104"/>
      <c r="B127" s="66" t="s">
        <v>131</v>
      </c>
      <c r="C127" s="46"/>
      <c r="D127" s="68" t="s">
        <v>450</v>
      </c>
      <c r="E127" s="64"/>
      <c r="F127" s="97"/>
      <c r="G127" s="64"/>
      <c r="H127" s="64"/>
      <c r="I127" s="64"/>
      <c r="J127" s="64"/>
      <c r="K127" s="64"/>
      <c r="L127" s="64"/>
      <c r="M127" s="64"/>
      <c r="N127" s="64"/>
    </row>
    <row r="128" spans="1:14">
      <c r="A128" s="104"/>
      <c r="B128" s="66" t="s">
        <v>451</v>
      </c>
      <c r="C128" s="46"/>
      <c r="D128" s="68" t="s">
        <v>452</v>
      </c>
      <c r="E128" s="64"/>
      <c r="F128" s="97"/>
      <c r="G128" s="64"/>
      <c r="H128" s="64"/>
      <c r="I128" s="64"/>
      <c r="J128" s="64"/>
      <c r="K128" s="64"/>
      <c r="L128" s="64"/>
      <c r="M128" s="64"/>
      <c r="N128" s="64"/>
    </row>
    <row r="129" spans="1:14">
      <c r="A129" s="104"/>
      <c r="B129" s="66" t="s">
        <v>453</v>
      </c>
      <c r="C129" s="46"/>
      <c r="D129" s="68" t="s">
        <v>454</v>
      </c>
      <c r="E129" s="64"/>
      <c r="F129" s="97"/>
      <c r="G129" s="64"/>
      <c r="H129" s="64"/>
      <c r="I129" s="64"/>
      <c r="J129" s="64"/>
      <c r="K129" s="64"/>
      <c r="L129" s="64"/>
      <c r="M129" s="64"/>
      <c r="N129" s="64"/>
    </row>
    <row r="130" spans="1:14">
      <c r="A130" s="104"/>
      <c r="B130" s="66" t="s">
        <v>455</v>
      </c>
      <c r="C130" s="46"/>
      <c r="D130" s="68" t="s">
        <v>456</v>
      </c>
      <c r="E130" s="64"/>
      <c r="F130" s="97"/>
      <c r="G130" s="64"/>
      <c r="H130" s="64"/>
      <c r="I130" s="64"/>
      <c r="J130" s="64"/>
      <c r="K130" s="64"/>
      <c r="L130" s="64"/>
      <c r="M130" s="64"/>
      <c r="N130" s="64"/>
    </row>
    <row r="131" spans="1:14">
      <c r="A131" s="104"/>
      <c r="B131" s="66" t="s">
        <v>457</v>
      </c>
      <c r="C131" s="46"/>
      <c r="D131" s="68" t="s">
        <v>458</v>
      </c>
      <c r="E131" s="64"/>
      <c r="F131" s="97"/>
      <c r="G131" s="64"/>
      <c r="H131" s="64"/>
      <c r="I131" s="64"/>
      <c r="J131" s="64"/>
      <c r="K131" s="64"/>
      <c r="L131" s="64"/>
      <c r="M131" s="64"/>
      <c r="N131" s="64"/>
    </row>
    <row r="132" spans="1:14">
      <c r="A132" s="104"/>
      <c r="B132" s="66" t="s">
        <v>459</v>
      </c>
      <c r="C132" s="46"/>
      <c r="D132" s="68" t="s">
        <v>460</v>
      </c>
      <c r="E132" s="64"/>
      <c r="F132" s="97"/>
      <c r="G132" s="64"/>
      <c r="H132" s="64"/>
      <c r="I132" s="64"/>
      <c r="J132" s="64"/>
      <c r="K132" s="64"/>
      <c r="L132" s="64"/>
      <c r="M132" s="64"/>
      <c r="N132" s="64"/>
    </row>
    <row r="133" spans="1:14">
      <c r="A133" s="104" t="s">
        <v>12</v>
      </c>
      <c r="B133" s="67" t="s">
        <v>461</v>
      </c>
      <c r="C133" s="68"/>
      <c r="D133" s="67" t="s">
        <v>462</v>
      </c>
      <c r="E133" s="64"/>
      <c r="F133" s="97"/>
      <c r="G133" s="64"/>
      <c r="H133" s="64"/>
      <c r="I133" s="64"/>
      <c r="J133" s="64"/>
      <c r="K133" s="64"/>
      <c r="L133" s="64"/>
      <c r="M133" s="64"/>
      <c r="N133" s="64"/>
    </row>
    <row r="134" spans="1:14">
      <c r="A134" s="104"/>
      <c r="B134" s="66" t="s">
        <v>154</v>
      </c>
      <c r="C134" s="46"/>
      <c r="D134" s="68" t="s">
        <v>463</v>
      </c>
      <c r="E134" s="64"/>
      <c r="F134" s="97"/>
      <c r="G134" s="64"/>
      <c r="H134" s="64"/>
      <c r="I134" s="64"/>
      <c r="J134" s="64"/>
      <c r="K134" s="64"/>
      <c r="L134" s="64"/>
      <c r="M134" s="64"/>
      <c r="N134" s="64"/>
    </row>
    <row r="135" spans="1:14">
      <c r="A135" s="104"/>
      <c r="B135" s="66" t="s">
        <v>464</v>
      </c>
      <c r="C135" s="46"/>
      <c r="D135" s="68" t="s">
        <v>465</v>
      </c>
      <c r="E135" s="64"/>
      <c r="F135" s="97"/>
      <c r="G135" s="64"/>
      <c r="H135" s="64"/>
      <c r="I135" s="64"/>
      <c r="J135" s="64"/>
      <c r="K135" s="64"/>
      <c r="L135" s="64"/>
      <c r="M135" s="64"/>
      <c r="N135" s="64"/>
    </row>
    <row r="136" spans="1:14">
      <c r="A136" s="104"/>
      <c r="B136" s="66" t="s">
        <v>466</v>
      </c>
      <c r="C136" s="46"/>
      <c r="D136" s="68" t="s">
        <v>467</v>
      </c>
      <c r="E136" s="64"/>
      <c r="F136" s="97"/>
      <c r="G136" s="64"/>
      <c r="H136" s="64"/>
      <c r="I136" s="64"/>
      <c r="J136" s="64"/>
      <c r="K136" s="64"/>
      <c r="L136" s="64"/>
      <c r="M136" s="64"/>
      <c r="N136" s="64"/>
    </row>
    <row r="137" spans="1:14">
      <c r="A137" s="104" t="s">
        <v>13</v>
      </c>
      <c r="B137" s="66" t="s">
        <v>163</v>
      </c>
      <c r="C137" s="46"/>
      <c r="D137" s="68" t="s">
        <v>468</v>
      </c>
      <c r="E137" s="64"/>
      <c r="F137" s="97"/>
      <c r="G137" s="64"/>
      <c r="H137" s="64"/>
      <c r="I137" s="64"/>
      <c r="J137" s="64"/>
      <c r="K137" s="64"/>
      <c r="L137" s="64"/>
      <c r="M137" s="64"/>
      <c r="N137" s="64"/>
    </row>
    <row r="138" spans="1:14" ht="29.25">
      <c r="A138" s="104"/>
      <c r="B138" s="66" t="s">
        <v>156</v>
      </c>
      <c r="C138" s="46"/>
      <c r="D138" s="68" t="s">
        <v>469</v>
      </c>
      <c r="E138" s="64"/>
      <c r="F138" s="97"/>
      <c r="G138" s="64"/>
      <c r="H138" s="64"/>
      <c r="I138" s="64"/>
      <c r="J138" s="64"/>
      <c r="K138" s="64"/>
      <c r="L138" s="64"/>
      <c r="M138" s="64"/>
      <c r="N138" s="64"/>
    </row>
    <row r="139" spans="1:14">
      <c r="A139" s="104"/>
      <c r="B139" s="66" t="s">
        <v>167</v>
      </c>
      <c r="C139" s="46"/>
      <c r="D139" s="68" t="s">
        <v>470</v>
      </c>
      <c r="E139" s="64"/>
      <c r="F139" s="97"/>
      <c r="G139" s="64"/>
      <c r="H139" s="64"/>
      <c r="I139" s="64"/>
      <c r="J139" s="64"/>
      <c r="K139" s="64"/>
      <c r="L139" s="64"/>
      <c r="M139" s="64"/>
      <c r="N139" s="64"/>
    </row>
    <row r="140" spans="1:14">
      <c r="A140" s="104"/>
      <c r="B140" s="66" t="s">
        <v>166</v>
      </c>
      <c r="C140" s="46"/>
      <c r="D140" s="68" t="s">
        <v>471</v>
      </c>
      <c r="E140" s="64"/>
      <c r="F140" s="97"/>
      <c r="G140" s="64"/>
      <c r="H140" s="64"/>
      <c r="I140" s="64"/>
      <c r="J140" s="64"/>
      <c r="K140" s="64"/>
      <c r="L140" s="64"/>
      <c r="M140" s="64"/>
      <c r="N140" s="64"/>
    </row>
    <row r="141" spans="1:14">
      <c r="A141" s="104"/>
      <c r="B141" s="66" t="s">
        <v>175</v>
      </c>
      <c r="C141" s="46"/>
      <c r="D141" s="68" t="s">
        <v>472</v>
      </c>
      <c r="E141" s="64"/>
      <c r="F141" s="97"/>
      <c r="G141" s="64"/>
      <c r="H141" s="64"/>
      <c r="I141" s="64"/>
      <c r="J141" s="64"/>
      <c r="K141" s="64"/>
      <c r="L141" s="64"/>
      <c r="M141" s="64"/>
      <c r="N141" s="64"/>
    </row>
    <row r="142" spans="1:14">
      <c r="A142" s="104"/>
      <c r="B142" s="66" t="s">
        <v>164</v>
      </c>
      <c r="C142" s="46"/>
      <c r="D142" s="68" t="s">
        <v>473</v>
      </c>
      <c r="E142" s="64"/>
      <c r="F142" s="97"/>
      <c r="G142" s="64"/>
      <c r="H142" s="64"/>
      <c r="I142" s="64"/>
      <c r="J142" s="64"/>
      <c r="K142" s="64"/>
      <c r="L142" s="64"/>
      <c r="M142" s="64"/>
      <c r="N142" s="64"/>
    </row>
    <row r="143" spans="1:14">
      <c r="A143" s="104"/>
      <c r="B143" s="66" t="s">
        <v>171</v>
      </c>
      <c r="C143" s="46"/>
      <c r="D143" s="68" t="s">
        <v>474</v>
      </c>
      <c r="E143" s="64"/>
      <c r="F143" s="97"/>
      <c r="G143" s="64"/>
      <c r="H143" s="64"/>
      <c r="I143" s="64"/>
      <c r="J143" s="64"/>
      <c r="K143" s="64"/>
      <c r="L143" s="64"/>
      <c r="M143" s="64"/>
      <c r="N143" s="64"/>
    </row>
    <row r="144" spans="1:14">
      <c r="A144" s="104"/>
      <c r="B144" s="66" t="s">
        <v>174</v>
      </c>
      <c r="C144" s="72"/>
      <c r="D144" s="68" t="s">
        <v>475</v>
      </c>
      <c r="E144" s="64"/>
      <c r="F144" s="97"/>
      <c r="G144" s="64"/>
      <c r="H144" s="64"/>
      <c r="I144" s="64"/>
      <c r="J144" s="64"/>
      <c r="K144" s="64"/>
      <c r="L144" s="64"/>
      <c r="M144" s="64"/>
      <c r="N144" s="64"/>
    </row>
    <row r="145" spans="1:14">
      <c r="A145" s="104"/>
      <c r="B145" s="66" t="s">
        <v>173</v>
      </c>
      <c r="C145" s="46"/>
      <c r="D145" s="68" t="s">
        <v>476</v>
      </c>
      <c r="E145" s="64"/>
      <c r="F145" s="97"/>
      <c r="G145" s="64"/>
      <c r="H145" s="64"/>
      <c r="I145" s="64"/>
      <c r="J145" s="64"/>
      <c r="K145" s="64"/>
      <c r="L145" s="64"/>
      <c r="M145" s="64"/>
      <c r="N145" s="64"/>
    </row>
    <row r="146" spans="1:14">
      <c r="A146" s="104"/>
      <c r="B146" s="66" t="s">
        <v>172</v>
      </c>
      <c r="C146" s="46"/>
      <c r="D146" s="68" t="s">
        <v>477</v>
      </c>
      <c r="E146" s="64"/>
      <c r="F146" s="97"/>
      <c r="G146" s="64"/>
      <c r="H146" s="64"/>
      <c r="I146" s="64"/>
      <c r="J146" s="64"/>
      <c r="K146" s="64"/>
      <c r="L146" s="64"/>
      <c r="M146" s="64"/>
      <c r="N146" s="64"/>
    </row>
    <row r="147" spans="1:14">
      <c r="A147" s="104"/>
      <c r="B147" s="66" t="s">
        <v>161</v>
      </c>
      <c r="C147" s="72"/>
      <c r="D147" s="68" t="s">
        <v>478</v>
      </c>
      <c r="E147" s="64"/>
      <c r="F147" s="97"/>
      <c r="G147" s="64"/>
      <c r="H147" s="64"/>
      <c r="I147" s="64"/>
      <c r="J147" s="64"/>
      <c r="K147" s="64"/>
      <c r="L147" s="64"/>
      <c r="M147" s="64"/>
      <c r="N147" s="64"/>
    </row>
    <row r="148" spans="1:14">
      <c r="A148" s="104"/>
      <c r="B148" s="66" t="s">
        <v>162</v>
      </c>
      <c r="C148" s="46"/>
      <c r="D148" s="68" t="s">
        <v>479</v>
      </c>
      <c r="E148" s="64"/>
      <c r="F148" s="97"/>
      <c r="G148" s="64"/>
      <c r="H148" s="64"/>
      <c r="I148" s="64"/>
      <c r="J148" s="64"/>
      <c r="K148" s="64"/>
      <c r="L148" s="64"/>
      <c r="M148" s="64"/>
      <c r="N148" s="64"/>
    </row>
    <row r="149" spans="1:14" ht="29.25">
      <c r="A149" s="104"/>
      <c r="B149" s="66" t="s">
        <v>158</v>
      </c>
      <c r="C149" s="46"/>
      <c r="D149" s="68" t="s">
        <v>480</v>
      </c>
      <c r="E149" s="64"/>
      <c r="F149" s="97"/>
      <c r="G149" s="64"/>
      <c r="H149" s="64"/>
      <c r="I149" s="64"/>
      <c r="J149" s="64"/>
      <c r="K149" s="64"/>
      <c r="L149" s="64"/>
      <c r="M149" s="64"/>
      <c r="N149" s="64"/>
    </row>
    <row r="150" spans="1:14" ht="29.25">
      <c r="A150" s="104"/>
      <c r="B150" s="66" t="s">
        <v>159</v>
      </c>
      <c r="C150" s="46"/>
      <c r="D150" s="68" t="s">
        <v>481</v>
      </c>
      <c r="E150" s="64"/>
      <c r="F150" s="97"/>
      <c r="G150" s="64"/>
      <c r="H150" s="64"/>
      <c r="I150" s="64"/>
      <c r="J150" s="64"/>
      <c r="K150" s="64"/>
      <c r="L150" s="64"/>
      <c r="M150" s="64"/>
      <c r="N150" s="64"/>
    </row>
    <row r="151" spans="1:14">
      <c r="A151" s="104"/>
      <c r="B151" s="66" t="s">
        <v>155</v>
      </c>
      <c r="C151" s="72"/>
      <c r="D151" s="68" t="s">
        <v>482</v>
      </c>
      <c r="E151" s="64"/>
      <c r="F151" s="97"/>
      <c r="G151" s="64"/>
      <c r="H151" s="64"/>
      <c r="I151" s="64"/>
      <c r="J151" s="64"/>
      <c r="K151" s="64"/>
      <c r="L151" s="64"/>
      <c r="M151" s="64"/>
      <c r="N151" s="64"/>
    </row>
    <row r="152" spans="1:14">
      <c r="A152" s="104"/>
      <c r="B152" s="66" t="s">
        <v>169</v>
      </c>
      <c r="C152" s="46"/>
      <c r="D152" s="68" t="s">
        <v>483</v>
      </c>
      <c r="E152" s="64"/>
      <c r="F152" s="97"/>
      <c r="G152" s="64"/>
      <c r="H152" s="64"/>
      <c r="I152" s="64"/>
      <c r="J152" s="64"/>
      <c r="K152" s="64"/>
      <c r="L152" s="64"/>
      <c r="M152" s="64"/>
      <c r="N152" s="64"/>
    </row>
    <row r="153" spans="1:14">
      <c r="A153" s="104"/>
      <c r="B153" s="66" t="s">
        <v>170</v>
      </c>
      <c r="C153" s="46" t="s">
        <v>922</v>
      </c>
      <c r="D153" s="68" t="s">
        <v>484</v>
      </c>
      <c r="E153" s="64">
        <v>500</v>
      </c>
      <c r="F153" s="97">
        <v>1</v>
      </c>
      <c r="G153" s="64"/>
      <c r="H153" s="64"/>
      <c r="I153" s="64"/>
      <c r="J153" s="64"/>
      <c r="K153" s="64"/>
      <c r="L153" s="64"/>
      <c r="M153" s="64"/>
      <c r="N153" s="64"/>
    </row>
    <row r="154" spans="1:14">
      <c r="A154" s="104"/>
      <c r="B154" s="66" t="s">
        <v>160</v>
      </c>
      <c r="C154" s="46"/>
      <c r="D154" s="68" t="s">
        <v>485</v>
      </c>
      <c r="E154" s="64"/>
      <c r="F154" s="97"/>
      <c r="G154" s="64"/>
      <c r="H154" s="64"/>
      <c r="I154" s="64"/>
      <c r="J154" s="64"/>
      <c r="K154" s="64"/>
      <c r="L154" s="64"/>
      <c r="M154" s="64"/>
      <c r="N154" s="64"/>
    </row>
    <row r="155" spans="1:14">
      <c r="A155" s="104"/>
      <c r="B155" s="66" t="s">
        <v>157</v>
      </c>
      <c r="C155" s="46"/>
      <c r="D155" s="68" t="s">
        <v>486</v>
      </c>
      <c r="E155" s="64"/>
      <c r="F155" s="97"/>
      <c r="G155" s="64"/>
      <c r="H155" s="64"/>
      <c r="I155" s="64"/>
      <c r="J155" s="64"/>
      <c r="K155" s="64"/>
      <c r="L155" s="64"/>
      <c r="M155" s="64"/>
      <c r="N155" s="64"/>
    </row>
    <row r="156" spans="1:14">
      <c r="A156" s="104"/>
      <c r="B156" s="66" t="s">
        <v>165</v>
      </c>
      <c r="C156" s="46"/>
      <c r="D156" s="68" t="s">
        <v>487</v>
      </c>
      <c r="E156" s="64"/>
      <c r="F156" s="97"/>
      <c r="G156" s="64"/>
      <c r="H156" s="64"/>
      <c r="I156" s="64"/>
      <c r="J156" s="64"/>
      <c r="K156" s="64"/>
      <c r="L156" s="64"/>
      <c r="M156" s="64"/>
      <c r="N156" s="64"/>
    </row>
    <row r="157" spans="1:14">
      <c r="A157" s="104"/>
      <c r="B157" s="66" t="s">
        <v>168</v>
      </c>
      <c r="C157" s="46"/>
      <c r="D157" s="68" t="s">
        <v>488</v>
      </c>
      <c r="E157" s="64"/>
      <c r="F157" s="97"/>
      <c r="G157" s="64"/>
      <c r="H157" s="64"/>
      <c r="I157" s="64"/>
      <c r="J157" s="64"/>
      <c r="K157" s="64"/>
      <c r="L157" s="64"/>
      <c r="M157" s="64"/>
      <c r="N157" s="64"/>
    </row>
    <row r="158" spans="1:14">
      <c r="A158" s="75" t="s">
        <v>625</v>
      </c>
      <c r="B158" s="66" t="s">
        <v>489</v>
      </c>
      <c r="C158" s="46"/>
      <c r="D158" s="68" t="s">
        <v>490</v>
      </c>
      <c r="E158" s="64"/>
      <c r="F158" s="97"/>
      <c r="G158" s="64"/>
      <c r="H158" s="64"/>
      <c r="I158" s="64"/>
      <c r="J158" s="64"/>
      <c r="K158" s="64"/>
      <c r="L158" s="64"/>
      <c r="M158" s="64"/>
      <c r="N158" s="64"/>
    </row>
    <row r="159" spans="1:14">
      <c r="A159" s="75" t="s">
        <v>14</v>
      </c>
      <c r="B159" s="66" t="s">
        <v>176</v>
      </c>
      <c r="C159" s="46"/>
      <c r="D159" s="68" t="s">
        <v>491</v>
      </c>
      <c r="E159" s="64"/>
      <c r="F159" s="97"/>
      <c r="G159" s="64"/>
      <c r="H159" s="64"/>
      <c r="I159" s="64"/>
      <c r="J159" s="64"/>
      <c r="K159" s="64"/>
      <c r="L159" s="64"/>
      <c r="M159" s="64"/>
      <c r="N159" s="64"/>
    </row>
    <row r="160" spans="1:14">
      <c r="A160" s="104" t="s">
        <v>624</v>
      </c>
      <c r="B160" s="66" t="s">
        <v>492</v>
      </c>
      <c r="C160" s="46"/>
      <c r="D160" s="68" t="s">
        <v>493</v>
      </c>
      <c r="E160" s="64"/>
      <c r="F160" s="97"/>
      <c r="G160" s="64"/>
      <c r="H160" s="64"/>
      <c r="I160" s="64"/>
      <c r="J160" s="64"/>
      <c r="K160" s="64"/>
      <c r="L160" s="64"/>
      <c r="M160" s="64"/>
      <c r="N160" s="64"/>
    </row>
    <row r="161" spans="1:14" ht="29.25">
      <c r="A161" s="104"/>
      <c r="B161" s="66" t="s">
        <v>494</v>
      </c>
      <c r="C161" s="46"/>
      <c r="D161" s="68" t="s">
        <v>495</v>
      </c>
      <c r="E161" s="64">
        <v>1118</v>
      </c>
      <c r="F161" s="97">
        <v>1</v>
      </c>
      <c r="G161" s="64"/>
      <c r="H161" s="64"/>
      <c r="I161" s="64"/>
      <c r="J161" s="64"/>
      <c r="K161" s="64"/>
      <c r="L161" s="64"/>
      <c r="M161" s="64"/>
      <c r="N161" s="64"/>
    </row>
    <row r="162" spans="1:14">
      <c r="A162" s="75" t="s">
        <v>15</v>
      </c>
      <c r="B162" s="66" t="s">
        <v>177</v>
      </c>
      <c r="C162" s="46"/>
      <c r="D162" s="68" t="s">
        <v>15</v>
      </c>
      <c r="E162" s="64"/>
      <c r="F162" s="97"/>
      <c r="G162" s="64"/>
      <c r="H162" s="64"/>
      <c r="I162" s="64"/>
      <c r="J162" s="64"/>
      <c r="K162" s="64"/>
      <c r="L162" s="64"/>
      <c r="M162" s="64"/>
      <c r="N162" s="64"/>
    </row>
    <row r="163" spans="1:14">
      <c r="A163" s="104" t="s">
        <v>16</v>
      </c>
      <c r="B163" s="66" t="s">
        <v>182</v>
      </c>
      <c r="C163" s="46"/>
      <c r="D163" s="68" t="s">
        <v>496</v>
      </c>
      <c r="E163" s="64"/>
      <c r="F163" s="97"/>
      <c r="G163" s="64"/>
      <c r="H163" s="64"/>
      <c r="I163" s="64"/>
      <c r="J163" s="64"/>
      <c r="K163" s="64"/>
      <c r="L163" s="64"/>
      <c r="M163" s="64"/>
      <c r="N163" s="64"/>
    </row>
    <row r="164" spans="1:14">
      <c r="A164" s="104"/>
      <c r="B164" s="66" t="s">
        <v>181</v>
      </c>
      <c r="C164" s="46" t="s">
        <v>930</v>
      </c>
      <c r="D164" s="68" t="s">
        <v>497</v>
      </c>
      <c r="E164" s="64">
        <f>383/2</f>
        <v>191.5</v>
      </c>
      <c r="F164" s="97">
        <f t="shared" ref="F164:F165" si="5">E164/SUM(E$163:E$170)</f>
        <v>0.5</v>
      </c>
      <c r="G164" s="64"/>
      <c r="H164" s="64"/>
      <c r="I164" s="64"/>
      <c r="J164" s="64"/>
      <c r="K164" s="64"/>
      <c r="L164" s="64"/>
      <c r="M164" s="64"/>
      <c r="N164" s="64"/>
    </row>
    <row r="165" spans="1:14">
      <c r="A165" s="104"/>
      <c r="B165" s="66" t="s">
        <v>180</v>
      </c>
      <c r="C165" s="46" t="s">
        <v>931</v>
      </c>
      <c r="D165" s="68" t="s">
        <v>498</v>
      </c>
      <c r="E165" s="64">
        <f>383/2</f>
        <v>191.5</v>
      </c>
      <c r="F165" s="97">
        <f t="shared" si="5"/>
        <v>0.5</v>
      </c>
      <c r="G165" s="64"/>
      <c r="H165" s="64"/>
      <c r="I165" s="64"/>
      <c r="J165" s="64"/>
      <c r="K165" s="64"/>
      <c r="L165" s="64"/>
      <c r="M165" s="64"/>
      <c r="N165" s="64"/>
    </row>
    <row r="166" spans="1:14">
      <c r="A166" s="104"/>
      <c r="B166" s="66" t="s">
        <v>179</v>
      </c>
      <c r="C166" s="46"/>
      <c r="D166" s="68" t="s">
        <v>499</v>
      </c>
      <c r="E166" s="64"/>
      <c r="F166" s="97"/>
      <c r="G166" s="64"/>
      <c r="H166" s="64"/>
      <c r="I166" s="64"/>
      <c r="J166" s="64"/>
      <c r="K166" s="64"/>
      <c r="L166" s="64"/>
      <c r="M166" s="64"/>
      <c r="N166" s="64"/>
    </row>
    <row r="167" spans="1:14">
      <c r="A167" s="104"/>
      <c r="B167" s="66" t="s">
        <v>184</v>
      </c>
      <c r="C167" s="46"/>
      <c r="D167" s="68" t="s">
        <v>500</v>
      </c>
      <c r="E167" s="64"/>
      <c r="F167" s="97"/>
      <c r="G167" s="64"/>
      <c r="H167" s="64"/>
      <c r="I167" s="64"/>
      <c r="J167" s="64"/>
      <c r="K167" s="64"/>
      <c r="L167" s="64"/>
      <c r="M167" s="64"/>
      <c r="N167" s="64"/>
    </row>
    <row r="168" spans="1:14">
      <c r="A168" s="104"/>
      <c r="B168" s="66" t="s">
        <v>183</v>
      </c>
      <c r="C168" s="72"/>
      <c r="D168" s="68" t="s">
        <v>501</v>
      </c>
      <c r="E168" s="64"/>
      <c r="F168" s="97"/>
      <c r="G168" s="64"/>
      <c r="H168" s="64"/>
      <c r="I168" s="64"/>
      <c r="J168" s="64"/>
      <c r="K168" s="64"/>
      <c r="L168" s="64"/>
      <c r="M168" s="64"/>
      <c r="N168" s="64"/>
    </row>
    <row r="169" spans="1:14">
      <c r="A169" s="104"/>
      <c r="B169" s="66" t="s">
        <v>178</v>
      </c>
      <c r="C169" s="46"/>
      <c r="D169" s="68" t="s">
        <v>502</v>
      </c>
      <c r="E169" s="64"/>
      <c r="F169" s="97"/>
      <c r="G169" s="64"/>
      <c r="H169" s="64"/>
      <c r="I169" s="64"/>
      <c r="J169" s="64"/>
      <c r="K169" s="64"/>
      <c r="L169" s="64"/>
      <c r="M169" s="64"/>
      <c r="N169" s="64"/>
    </row>
    <row r="170" spans="1:14">
      <c r="A170" s="104"/>
      <c r="B170" s="66" t="s">
        <v>185</v>
      </c>
      <c r="C170" s="46"/>
      <c r="D170" s="68" t="s">
        <v>503</v>
      </c>
      <c r="E170" s="64"/>
      <c r="F170" s="97"/>
      <c r="G170" s="64"/>
      <c r="H170" s="64"/>
      <c r="I170" s="64"/>
      <c r="J170" s="64"/>
      <c r="K170" s="64"/>
      <c r="L170" s="64"/>
      <c r="M170" s="64"/>
      <c r="N170" s="64"/>
    </row>
    <row r="171" spans="1:14">
      <c r="A171" s="75" t="s">
        <v>505</v>
      </c>
      <c r="B171" s="66" t="s">
        <v>504</v>
      </c>
      <c r="C171" s="46"/>
      <c r="D171" s="68" t="s">
        <v>505</v>
      </c>
      <c r="E171" s="64"/>
      <c r="F171" s="97"/>
      <c r="G171" s="64"/>
      <c r="H171" s="64"/>
      <c r="I171" s="64"/>
      <c r="J171" s="64"/>
      <c r="K171" s="64"/>
      <c r="L171" s="64"/>
      <c r="M171" s="64"/>
      <c r="N171" s="64"/>
    </row>
    <row r="172" spans="1:14">
      <c r="A172" s="104" t="s">
        <v>17</v>
      </c>
      <c r="B172" s="66" t="s">
        <v>193</v>
      </c>
      <c r="C172" s="46"/>
      <c r="D172" s="68" t="s">
        <v>506</v>
      </c>
      <c r="E172" s="64"/>
      <c r="F172" s="97"/>
      <c r="G172" s="64"/>
      <c r="H172" s="64"/>
      <c r="I172" s="64"/>
      <c r="J172" s="64"/>
      <c r="K172" s="64"/>
      <c r="L172" s="64"/>
      <c r="M172" s="64"/>
      <c r="N172" s="64"/>
    </row>
    <row r="173" spans="1:14">
      <c r="A173" s="104"/>
      <c r="B173" s="66" t="s">
        <v>195</v>
      </c>
      <c r="C173" s="46"/>
      <c r="D173" s="68" t="s">
        <v>507</v>
      </c>
      <c r="E173" s="64"/>
      <c r="F173" s="97"/>
      <c r="G173" s="64"/>
      <c r="H173" s="64"/>
      <c r="I173" s="64"/>
      <c r="J173" s="64"/>
      <c r="K173" s="64"/>
      <c r="L173" s="64"/>
      <c r="M173" s="64"/>
      <c r="N173" s="64"/>
    </row>
    <row r="174" spans="1:14">
      <c r="A174" s="104"/>
      <c r="B174" s="66" t="s">
        <v>197</v>
      </c>
      <c r="C174" s="46"/>
      <c r="D174" s="68" t="s">
        <v>508</v>
      </c>
      <c r="E174" s="64"/>
      <c r="F174" s="97"/>
      <c r="G174" s="64"/>
      <c r="H174" s="64"/>
      <c r="I174" s="64"/>
      <c r="J174" s="64"/>
      <c r="K174" s="64"/>
      <c r="L174" s="64"/>
      <c r="M174" s="64"/>
      <c r="N174" s="64"/>
    </row>
    <row r="175" spans="1:14">
      <c r="A175" s="104"/>
      <c r="B175" s="66" t="s">
        <v>188</v>
      </c>
      <c r="C175" s="46"/>
      <c r="D175" s="68" t="s">
        <v>509</v>
      </c>
      <c r="E175" s="64"/>
      <c r="F175" s="97"/>
      <c r="G175" s="64"/>
      <c r="H175" s="64"/>
      <c r="I175" s="64"/>
      <c r="J175" s="64"/>
      <c r="K175" s="64"/>
      <c r="L175" s="64"/>
      <c r="M175" s="64"/>
      <c r="N175" s="64"/>
    </row>
    <row r="176" spans="1:14">
      <c r="A176" s="104"/>
      <c r="B176" s="66" t="s">
        <v>194</v>
      </c>
      <c r="C176" s="46"/>
      <c r="D176" s="68" t="s">
        <v>510</v>
      </c>
      <c r="E176" s="64"/>
      <c r="F176" s="97"/>
      <c r="G176" s="64"/>
      <c r="H176" s="64"/>
      <c r="I176" s="64"/>
      <c r="J176" s="64"/>
      <c r="K176" s="64"/>
      <c r="L176" s="64"/>
      <c r="M176" s="64"/>
      <c r="N176" s="64"/>
    </row>
    <row r="177" spans="1:14">
      <c r="A177" s="104"/>
      <c r="B177" s="66" t="s">
        <v>196</v>
      </c>
      <c r="C177" s="46"/>
      <c r="D177" s="68" t="s">
        <v>511</v>
      </c>
      <c r="E177" s="64"/>
      <c r="F177" s="97"/>
      <c r="G177" s="64"/>
      <c r="H177" s="64"/>
      <c r="I177" s="64"/>
      <c r="J177" s="64"/>
      <c r="K177" s="64"/>
      <c r="L177" s="64"/>
      <c r="M177" s="64"/>
      <c r="N177" s="64"/>
    </row>
    <row r="178" spans="1:14">
      <c r="A178" s="104"/>
      <c r="B178" s="66" t="s">
        <v>190</v>
      </c>
      <c r="C178" s="46"/>
      <c r="D178" s="68" t="s">
        <v>512</v>
      </c>
      <c r="E178" s="64"/>
      <c r="F178" s="97"/>
      <c r="G178" s="64"/>
      <c r="H178" s="64"/>
      <c r="I178" s="64"/>
      <c r="J178" s="64"/>
      <c r="K178" s="64"/>
      <c r="L178" s="64"/>
      <c r="M178" s="64"/>
      <c r="N178" s="64"/>
    </row>
    <row r="179" spans="1:14">
      <c r="A179" s="104"/>
      <c r="B179" s="66" t="s">
        <v>189</v>
      </c>
      <c r="C179" s="46"/>
      <c r="D179" s="68" t="s">
        <v>513</v>
      </c>
      <c r="E179" s="64"/>
      <c r="F179" s="97"/>
      <c r="G179" s="64"/>
      <c r="H179" s="64"/>
      <c r="I179" s="64"/>
      <c r="J179" s="64"/>
      <c r="K179" s="64"/>
      <c r="L179" s="64"/>
      <c r="M179" s="64"/>
      <c r="N179" s="64"/>
    </row>
    <row r="180" spans="1:14">
      <c r="A180" s="104"/>
      <c r="B180" s="66" t="s">
        <v>186</v>
      </c>
      <c r="C180" s="46"/>
      <c r="D180" s="68" t="s">
        <v>514</v>
      </c>
      <c r="E180" s="64"/>
      <c r="F180" s="97"/>
      <c r="G180" s="64"/>
      <c r="H180" s="64"/>
      <c r="I180" s="64"/>
      <c r="J180" s="64"/>
      <c r="K180" s="64"/>
      <c r="L180" s="64"/>
      <c r="M180" s="64"/>
      <c r="N180" s="64"/>
    </row>
    <row r="181" spans="1:14">
      <c r="A181" s="104"/>
      <c r="B181" s="66" t="s">
        <v>187</v>
      </c>
      <c r="C181" s="72" t="s">
        <v>919</v>
      </c>
      <c r="D181" s="68" t="s">
        <v>515</v>
      </c>
      <c r="E181" s="64">
        <v>1700</v>
      </c>
      <c r="F181" s="97">
        <f t="shared" ref="F181:F183" si="6">E181/SUM(E$172:E$183)</f>
        <v>0.63670411985018727</v>
      </c>
      <c r="G181" s="64"/>
      <c r="H181" s="64"/>
      <c r="I181" s="64"/>
      <c r="J181" s="64"/>
      <c r="K181" s="64"/>
      <c r="L181" s="64"/>
      <c r="M181" s="64"/>
      <c r="N181" s="64"/>
    </row>
    <row r="182" spans="1:14">
      <c r="A182" s="104"/>
      <c r="B182" s="66" t="s">
        <v>191</v>
      </c>
      <c r="C182" s="72"/>
      <c r="D182" s="68" t="s">
        <v>516</v>
      </c>
      <c r="E182" s="64"/>
      <c r="F182" s="97"/>
      <c r="G182" s="64"/>
      <c r="H182" s="64"/>
      <c r="I182" s="64"/>
      <c r="J182" s="64"/>
      <c r="K182" s="64"/>
      <c r="L182" s="64"/>
      <c r="M182" s="64"/>
      <c r="N182" s="64"/>
    </row>
    <row r="183" spans="1:14">
      <c r="A183" s="104"/>
      <c r="B183" s="66" t="s">
        <v>192</v>
      </c>
      <c r="C183" s="72" t="s">
        <v>679</v>
      </c>
      <c r="D183" s="68" t="s">
        <v>517</v>
      </c>
      <c r="E183" s="64">
        <v>970</v>
      </c>
      <c r="F183" s="97">
        <f t="shared" si="6"/>
        <v>0.36329588014981273</v>
      </c>
      <c r="G183" s="64"/>
      <c r="H183" s="64"/>
      <c r="I183" s="64"/>
      <c r="J183" s="64"/>
      <c r="K183" s="64"/>
      <c r="L183" s="64"/>
      <c r="M183" s="64"/>
      <c r="N183" s="64"/>
    </row>
    <row r="184" spans="1:14">
      <c r="A184" s="104" t="s">
        <v>18</v>
      </c>
      <c r="B184" s="66" t="s">
        <v>206</v>
      </c>
      <c r="C184" s="46"/>
      <c r="D184" s="68" t="s">
        <v>518</v>
      </c>
      <c r="E184" s="64"/>
      <c r="F184" s="97"/>
      <c r="G184" s="64"/>
      <c r="H184" s="64"/>
      <c r="I184" s="64"/>
      <c r="J184" s="64"/>
      <c r="K184" s="64"/>
      <c r="L184" s="64"/>
      <c r="M184" s="64"/>
      <c r="N184" s="64"/>
    </row>
    <row r="185" spans="1:14">
      <c r="A185" s="104"/>
      <c r="B185" s="66" t="s">
        <v>204</v>
      </c>
      <c r="C185" s="46"/>
      <c r="D185" s="68" t="s">
        <v>519</v>
      </c>
      <c r="E185" s="64"/>
      <c r="F185" s="97"/>
      <c r="G185" s="64"/>
      <c r="H185" s="64"/>
      <c r="I185" s="64"/>
      <c r="J185" s="64"/>
      <c r="K185" s="64"/>
      <c r="L185" s="64"/>
      <c r="M185" s="64"/>
      <c r="N185" s="64"/>
    </row>
    <row r="186" spans="1:14">
      <c r="A186" s="104"/>
      <c r="B186" s="66" t="s">
        <v>203</v>
      </c>
      <c r="C186" s="46"/>
      <c r="D186" s="68" t="s">
        <v>520</v>
      </c>
      <c r="E186" s="64"/>
      <c r="F186" s="97"/>
      <c r="G186" s="64"/>
      <c r="H186" s="64"/>
      <c r="I186" s="64"/>
      <c r="J186" s="64"/>
      <c r="K186" s="64"/>
      <c r="L186" s="64"/>
      <c r="M186" s="64"/>
      <c r="N186" s="64"/>
    </row>
    <row r="187" spans="1:14">
      <c r="A187" s="104"/>
      <c r="B187" s="66" t="s">
        <v>205</v>
      </c>
      <c r="C187" s="46"/>
      <c r="D187" s="68" t="s">
        <v>521</v>
      </c>
      <c r="E187" s="64"/>
      <c r="F187" s="97"/>
      <c r="G187" s="64"/>
      <c r="H187" s="64"/>
      <c r="I187" s="64"/>
      <c r="J187" s="64"/>
      <c r="K187" s="64"/>
      <c r="L187" s="64"/>
      <c r="M187" s="64"/>
      <c r="N187" s="64"/>
    </row>
    <row r="188" spans="1:14">
      <c r="A188" s="104"/>
      <c r="B188" s="66" t="s">
        <v>200</v>
      </c>
      <c r="C188" s="46"/>
      <c r="D188" s="68" t="s">
        <v>522</v>
      </c>
      <c r="E188" s="64"/>
      <c r="F188" s="97"/>
      <c r="G188" s="64"/>
      <c r="H188" s="64"/>
      <c r="I188" s="64"/>
      <c r="J188" s="64"/>
      <c r="K188" s="64"/>
      <c r="L188" s="64"/>
      <c r="M188" s="64"/>
      <c r="N188" s="64"/>
    </row>
    <row r="189" spans="1:14">
      <c r="A189" s="104"/>
      <c r="B189" s="66" t="s">
        <v>202</v>
      </c>
      <c r="C189" s="46" t="s">
        <v>833</v>
      </c>
      <c r="D189" s="68" t="s">
        <v>523</v>
      </c>
      <c r="E189" s="64">
        <v>500</v>
      </c>
      <c r="F189" s="97">
        <v>1</v>
      </c>
      <c r="G189" s="64"/>
      <c r="H189" s="64"/>
      <c r="I189" s="64"/>
      <c r="J189" s="64"/>
      <c r="K189" s="64"/>
      <c r="L189" s="64"/>
      <c r="M189" s="64"/>
      <c r="N189" s="64"/>
    </row>
    <row r="190" spans="1:14">
      <c r="A190" s="104"/>
      <c r="B190" s="66" t="s">
        <v>201</v>
      </c>
      <c r="C190" s="46"/>
      <c r="D190" s="68" t="s">
        <v>524</v>
      </c>
      <c r="E190" s="64"/>
      <c r="F190" s="97"/>
      <c r="G190" s="64"/>
      <c r="H190" s="64"/>
      <c r="I190" s="64"/>
      <c r="J190" s="64"/>
      <c r="K190" s="64"/>
      <c r="L190" s="64"/>
      <c r="M190" s="64"/>
      <c r="N190" s="64"/>
    </row>
    <row r="191" spans="1:14">
      <c r="A191" s="104"/>
      <c r="B191" s="66" t="s">
        <v>199</v>
      </c>
      <c r="C191" s="46"/>
      <c r="D191" s="68" t="s">
        <v>525</v>
      </c>
      <c r="E191" s="64"/>
      <c r="F191" s="97"/>
      <c r="G191" s="64"/>
      <c r="H191" s="64"/>
      <c r="I191" s="64"/>
      <c r="J191" s="64"/>
      <c r="K191" s="64"/>
      <c r="L191" s="64"/>
      <c r="M191" s="64"/>
      <c r="N191" s="64"/>
    </row>
    <row r="192" spans="1:14">
      <c r="A192" s="104"/>
      <c r="B192" s="66" t="s">
        <v>198</v>
      </c>
      <c r="C192" s="46"/>
      <c r="D192" s="68" t="s">
        <v>526</v>
      </c>
      <c r="E192" s="64"/>
      <c r="F192" s="97"/>
      <c r="G192" s="64"/>
      <c r="H192" s="64"/>
      <c r="I192" s="64"/>
      <c r="J192" s="64"/>
      <c r="K192" s="64"/>
      <c r="L192" s="64"/>
      <c r="M192" s="64"/>
      <c r="N192" s="64"/>
    </row>
    <row r="193" spans="1:14">
      <c r="A193" s="104" t="s">
        <v>19</v>
      </c>
      <c r="B193" s="66" t="s">
        <v>219</v>
      </c>
      <c r="C193" s="46"/>
      <c r="D193" s="68" t="s">
        <v>527</v>
      </c>
      <c r="E193" s="64"/>
      <c r="F193" s="97"/>
      <c r="G193" s="64"/>
      <c r="H193" s="64"/>
      <c r="I193" s="64"/>
      <c r="J193" s="64"/>
      <c r="K193" s="64"/>
      <c r="L193" s="64"/>
      <c r="M193" s="64"/>
      <c r="N193" s="64"/>
    </row>
    <row r="194" spans="1:14">
      <c r="A194" s="104"/>
      <c r="B194" s="66" t="s">
        <v>210</v>
      </c>
      <c r="C194" s="46"/>
      <c r="D194" s="68" t="s">
        <v>528</v>
      </c>
      <c r="E194" s="64"/>
      <c r="F194" s="97"/>
      <c r="G194" s="64"/>
      <c r="H194" s="64"/>
      <c r="I194" s="64"/>
      <c r="J194" s="64"/>
      <c r="K194" s="64"/>
      <c r="L194" s="64"/>
      <c r="M194" s="64"/>
      <c r="N194" s="64"/>
    </row>
    <row r="195" spans="1:14">
      <c r="A195" s="104"/>
      <c r="B195" s="66" t="s">
        <v>221</v>
      </c>
      <c r="C195" s="46" t="s">
        <v>939</v>
      </c>
      <c r="D195" s="68" t="s">
        <v>529</v>
      </c>
      <c r="E195" s="64">
        <f>(1*3210)/5</f>
        <v>642</v>
      </c>
      <c r="F195" s="97">
        <f t="shared" ref="F195:F203" si="7">E195/SUM(E$193:E$209)</f>
        <v>0.2</v>
      </c>
      <c r="G195" s="64"/>
      <c r="H195" s="64"/>
      <c r="I195" s="64"/>
      <c r="J195" s="64"/>
      <c r="K195" s="64"/>
      <c r="L195" s="64"/>
      <c r="M195" s="64"/>
      <c r="N195" s="64"/>
    </row>
    <row r="196" spans="1:14">
      <c r="A196" s="104"/>
      <c r="B196" s="66" t="s">
        <v>207</v>
      </c>
      <c r="C196" s="46"/>
      <c r="D196" s="68" t="s">
        <v>530</v>
      </c>
      <c r="E196" s="64"/>
      <c r="F196" s="97"/>
      <c r="G196" s="64"/>
      <c r="H196" s="64"/>
      <c r="I196" s="64"/>
      <c r="J196" s="64"/>
      <c r="K196" s="64"/>
      <c r="L196" s="64"/>
      <c r="M196" s="64"/>
      <c r="N196" s="64"/>
    </row>
    <row r="197" spans="1:14">
      <c r="A197" s="104"/>
      <c r="B197" s="66" t="s">
        <v>216</v>
      </c>
      <c r="C197" s="46"/>
      <c r="D197" s="68" t="s">
        <v>531</v>
      </c>
      <c r="E197" s="64"/>
      <c r="F197" s="97"/>
      <c r="G197" s="64"/>
      <c r="H197" s="64"/>
      <c r="I197" s="64"/>
      <c r="J197" s="64"/>
      <c r="K197" s="64"/>
      <c r="L197" s="64"/>
      <c r="M197" s="64"/>
      <c r="N197" s="64"/>
    </row>
    <row r="198" spans="1:14">
      <c r="A198" s="104"/>
      <c r="B198" s="66" t="s">
        <v>218</v>
      </c>
      <c r="C198" s="46"/>
      <c r="D198" s="68" t="s">
        <v>532</v>
      </c>
      <c r="E198" s="64"/>
      <c r="F198" s="97"/>
      <c r="G198" s="64"/>
      <c r="H198" s="64"/>
      <c r="I198" s="64"/>
      <c r="J198" s="64"/>
      <c r="K198" s="64"/>
      <c r="L198" s="64"/>
      <c r="M198" s="64"/>
      <c r="N198" s="64"/>
    </row>
    <row r="199" spans="1:14">
      <c r="A199" s="104"/>
      <c r="B199" s="66" t="s">
        <v>213</v>
      </c>
      <c r="C199" s="46"/>
      <c r="D199" s="68" t="s">
        <v>533</v>
      </c>
      <c r="E199" s="64"/>
      <c r="F199" s="97"/>
      <c r="G199" s="64"/>
      <c r="H199" s="64"/>
      <c r="I199" s="64"/>
      <c r="J199" s="64"/>
      <c r="K199" s="64"/>
      <c r="L199" s="64"/>
      <c r="M199" s="64"/>
      <c r="N199" s="64"/>
    </row>
    <row r="200" spans="1:14">
      <c r="A200" s="104"/>
      <c r="B200" s="66" t="s">
        <v>220</v>
      </c>
      <c r="C200" s="46" t="s">
        <v>937</v>
      </c>
      <c r="D200" s="68" t="s">
        <v>534</v>
      </c>
      <c r="E200" s="64">
        <f>(2*3210)/5</f>
        <v>1284</v>
      </c>
      <c r="F200" s="97">
        <f t="shared" si="7"/>
        <v>0.4</v>
      </c>
      <c r="G200" s="64"/>
      <c r="H200" s="64"/>
      <c r="I200" s="64"/>
      <c r="J200" s="64"/>
      <c r="K200" s="64"/>
      <c r="L200" s="64"/>
      <c r="M200" s="64"/>
      <c r="N200" s="64"/>
    </row>
    <row r="201" spans="1:14">
      <c r="A201" s="104"/>
      <c r="B201" s="66" t="s">
        <v>208</v>
      </c>
      <c r="C201" s="46"/>
      <c r="D201" s="68" t="s">
        <v>535</v>
      </c>
      <c r="E201" s="64"/>
      <c r="F201" s="97"/>
      <c r="G201" s="64"/>
      <c r="H201" s="64"/>
      <c r="I201" s="64"/>
      <c r="J201" s="64"/>
      <c r="K201" s="64"/>
      <c r="L201" s="64"/>
      <c r="M201" s="64"/>
      <c r="N201" s="64"/>
    </row>
    <row r="202" spans="1:14">
      <c r="A202" s="104"/>
      <c r="B202" s="66" t="s">
        <v>211</v>
      </c>
      <c r="C202" s="46"/>
      <c r="D202" s="68" t="s">
        <v>536</v>
      </c>
      <c r="E202" s="64"/>
      <c r="F202" s="97"/>
      <c r="G202" s="64"/>
      <c r="H202" s="64"/>
      <c r="I202" s="64"/>
      <c r="J202" s="64"/>
      <c r="K202" s="64"/>
      <c r="L202" s="64"/>
      <c r="M202" s="64"/>
      <c r="N202" s="64"/>
    </row>
    <row r="203" spans="1:14">
      <c r="A203" s="104"/>
      <c r="B203" s="66" t="s">
        <v>223</v>
      </c>
      <c r="C203" s="46" t="s">
        <v>938</v>
      </c>
      <c r="D203" s="68" t="s">
        <v>537</v>
      </c>
      <c r="E203" s="64">
        <f>(2*3210)/5</f>
        <v>1284</v>
      </c>
      <c r="F203" s="97">
        <f t="shared" si="7"/>
        <v>0.4</v>
      </c>
      <c r="G203" s="64"/>
      <c r="H203" s="64"/>
      <c r="I203" s="64"/>
      <c r="J203" s="64"/>
      <c r="K203" s="64"/>
      <c r="L203" s="64"/>
      <c r="M203" s="64"/>
      <c r="N203" s="64"/>
    </row>
    <row r="204" spans="1:14">
      <c r="A204" s="104"/>
      <c r="B204" s="66" t="s">
        <v>222</v>
      </c>
      <c r="C204" s="46"/>
      <c r="D204" s="68" t="s">
        <v>538</v>
      </c>
      <c r="E204" s="64"/>
      <c r="F204" s="97"/>
      <c r="G204" s="64"/>
      <c r="H204" s="64"/>
      <c r="I204" s="64"/>
      <c r="J204" s="64"/>
      <c r="K204" s="64"/>
      <c r="L204" s="64"/>
      <c r="M204" s="64"/>
      <c r="N204" s="64"/>
    </row>
    <row r="205" spans="1:14">
      <c r="A205" s="104"/>
      <c r="B205" s="66" t="s">
        <v>217</v>
      </c>
      <c r="C205" s="46"/>
      <c r="D205" s="68" t="s">
        <v>539</v>
      </c>
      <c r="E205" s="64"/>
      <c r="F205" s="97"/>
      <c r="G205" s="64"/>
      <c r="H205" s="64"/>
      <c r="I205" s="64"/>
      <c r="J205" s="64"/>
      <c r="K205" s="64"/>
      <c r="L205" s="64"/>
      <c r="M205" s="64"/>
      <c r="N205" s="64"/>
    </row>
    <row r="206" spans="1:14">
      <c r="A206" s="104"/>
      <c r="B206" s="66" t="s">
        <v>209</v>
      </c>
      <c r="C206" s="46"/>
      <c r="D206" s="68" t="s">
        <v>540</v>
      </c>
      <c r="E206" s="64"/>
      <c r="F206" s="97"/>
      <c r="G206" s="64"/>
      <c r="H206" s="64"/>
      <c r="I206" s="64"/>
      <c r="J206" s="64"/>
      <c r="K206" s="64"/>
      <c r="L206" s="64"/>
      <c r="M206" s="64"/>
      <c r="N206" s="64"/>
    </row>
    <row r="207" spans="1:14">
      <c r="A207" s="104"/>
      <c r="B207" s="66" t="s">
        <v>212</v>
      </c>
      <c r="C207" s="46"/>
      <c r="D207" s="68" t="s">
        <v>541</v>
      </c>
      <c r="E207" s="64"/>
      <c r="F207" s="97"/>
      <c r="G207" s="64"/>
      <c r="H207" s="64"/>
      <c r="I207" s="64"/>
      <c r="J207" s="64"/>
      <c r="K207" s="64"/>
      <c r="L207" s="64"/>
      <c r="M207" s="64"/>
      <c r="N207" s="64"/>
    </row>
    <row r="208" spans="1:14">
      <c r="A208" s="104"/>
      <c r="B208" s="66" t="s">
        <v>214</v>
      </c>
      <c r="C208" s="46"/>
      <c r="D208" s="68" t="s">
        <v>542</v>
      </c>
      <c r="E208" s="64"/>
      <c r="F208" s="97"/>
      <c r="G208" s="64"/>
      <c r="H208" s="64"/>
      <c r="I208" s="64"/>
      <c r="J208" s="64"/>
      <c r="K208" s="64"/>
      <c r="L208" s="64"/>
      <c r="M208" s="64"/>
      <c r="N208" s="64"/>
    </row>
    <row r="209" spans="1:14">
      <c r="A209" s="104"/>
      <c r="B209" s="66" t="s">
        <v>215</v>
      </c>
      <c r="C209" s="72"/>
      <c r="D209" s="68" t="s">
        <v>543</v>
      </c>
      <c r="E209" s="64"/>
      <c r="F209" s="97"/>
      <c r="G209" s="64"/>
      <c r="H209" s="64"/>
      <c r="I209" s="64"/>
      <c r="J209" s="64"/>
      <c r="K209" s="64"/>
      <c r="L209" s="64"/>
      <c r="M209" s="64"/>
      <c r="N209" s="64"/>
    </row>
    <row r="210" spans="1:14">
      <c r="A210" s="104" t="s">
        <v>20</v>
      </c>
      <c r="B210" s="66" t="s">
        <v>226</v>
      </c>
      <c r="C210" s="46"/>
      <c r="D210" s="68" t="s">
        <v>544</v>
      </c>
      <c r="E210" s="64"/>
      <c r="F210" s="97"/>
      <c r="G210" s="64"/>
      <c r="H210" s="64"/>
      <c r="I210" s="64"/>
      <c r="J210" s="64"/>
      <c r="K210" s="64"/>
      <c r="L210" s="64"/>
      <c r="M210" s="64"/>
      <c r="N210" s="64"/>
    </row>
    <row r="211" spans="1:14">
      <c r="A211" s="104"/>
      <c r="B211" s="66" t="s">
        <v>225</v>
      </c>
      <c r="C211" s="46"/>
      <c r="D211" s="68" t="s">
        <v>545</v>
      </c>
      <c r="E211" s="64"/>
      <c r="F211" s="97"/>
      <c r="G211" s="64"/>
      <c r="H211" s="64"/>
      <c r="I211" s="64"/>
      <c r="J211" s="64"/>
      <c r="K211" s="64"/>
      <c r="L211" s="64"/>
      <c r="M211" s="64"/>
      <c r="N211" s="64"/>
    </row>
    <row r="212" spans="1:14">
      <c r="A212" s="104"/>
      <c r="B212" s="66" t="s">
        <v>228</v>
      </c>
      <c r="C212" s="46"/>
      <c r="D212" s="68" t="s">
        <v>546</v>
      </c>
      <c r="E212" s="64"/>
      <c r="F212" s="97"/>
      <c r="G212" s="64"/>
      <c r="H212" s="64"/>
      <c r="I212" s="64"/>
      <c r="J212" s="64"/>
      <c r="K212" s="64"/>
      <c r="L212" s="64"/>
      <c r="M212" s="64"/>
      <c r="N212" s="64"/>
    </row>
    <row r="213" spans="1:14" ht="29.25">
      <c r="A213" s="104"/>
      <c r="B213" s="66" t="s">
        <v>224</v>
      </c>
      <c r="C213" s="46" t="s">
        <v>904</v>
      </c>
      <c r="D213" s="68" t="s">
        <v>547</v>
      </c>
      <c r="E213" s="64">
        <v>300</v>
      </c>
      <c r="F213" s="97">
        <v>1</v>
      </c>
      <c r="G213" s="64"/>
      <c r="H213" s="64"/>
      <c r="I213" s="64"/>
      <c r="J213" s="64"/>
      <c r="K213" s="64"/>
      <c r="L213" s="64"/>
      <c r="M213" s="64"/>
      <c r="N213" s="64"/>
    </row>
    <row r="214" spans="1:14">
      <c r="A214" s="104"/>
      <c r="B214" s="66" t="s">
        <v>227</v>
      </c>
      <c r="C214" s="72"/>
      <c r="D214" s="68" t="s">
        <v>548</v>
      </c>
      <c r="E214" s="64"/>
      <c r="F214" s="97"/>
      <c r="G214" s="64"/>
      <c r="H214" s="64"/>
      <c r="I214" s="64"/>
      <c r="J214" s="64"/>
      <c r="K214" s="64"/>
      <c r="L214" s="64"/>
      <c r="M214" s="64"/>
      <c r="N214" s="64"/>
    </row>
    <row r="215" spans="1:14" ht="29.25">
      <c r="A215" s="104"/>
      <c r="B215" s="66" t="s">
        <v>549</v>
      </c>
      <c r="C215" s="46"/>
      <c r="D215" s="68" t="s">
        <v>550</v>
      </c>
      <c r="E215" s="64"/>
      <c r="F215" s="97"/>
      <c r="G215" s="64"/>
      <c r="H215" s="64"/>
      <c r="I215" s="64"/>
      <c r="J215" s="64"/>
      <c r="K215" s="64"/>
      <c r="L215" s="64"/>
      <c r="M215" s="64"/>
      <c r="N215" s="64"/>
    </row>
    <row r="216" spans="1:14" ht="29.25">
      <c r="A216" s="104"/>
      <c r="B216" s="66" t="s">
        <v>551</v>
      </c>
      <c r="C216" s="46"/>
      <c r="D216" s="68" t="s">
        <v>552</v>
      </c>
      <c r="E216" s="64"/>
      <c r="F216" s="97"/>
      <c r="G216" s="64"/>
      <c r="H216" s="64"/>
      <c r="I216" s="64"/>
      <c r="J216" s="64"/>
      <c r="K216" s="64"/>
      <c r="L216" s="64"/>
      <c r="M216" s="64"/>
      <c r="N216" s="64"/>
    </row>
    <row r="217" spans="1:14">
      <c r="A217" s="104" t="s">
        <v>21</v>
      </c>
      <c r="B217" s="66" t="s">
        <v>231</v>
      </c>
      <c r="C217" s="46"/>
      <c r="D217" s="68" t="s">
        <v>553</v>
      </c>
      <c r="E217" s="64"/>
      <c r="F217" s="97"/>
      <c r="G217" s="64"/>
      <c r="H217" s="64"/>
      <c r="I217" s="64"/>
      <c r="J217" s="64"/>
      <c r="K217" s="64"/>
      <c r="L217" s="64"/>
      <c r="M217" s="64"/>
      <c r="N217" s="64"/>
    </row>
    <row r="218" spans="1:14">
      <c r="A218" s="104"/>
      <c r="B218" s="66" t="s">
        <v>236</v>
      </c>
      <c r="C218" s="46" t="s">
        <v>936</v>
      </c>
      <c r="D218" s="68" t="s">
        <v>554</v>
      </c>
      <c r="E218" s="64">
        <f>(3*2176)/6</f>
        <v>1088</v>
      </c>
      <c r="F218" s="97">
        <f t="shared" ref="F218:F224" si="8">E218/SUM(E$217:E$224)</f>
        <v>0.5</v>
      </c>
      <c r="G218" s="64"/>
      <c r="H218" s="64"/>
      <c r="I218" s="64"/>
      <c r="J218" s="64"/>
      <c r="K218" s="64"/>
      <c r="L218" s="64"/>
      <c r="M218" s="64"/>
      <c r="N218" s="64"/>
    </row>
    <row r="219" spans="1:14">
      <c r="A219" s="104"/>
      <c r="B219" s="66" t="s">
        <v>232</v>
      </c>
      <c r="C219" s="46"/>
      <c r="D219" s="68" t="s">
        <v>555</v>
      </c>
      <c r="E219" s="64"/>
      <c r="F219" s="97"/>
      <c r="G219" s="64"/>
      <c r="H219" s="64"/>
      <c r="I219" s="64"/>
      <c r="J219" s="64"/>
      <c r="K219" s="64"/>
      <c r="L219" s="64"/>
      <c r="M219" s="64"/>
      <c r="N219" s="64"/>
    </row>
    <row r="220" spans="1:14">
      <c r="A220" s="104"/>
      <c r="B220" s="66" t="s">
        <v>230</v>
      </c>
      <c r="C220" s="46" t="s">
        <v>725</v>
      </c>
      <c r="D220" s="68" t="s">
        <v>556</v>
      </c>
      <c r="E220" s="64">
        <f>(1*2176)/6</f>
        <v>362.66666666666669</v>
      </c>
      <c r="F220" s="97">
        <f t="shared" si="8"/>
        <v>0.16666666666666669</v>
      </c>
      <c r="G220" s="64"/>
      <c r="H220" s="64"/>
      <c r="I220" s="64"/>
      <c r="J220" s="64"/>
      <c r="K220" s="64"/>
      <c r="L220" s="64"/>
      <c r="M220" s="64"/>
      <c r="N220" s="64"/>
    </row>
    <row r="221" spans="1:14">
      <c r="A221" s="104"/>
      <c r="B221" s="66" t="s">
        <v>234</v>
      </c>
      <c r="C221" s="46"/>
      <c r="D221" s="68" t="s">
        <v>557</v>
      </c>
      <c r="E221" s="64"/>
      <c r="F221" s="97"/>
      <c r="G221" s="64"/>
      <c r="H221" s="64"/>
      <c r="I221" s="64"/>
      <c r="J221" s="64"/>
      <c r="K221" s="64"/>
      <c r="L221" s="64"/>
      <c r="M221" s="64"/>
      <c r="N221" s="64"/>
    </row>
    <row r="222" spans="1:14">
      <c r="A222" s="104"/>
      <c r="B222" s="66" t="s">
        <v>233</v>
      </c>
      <c r="C222" s="46" t="s">
        <v>935</v>
      </c>
      <c r="D222" s="68" t="s">
        <v>558</v>
      </c>
      <c r="E222" s="64">
        <f>(2*2176)/6</f>
        <v>725.33333333333337</v>
      </c>
      <c r="F222" s="97">
        <f t="shared" si="8"/>
        <v>0.33333333333333337</v>
      </c>
      <c r="G222" s="64"/>
      <c r="H222" s="64"/>
      <c r="I222" s="64"/>
      <c r="J222" s="64"/>
      <c r="K222" s="64"/>
      <c r="L222" s="64"/>
      <c r="M222" s="64"/>
      <c r="N222" s="64"/>
    </row>
    <row r="223" spans="1:14">
      <c r="A223" s="104"/>
      <c r="B223" s="66" t="s">
        <v>229</v>
      </c>
      <c r="C223" s="46"/>
      <c r="D223" s="68" t="s">
        <v>559</v>
      </c>
      <c r="E223" s="64"/>
      <c r="F223" s="97"/>
      <c r="G223" s="64"/>
      <c r="H223" s="64"/>
      <c r="I223" s="64"/>
      <c r="J223" s="64"/>
      <c r="K223" s="64"/>
      <c r="L223" s="64"/>
      <c r="M223" s="64"/>
      <c r="N223" s="64"/>
    </row>
    <row r="224" spans="1:14">
      <c r="A224" s="104"/>
      <c r="B224" s="66" t="s">
        <v>235</v>
      </c>
      <c r="C224" s="46"/>
      <c r="D224" s="68" t="s">
        <v>560</v>
      </c>
      <c r="E224" s="64"/>
      <c r="F224" s="97">
        <f t="shared" si="8"/>
        <v>0</v>
      </c>
      <c r="G224" s="64"/>
      <c r="H224" s="64"/>
      <c r="I224" s="64"/>
      <c r="J224" s="64"/>
      <c r="K224" s="64"/>
      <c r="L224" s="64"/>
      <c r="M224" s="64"/>
      <c r="N224" s="64"/>
    </row>
    <row r="225" spans="1:14">
      <c r="A225" s="104" t="s">
        <v>22</v>
      </c>
      <c r="B225" s="66" t="s">
        <v>237</v>
      </c>
      <c r="C225" s="46"/>
      <c r="D225" s="68" t="s">
        <v>561</v>
      </c>
      <c r="E225" s="64"/>
      <c r="F225" s="97"/>
      <c r="G225" s="64"/>
      <c r="H225" s="64"/>
      <c r="I225" s="64"/>
      <c r="J225" s="64"/>
      <c r="K225" s="64"/>
      <c r="L225" s="64"/>
      <c r="M225" s="64"/>
      <c r="N225" s="64"/>
    </row>
    <row r="226" spans="1:14">
      <c r="A226" s="104"/>
      <c r="B226" s="66" t="s">
        <v>238</v>
      </c>
      <c r="C226" s="46"/>
      <c r="D226" s="68" t="s">
        <v>562</v>
      </c>
      <c r="E226" s="64"/>
      <c r="F226" s="97"/>
      <c r="G226" s="64"/>
      <c r="H226" s="64"/>
      <c r="I226" s="64"/>
      <c r="J226" s="64"/>
      <c r="K226" s="64"/>
      <c r="L226" s="64"/>
      <c r="M226" s="64"/>
      <c r="N226" s="64"/>
    </row>
    <row r="227" spans="1:14">
      <c r="A227" s="104" t="s">
        <v>23</v>
      </c>
      <c r="B227" s="66" t="s">
        <v>241</v>
      </c>
      <c r="C227" s="46" t="s">
        <v>676</v>
      </c>
      <c r="D227" s="68" t="s">
        <v>563</v>
      </c>
      <c r="E227" s="64">
        <v>429</v>
      </c>
      <c r="F227" s="97">
        <v>1</v>
      </c>
      <c r="G227" s="64"/>
      <c r="H227" s="64"/>
      <c r="I227" s="64"/>
      <c r="J227" s="64"/>
      <c r="K227" s="64"/>
      <c r="L227" s="64"/>
      <c r="M227" s="64"/>
      <c r="N227" s="64"/>
    </row>
    <row r="228" spans="1:14">
      <c r="A228" s="104"/>
      <c r="B228" s="66" t="s">
        <v>239</v>
      </c>
      <c r="C228" s="46"/>
      <c r="D228" s="68" t="s">
        <v>564</v>
      </c>
      <c r="E228" s="64"/>
      <c r="F228" s="97"/>
      <c r="G228" s="64"/>
      <c r="H228" s="64"/>
      <c r="I228" s="64"/>
      <c r="J228" s="64"/>
      <c r="K228" s="64"/>
      <c r="L228" s="64"/>
      <c r="M228" s="64"/>
      <c r="N228" s="64"/>
    </row>
    <row r="229" spans="1:14">
      <c r="A229" s="104"/>
      <c r="B229" s="66" t="s">
        <v>242</v>
      </c>
      <c r="C229" s="46"/>
      <c r="D229" s="68" t="s">
        <v>565</v>
      </c>
      <c r="E229" s="64"/>
      <c r="F229" s="97"/>
      <c r="G229" s="64"/>
      <c r="H229" s="64"/>
      <c r="I229" s="64"/>
      <c r="J229" s="64"/>
      <c r="K229" s="64"/>
      <c r="L229" s="64"/>
      <c r="M229" s="64"/>
      <c r="N229" s="64"/>
    </row>
    <row r="230" spans="1:14">
      <c r="A230" s="104"/>
      <c r="B230" s="66" t="s">
        <v>240</v>
      </c>
      <c r="C230" s="46"/>
      <c r="D230" s="68" t="s">
        <v>566</v>
      </c>
      <c r="E230" s="64"/>
      <c r="F230" s="97"/>
      <c r="G230" s="64"/>
      <c r="H230" s="64"/>
      <c r="I230" s="64"/>
      <c r="J230" s="64"/>
      <c r="K230" s="64"/>
      <c r="L230" s="64"/>
      <c r="M230" s="64"/>
      <c r="N230" s="64"/>
    </row>
    <row r="231" spans="1:14">
      <c r="A231" s="104" t="s">
        <v>24</v>
      </c>
      <c r="B231" s="66" t="s">
        <v>243</v>
      </c>
      <c r="C231" s="46"/>
      <c r="D231" s="68" t="s">
        <v>567</v>
      </c>
      <c r="E231" s="64"/>
      <c r="F231" s="97"/>
      <c r="G231" s="64"/>
      <c r="H231" s="64"/>
      <c r="I231" s="64"/>
      <c r="J231" s="64"/>
      <c r="K231" s="64"/>
      <c r="L231" s="64"/>
      <c r="M231" s="64"/>
      <c r="N231" s="64"/>
    </row>
    <row r="232" spans="1:14">
      <c r="A232" s="104"/>
      <c r="B232" s="66" t="s">
        <v>245</v>
      </c>
      <c r="C232" s="46"/>
      <c r="D232" s="68" t="s">
        <v>568</v>
      </c>
      <c r="E232" s="64"/>
      <c r="F232" s="97"/>
      <c r="G232" s="64"/>
      <c r="H232" s="64"/>
      <c r="I232" s="64"/>
      <c r="J232" s="64"/>
      <c r="K232" s="64"/>
      <c r="L232" s="64"/>
      <c r="M232" s="64"/>
      <c r="N232" s="64"/>
    </row>
    <row r="233" spans="1:14">
      <c r="A233" s="104"/>
      <c r="B233" s="66" t="s">
        <v>244</v>
      </c>
      <c r="C233" s="46"/>
      <c r="D233" s="68" t="s">
        <v>569</v>
      </c>
      <c r="E233" s="64"/>
      <c r="F233" s="97"/>
      <c r="G233" s="64"/>
      <c r="H233" s="64"/>
      <c r="I233" s="64"/>
      <c r="J233" s="64"/>
      <c r="K233" s="64"/>
      <c r="L233" s="64"/>
      <c r="M233" s="64"/>
      <c r="N233" s="64"/>
    </row>
    <row r="234" spans="1:14">
      <c r="A234" s="104"/>
      <c r="B234" s="66" t="s">
        <v>246</v>
      </c>
      <c r="C234" s="46"/>
      <c r="D234" s="68" t="s">
        <v>570</v>
      </c>
      <c r="E234" s="64"/>
      <c r="F234" s="97"/>
      <c r="G234" s="64"/>
      <c r="H234" s="64"/>
      <c r="I234" s="64"/>
      <c r="J234" s="64"/>
      <c r="K234" s="64"/>
      <c r="L234" s="64"/>
      <c r="M234" s="64"/>
      <c r="N234" s="64"/>
    </row>
    <row r="235" spans="1:14">
      <c r="A235" s="104"/>
      <c r="B235" s="66" t="s">
        <v>571</v>
      </c>
      <c r="C235" s="46"/>
      <c r="D235" s="68" t="s">
        <v>572</v>
      </c>
      <c r="E235" s="64"/>
      <c r="F235" s="97"/>
      <c r="G235" s="64"/>
      <c r="H235" s="64"/>
      <c r="I235" s="64"/>
      <c r="J235" s="64"/>
      <c r="K235" s="64"/>
      <c r="L235" s="64"/>
      <c r="M235" s="64"/>
      <c r="N235" s="64"/>
    </row>
    <row r="236" spans="1:14">
      <c r="A236" s="104" t="s">
        <v>25</v>
      </c>
      <c r="B236" s="66" t="s">
        <v>247</v>
      </c>
      <c r="C236" s="46"/>
      <c r="D236" s="68" t="s">
        <v>573</v>
      </c>
      <c r="E236" s="64"/>
      <c r="F236" s="97"/>
      <c r="G236" s="64"/>
      <c r="H236" s="64"/>
      <c r="I236" s="64"/>
      <c r="J236" s="64"/>
      <c r="K236" s="64"/>
      <c r="L236" s="64"/>
      <c r="M236" s="64"/>
      <c r="N236" s="64"/>
    </row>
    <row r="237" spans="1:14">
      <c r="A237" s="104"/>
      <c r="B237" s="66" t="s">
        <v>248</v>
      </c>
      <c r="C237" s="46"/>
      <c r="D237" s="68" t="s">
        <v>574</v>
      </c>
      <c r="E237" s="64"/>
      <c r="F237" s="97"/>
      <c r="G237" s="64"/>
      <c r="H237" s="64"/>
      <c r="I237" s="64"/>
      <c r="J237" s="64"/>
      <c r="K237" s="64"/>
      <c r="L237" s="64"/>
      <c r="M237" s="64"/>
      <c r="N237" s="64"/>
    </row>
    <row r="238" spans="1:14">
      <c r="A238" s="104"/>
      <c r="B238" s="66" t="s">
        <v>252</v>
      </c>
      <c r="C238" s="46"/>
      <c r="D238" s="68" t="s">
        <v>575</v>
      </c>
      <c r="E238" s="64"/>
      <c r="F238" s="97"/>
      <c r="G238" s="64"/>
      <c r="H238" s="64"/>
      <c r="I238" s="64"/>
      <c r="J238" s="64"/>
      <c r="K238" s="64"/>
      <c r="L238" s="64"/>
      <c r="M238" s="64"/>
      <c r="N238" s="64"/>
    </row>
    <row r="239" spans="1:14">
      <c r="A239" s="104"/>
      <c r="B239" s="66" t="s">
        <v>254</v>
      </c>
      <c r="C239" s="46"/>
      <c r="D239" s="68" t="s">
        <v>576</v>
      </c>
      <c r="E239" s="64"/>
      <c r="F239" s="97"/>
      <c r="G239" s="64"/>
      <c r="H239" s="64"/>
      <c r="I239" s="64"/>
      <c r="J239" s="64"/>
      <c r="K239" s="64"/>
      <c r="L239" s="64"/>
      <c r="M239" s="64"/>
      <c r="N239" s="64"/>
    </row>
    <row r="240" spans="1:14">
      <c r="A240" s="104"/>
      <c r="B240" s="66" t="s">
        <v>251</v>
      </c>
      <c r="C240" s="72"/>
      <c r="D240" s="68" t="s">
        <v>577</v>
      </c>
      <c r="E240" s="64"/>
      <c r="F240" s="97"/>
      <c r="G240" s="64"/>
      <c r="H240" s="64"/>
      <c r="I240" s="64"/>
      <c r="J240" s="64"/>
      <c r="K240" s="64"/>
      <c r="L240" s="64"/>
      <c r="M240" s="64"/>
      <c r="N240" s="64"/>
    </row>
    <row r="241" spans="1:14">
      <c r="A241" s="104"/>
      <c r="B241" s="66" t="s">
        <v>253</v>
      </c>
      <c r="C241" s="46"/>
      <c r="D241" s="68" t="s">
        <v>578</v>
      </c>
      <c r="E241" s="64"/>
      <c r="F241" s="97"/>
      <c r="G241" s="64"/>
      <c r="H241" s="64"/>
      <c r="I241" s="64"/>
      <c r="J241" s="64"/>
      <c r="K241" s="64"/>
      <c r="L241" s="64"/>
      <c r="M241" s="64"/>
      <c r="N241" s="64"/>
    </row>
    <row r="242" spans="1:14">
      <c r="A242" s="104"/>
      <c r="B242" s="66" t="s">
        <v>250</v>
      </c>
      <c r="C242" s="46"/>
      <c r="D242" s="68" t="s">
        <v>579</v>
      </c>
      <c r="E242" s="64"/>
      <c r="F242" s="97"/>
      <c r="G242" s="64"/>
      <c r="H242" s="64"/>
      <c r="I242" s="64"/>
      <c r="J242" s="64"/>
      <c r="K242" s="64"/>
      <c r="L242" s="64"/>
      <c r="M242" s="64"/>
      <c r="N242" s="64"/>
    </row>
    <row r="243" spans="1:14">
      <c r="A243" s="104"/>
      <c r="B243" s="66" t="s">
        <v>249</v>
      </c>
      <c r="C243" s="46"/>
      <c r="D243" s="68" t="s">
        <v>580</v>
      </c>
      <c r="E243" s="64"/>
      <c r="F243" s="97"/>
      <c r="G243" s="64"/>
      <c r="H243" s="64"/>
      <c r="I243" s="64"/>
      <c r="J243" s="64"/>
      <c r="K243" s="64"/>
      <c r="L243" s="64"/>
      <c r="M243" s="64"/>
      <c r="N243" s="64"/>
    </row>
    <row r="244" spans="1:14" ht="29.25">
      <c r="A244" s="104" t="s">
        <v>26</v>
      </c>
      <c r="B244" s="66" t="s">
        <v>294</v>
      </c>
      <c r="C244" s="72" t="s">
        <v>924</v>
      </c>
      <c r="D244" s="68" t="s">
        <v>581</v>
      </c>
      <c r="E244" s="64">
        <v>530</v>
      </c>
      <c r="F244" s="97">
        <f>E244/SUM(E$244:E$284)</f>
        <v>0.44166666666666665</v>
      </c>
      <c r="G244" s="64"/>
      <c r="H244" s="64"/>
      <c r="I244" s="64"/>
      <c r="J244" s="64"/>
      <c r="K244" s="64"/>
      <c r="L244" s="64"/>
      <c r="M244" s="64"/>
      <c r="N244" s="64"/>
    </row>
    <row r="245" spans="1:14" ht="29.25">
      <c r="A245" s="104"/>
      <c r="B245" s="66" t="s">
        <v>268</v>
      </c>
      <c r="C245" s="46"/>
      <c r="D245" s="68" t="s">
        <v>582</v>
      </c>
      <c r="E245" s="64"/>
      <c r="F245" s="97"/>
      <c r="G245" s="64"/>
      <c r="H245" s="64"/>
      <c r="I245" s="64"/>
      <c r="J245" s="64"/>
      <c r="K245" s="64"/>
      <c r="L245" s="64"/>
      <c r="M245" s="64"/>
      <c r="N245" s="64"/>
    </row>
    <row r="246" spans="1:14">
      <c r="A246" s="104"/>
      <c r="B246" s="66" t="s">
        <v>280</v>
      </c>
      <c r="C246" s="46"/>
      <c r="D246" s="68" t="s">
        <v>583</v>
      </c>
      <c r="E246" s="64"/>
      <c r="F246" s="97"/>
      <c r="G246" s="64"/>
      <c r="H246" s="64"/>
      <c r="I246" s="64"/>
      <c r="J246" s="64"/>
      <c r="K246" s="64"/>
      <c r="L246" s="64"/>
      <c r="M246" s="64"/>
      <c r="N246" s="64"/>
    </row>
    <row r="247" spans="1:14">
      <c r="A247" s="104"/>
      <c r="B247" s="66" t="s">
        <v>270</v>
      </c>
      <c r="C247" s="46"/>
      <c r="D247" s="68" t="s">
        <v>584</v>
      </c>
      <c r="E247" s="64"/>
      <c r="F247" s="97"/>
      <c r="G247" s="64"/>
      <c r="H247" s="64"/>
      <c r="I247" s="64"/>
      <c r="J247" s="64"/>
      <c r="K247" s="64"/>
      <c r="L247" s="64"/>
      <c r="M247" s="64"/>
      <c r="N247" s="64"/>
    </row>
    <row r="248" spans="1:14">
      <c r="A248" s="104"/>
      <c r="B248" s="66" t="s">
        <v>285</v>
      </c>
      <c r="C248" s="46"/>
      <c r="D248" s="68" t="s">
        <v>585</v>
      </c>
      <c r="E248" s="64"/>
      <c r="F248" s="97"/>
      <c r="G248" s="64"/>
      <c r="H248" s="64"/>
      <c r="I248" s="64"/>
      <c r="J248" s="64"/>
      <c r="K248" s="64"/>
      <c r="L248" s="64"/>
      <c r="M248" s="64"/>
      <c r="N248" s="64"/>
    </row>
    <row r="249" spans="1:14">
      <c r="A249" s="104"/>
      <c r="B249" s="66" t="s">
        <v>264</v>
      </c>
      <c r="C249" s="46" t="s">
        <v>925</v>
      </c>
      <c r="D249" s="68" t="s">
        <v>586</v>
      </c>
      <c r="E249" s="64">
        <v>400</v>
      </c>
      <c r="F249" s="97">
        <f t="shared" ref="F249:F251" si="9">E249/SUM(E$244:E$284)</f>
        <v>0.33333333333333331</v>
      </c>
      <c r="G249" s="64"/>
      <c r="H249" s="64"/>
      <c r="I249" s="64"/>
      <c r="J249" s="64"/>
      <c r="K249" s="64"/>
      <c r="L249" s="64"/>
      <c r="M249" s="64"/>
      <c r="N249" s="64"/>
    </row>
    <row r="250" spans="1:14">
      <c r="A250" s="104"/>
      <c r="B250" s="66" t="s">
        <v>269</v>
      </c>
      <c r="C250" s="46"/>
      <c r="D250" s="68" t="s">
        <v>587</v>
      </c>
      <c r="E250" s="64"/>
      <c r="F250" s="97"/>
      <c r="G250" s="64"/>
      <c r="H250" s="64"/>
      <c r="I250" s="64"/>
      <c r="J250" s="64"/>
      <c r="K250" s="64"/>
      <c r="L250" s="64"/>
      <c r="M250" s="64"/>
      <c r="N250" s="64"/>
    </row>
    <row r="251" spans="1:14" ht="29.25">
      <c r="A251" s="104"/>
      <c r="B251" s="66" t="s">
        <v>277</v>
      </c>
      <c r="C251" s="46" t="s">
        <v>926</v>
      </c>
      <c r="D251" s="68" t="s">
        <v>588</v>
      </c>
      <c r="E251" s="64">
        <v>270</v>
      </c>
      <c r="F251" s="97">
        <f t="shared" si="9"/>
        <v>0.22500000000000001</v>
      </c>
      <c r="G251" s="64"/>
      <c r="H251" s="64"/>
      <c r="I251" s="64"/>
      <c r="J251" s="64"/>
      <c r="K251" s="64"/>
      <c r="L251" s="64"/>
      <c r="M251" s="64"/>
      <c r="N251" s="64"/>
    </row>
    <row r="252" spans="1:14">
      <c r="A252" s="104"/>
      <c r="B252" s="66" t="s">
        <v>295</v>
      </c>
      <c r="C252" s="46"/>
      <c r="D252" s="68" t="s">
        <v>589</v>
      </c>
      <c r="E252" s="64"/>
      <c r="F252" s="97"/>
      <c r="G252" s="64"/>
      <c r="H252" s="64"/>
      <c r="I252" s="64"/>
      <c r="J252" s="64"/>
      <c r="K252" s="64"/>
      <c r="L252" s="64"/>
      <c r="M252" s="64"/>
      <c r="N252" s="64"/>
    </row>
    <row r="253" spans="1:14">
      <c r="A253" s="104"/>
      <c r="B253" s="66" t="s">
        <v>266</v>
      </c>
      <c r="C253" s="46"/>
      <c r="D253" s="68" t="s">
        <v>590</v>
      </c>
      <c r="E253" s="64"/>
      <c r="F253" s="97"/>
      <c r="G253" s="64"/>
      <c r="H253" s="64"/>
      <c r="I253" s="64"/>
      <c r="J253" s="64"/>
      <c r="K253" s="64"/>
      <c r="L253" s="64"/>
      <c r="M253" s="64"/>
      <c r="N253" s="64"/>
    </row>
    <row r="254" spans="1:14">
      <c r="A254" s="104"/>
      <c r="B254" s="66" t="s">
        <v>263</v>
      </c>
      <c r="C254" s="46"/>
      <c r="D254" s="68" t="s">
        <v>591</v>
      </c>
      <c r="E254" s="64"/>
      <c r="F254" s="97"/>
      <c r="G254" s="64"/>
      <c r="H254" s="64"/>
      <c r="I254" s="64"/>
      <c r="J254" s="64"/>
      <c r="K254" s="64"/>
      <c r="L254" s="64"/>
      <c r="M254" s="64"/>
      <c r="N254" s="64"/>
    </row>
    <row r="255" spans="1:14" ht="29.25">
      <c r="A255" s="104"/>
      <c r="B255" s="66" t="s">
        <v>279</v>
      </c>
      <c r="C255" s="46"/>
      <c r="D255" s="68" t="s">
        <v>592</v>
      </c>
      <c r="E255" s="64"/>
      <c r="F255" s="97"/>
      <c r="G255" s="64"/>
      <c r="H255" s="64"/>
      <c r="I255" s="64"/>
      <c r="J255" s="64"/>
      <c r="K255" s="64"/>
      <c r="L255" s="64"/>
      <c r="M255" s="64"/>
      <c r="N255" s="64"/>
    </row>
    <row r="256" spans="1:14" ht="29.25">
      <c r="A256" s="104"/>
      <c r="B256" s="66" t="s">
        <v>272</v>
      </c>
      <c r="C256" s="46"/>
      <c r="D256" s="68" t="s">
        <v>593</v>
      </c>
      <c r="E256" s="64"/>
      <c r="F256" s="97"/>
      <c r="G256" s="64"/>
      <c r="H256" s="64"/>
      <c r="I256" s="64"/>
      <c r="J256" s="64"/>
      <c r="K256" s="64"/>
      <c r="L256" s="64"/>
      <c r="M256" s="64"/>
      <c r="N256" s="64"/>
    </row>
    <row r="257" spans="1:14">
      <c r="A257" s="104"/>
      <c r="B257" s="66" t="s">
        <v>271</v>
      </c>
      <c r="C257" s="46"/>
      <c r="D257" s="68" t="s">
        <v>594</v>
      </c>
      <c r="E257" s="64"/>
      <c r="F257" s="97"/>
      <c r="G257" s="64"/>
      <c r="H257" s="64"/>
      <c r="I257" s="64"/>
      <c r="J257" s="64"/>
      <c r="K257" s="64"/>
      <c r="L257" s="64"/>
      <c r="M257" s="64"/>
      <c r="N257" s="64"/>
    </row>
    <row r="258" spans="1:14" ht="43.5">
      <c r="A258" s="104"/>
      <c r="B258" s="66" t="s">
        <v>275</v>
      </c>
      <c r="C258" s="46"/>
      <c r="D258" s="68" t="s">
        <v>595</v>
      </c>
      <c r="E258" s="64"/>
      <c r="F258" s="97"/>
      <c r="G258" s="64"/>
      <c r="H258" s="64"/>
      <c r="I258" s="64"/>
      <c r="J258" s="64"/>
      <c r="K258" s="64"/>
      <c r="L258" s="64"/>
      <c r="M258" s="64"/>
      <c r="N258" s="64"/>
    </row>
    <row r="259" spans="1:14" ht="29.25">
      <c r="A259" s="104"/>
      <c r="B259" s="66" t="s">
        <v>267</v>
      </c>
      <c r="C259" s="46"/>
      <c r="D259" s="68" t="s">
        <v>596</v>
      </c>
      <c r="E259" s="64"/>
      <c r="F259" s="97"/>
      <c r="G259" s="64"/>
      <c r="H259" s="64"/>
      <c r="I259" s="64"/>
      <c r="J259" s="64"/>
      <c r="K259" s="64"/>
      <c r="L259" s="64"/>
      <c r="M259" s="64"/>
      <c r="N259" s="64"/>
    </row>
    <row r="260" spans="1:14">
      <c r="A260" s="104"/>
      <c r="B260" s="66" t="s">
        <v>274</v>
      </c>
      <c r="C260" s="46"/>
      <c r="D260" s="68" t="s">
        <v>597</v>
      </c>
      <c r="E260" s="64"/>
      <c r="F260" s="97"/>
      <c r="G260" s="64"/>
      <c r="H260" s="64"/>
      <c r="I260" s="64"/>
      <c r="J260" s="64"/>
      <c r="K260" s="64"/>
      <c r="L260" s="64"/>
      <c r="M260" s="64"/>
      <c r="N260" s="64"/>
    </row>
    <row r="261" spans="1:14">
      <c r="A261" s="104"/>
      <c r="B261" s="66" t="s">
        <v>282</v>
      </c>
      <c r="C261" s="46"/>
      <c r="D261" s="68" t="s">
        <v>598</v>
      </c>
      <c r="E261" s="64"/>
      <c r="F261" s="97"/>
      <c r="G261" s="64"/>
      <c r="H261" s="64"/>
      <c r="I261" s="64"/>
      <c r="J261" s="64"/>
      <c r="K261" s="64"/>
      <c r="L261" s="64"/>
      <c r="M261" s="64"/>
      <c r="N261" s="64"/>
    </row>
    <row r="262" spans="1:14" ht="29.25">
      <c r="A262" s="104"/>
      <c r="B262" s="66" t="s">
        <v>287</v>
      </c>
      <c r="C262" s="46"/>
      <c r="D262" s="68" t="s">
        <v>599</v>
      </c>
      <c r="E262" s="64"/>
      <c r="F262" s="97"/>
      <c r="G262" s="64"/>
      <c r="H262" s="64"/>
      <c r="I262" s="64"/>
      <c r="J262" s="64"/>
      <c r="K262" s="64"/>
      <c r="L262" s="64"/>
      <c r="M262" s="64"/>
      <c r="N262" s="64"/>
    </row>
    <row r="263" spans="1:14">
      <c r="A263" s="104"/>
      <c r="B263" s="66" t="s">
        <v>265</v>
      </c>
      <c r="C263" s="46"/>
      <c r="D263" s="68" t="s">
        <v>600</v>
      </c>
      <c r="E263" s="64"/>
      <c r="F263" s="97"/>
      <c r="G263" s="64"/>
      <c r="H263" s="64"/>
      <c r="I263" s="64"/>
      <c r="J263" s="64"/>
      <c r="K263" s="64"/>
      <c r="L263" s="64"/>
      <c r="M263" s="64"/>
      <c r="N263" s="64"/>
    </row>
    <row r="264" spans="1:14">
      <c r="A264" s="104"/>
      <c r="B264" s="66" t="s">
        <v>293</v>
      </c>
      <c r="C264" s="46"/>
      <c r="D264" s="68" t="s">
        <v>601</v>
      </c>
      <c r="E264" s="64"/>
      <c r="F264" s="97"/>
      <c r="G264" s="64"/>
      <c r="H264" s="64"/>
      <c r="I264" s="64"/>
      <c r="J264" s="64"/>
      <c r="K264" s="64"/>
      <c r="L264" s="64"/>
      <c r="M264" s="64"/>
      <c r="N264" s="64"/>
    </row>
    <row r="265" spans="1:14">
      <c r="A265" s="104"/>
      <c r="B265" s="66" t="s">
        <v>292</v>
      </c>
      <c r="C265" s="46"/>
      <c r="D265" s="68" t="s">
        <v>602</v>
      </c>
      <c r="E265" s="64"/>
      <c r="F265" s="97"/>
      <c r="G265" s="64"/>
      <c r="H265" s="64"/>
      <c r="I265" s="64"/>
      <c r="J265" s="64"/>
      <c r="K265" s="64"/>
      <c r="L265" s="64"/>
      <c r="M265" s="64"/>
      <c r="N265" s="64"/>
    </row>
    <row r="266" spans="1:14" ht="29.25">
      <c r="A266" s="104"/>
      <c r="B266" s="66" t="s">
        <v>291</v>
      </c>
      <c r="C266" s="46"/>
      <c r="D266" s="68" t="s">
        <v>603</v>
      </c>
      <c r="E266" s="64"/>
      <c r="F266" s="97"/>
      <c r="G266" s="64"/>
      <c r="H266" s="64"/>
      <c r="I266" s="64"/>
      <c r="J266" s="64"/>
      <c r="K266" s="64"/>
      <c r="L266" s="64"/>
      <c r="M266" s="64"/>
      <c r="N266" s="64"/>
    </row>
    <row r="267" spans="1:14">
      <c r="A267" s="104"/>
      <c r="B267" s="66" t="s">
        <v>290</v>
      </c>
      <c r="C267" s="46"/>
      <c r="D267" s="68" t="s">
        <v>604</v>
      </c>
      <c r="E267" s="64"/>
      <c r="F267" s="97"/>
      <c r="G267" s="64"/>
      <c r="H267" s="64"/>
      <c r="I267" s="64"/>
      <c r="J267" s="64"/>
      <c r="K267" s="64"/>
      <c r="L267" s="64"/>
      <c r="M267" s="64"/>
      <c r="N267" s="64"/>
    </row>
    <row r="268" spans="1:14" ht="29.25">
      <c r="A268" s="104"/>
      <c r="B268" s="66" t="s">
        <v>289</v>
      </c>
      <c r="C268" s="46"/>
      <c r="D268" s="68" t="s">
        <v>605</v>
      </c>
      <c r="E268" s="64"/>
      <c r="F268" s="97"/>
      <c r="G268" s="64"/>
      <c r="H268" s="64"/>
      <c r="I268" s="64"/>
      <c r="J268" s="64"/>
      <c r="K268" s="64"/>
      <c r="L268" s="64"/>
      <c r="M268" s="64"/>
      <c r="N268" s="64"/>
    </row>
    <row r="269" spans="1:14" ht="43.5">
      <c r="A269" s="104"/>
      <c r="B269" s="66" t="s">
        <v>286</v>
      </c>
      <c r="C269" s="46"/>
      <c r="D269" s="68" t="s">
        <v>606</v>
      </c>
      <c r="E269" s="64"/>
      <c r="F269" s="97"/>
      <c r="G269" s="64"/>
      <c r="H269" s="64"/>
      <c r="I269" s="64"/>
      <c r="J269" s="64"/>
      <c r="K269" s="64"/>
      <c r="L269" s="64"/>
      <c r="M269" s="64"/>
      <c r="N269" s="64"/>
    </row>
    <row r="270" spans="1:14" ht="29.25">
      <c r="A270" s="104"/>
      <c r="B270" s="66" t="s">
        <v>283</v>
      </c>
      <c r="C270" s="46"/>
      <c r="D270" s="68" t="s">
        <v>607</v>
      </c>
      <c r="E270" s="64"/>
      <c r="F270" s="97"/>
      <c r="G270" s="64"/>
      <c r="H270" s="64"/>
      <c r="I270" s="64"/>
      <c r="J270" s="64"/>
      <c r="K270" s="64"/>
      <c r="L270" s="64"/>
      <c r="M270" s="64"/>
      <c r="N270" s="64"/>
    </row>
    <row r="271" spans="1:14" ht="29.25">
      <c r="A271" s="104"/>
      <c r="B271" s="66" t="s">
        <v>276</v>
      </c>
      <c r="C271" s="46"/>
      <c r="D271" s="68" t="s">
        <v>608</v>
      </c>
      <c r="E271" s="64"/>
      <c r="F271" s="97"/>
      <c r="G271" s="64"/>
      <c r="H271" s="64"/>
      <c r="I271" s="64"/>
      <c r="J271" s="64"/>
      <c r="K271" s="64"/>
      <c r="L271" s="64"/>
      <c r="M271" s="64"/>
      <c r="N271" s="64"/>
    </row>
    <row r="272" spans="1:14">
      <c r="A272" s="104"/>
      <c r="B272" s="66" t="s">
        <v>273</v>
      </c>
      <c r="C272" s="46"/>
      <c r="D272" s="68" t="s">
        <v>609</v>
      </c>
      <c r="E272" s="64"/>
      <c r="F272" s="97"/>
      <c r="G272" s="64"/>
      <c r="H272" s="64"/>
      <c r="I272" s="64"/>
      <c r="J272" s="64"/>
      <c r="K272" s="64"/>
      <c r="L272" s="64"/>
      <c r="M272" s="64"/>
      <c r="N272" s="64"/>
    </row>
    <row r="273" spans="1:14" ht="43.5">
      <c r="A273" s="104"/>
      <c r="B273" s="66" t="s">
        <v>288</v>
      </c>
      <c r="C273" s="46"/>
      <c r="D273" s="68" t="s">
        <v>610</v>
      </c>
      <c r="E273" s="64"/>
      <c r="F273" s="97"/>
      <c r="G273" s="64"/>
      <c r="H273" s="64"/>
      <c r="I273" s="64"/>
      <c r="J273" s="64"/>
      <c r="K273" s="64"/>
      <c r="L273" s="64"/>
      <c r="M273" s="64"/>
      <c r="N273" s="64"/>
    </row>
    <row r="274" spans="1:14">
      <c r="A274" s="104"/>
      <c r="B274" s="66" t="s">
        <v>284</v>
      </c>
      <c r="C274" s="46"/>
      <c r="D274" s="68" t="s">
        <v>611</v>
      </c>
      <c r="E274" s="64"/>
      <c r="F274" s="97"/>
      <c r="G274" s="64"/>
      <c r="H274" s="64"/>
      <c r="I274" s="64"/>
      <c r="J274" s="64"/>
      <c r="K274" s="64"/>
      <c r="L274" s="64"/>
      <c r="M274" s="64"/>
      <c r="N274" s="64"/>
    </row>
    <row r="275" spans="1:14" ht="29.25">
      <c r="A275" s="104"/>
      <c r="B275" s="66" t="s">
        <v>281</v>
      </c>
      <c r="C275" s="46"/>
      <c r="D275" s="68" t="s">
        <v>612</v>
      </c>
      <c r="E275" s="64"/>
      <c r="F275" s="97"/>
      <c r="G275" s="64"/>
      <c r="H275" s="64"/>
      <c r="I275" s="64"/>
      <c r="J275" s="64"/>
      <c r="K275" s="64"/>
      <c r="L275" s="64"/>
      <c r="M275" s="64"/>
      <c r="N275" s="64"/>
    </row>
    <row r="276" spans="1:14">
      <c r="A276" s="104"/>
      <c r="B276" s="66" t="s">
        <v>278</v>
      </c>
      <c r="C276" s="46"/>
      <c r="D276" s="68" t="s">
        <v>613</v>
      </c>
      <c r="E276" s="64"/>
      <c r="F276" s="97"/>
      <c r="G276" s="64"/>
      <c r="H276" s="64"/>
      <c r="I276" s="64"/>
      <c r="J276" s="64"/>
      <c r="K276" s="64"/>
      <c r="L276" s="64"/>
      <c r="M276" s="64"/>
      <c r="N276" s="64"/>
    </row>
    <row r="277" spans="1:14" ht="29.25">
      <c r="A277" s="104"/>
      <c r="B277" s="66" t="s">
        <v>255</v>
      </c>
      <c r="C277" s="46"/>
      <c r="D277" s="68" t="s">
        <v>614</v>
      </c>
      <c r="E277" s="64"/>
      <c r="F277" s="97"/>
      <c r="G277" s="64"/>
      <c r="H277" s="64"/>
      <c r="I277" s="64"/>
      <c r="J277" s="64"/>
      <c r="K277" s="64"/>
      <c r="L277" s="64"/>
      <c r="M277" s="64"/>
      <c r="N277" s="64"/>
    </row>
    <row r="278" spans="1:14">
      <c r="A278" s="104"/>
      <c r="B278" s="66" t="s">
        <v>256</v>
      </c>
      <c r="C278" s="46"/>
      <c r="D278" s="68" t="s">
        <v>615</v>
      </c>
      <c r="E278" s="64"/>
      <c r="F278" s="97"/>
      <c r="G278" s="64"/>
      <c r="H278" s="64"/>
      <c r="I278" s="64"/>
      <c r="J278" s="64"/>
      <c r="K278" s="64"/>
      <c r="L278" s="64"/>
      <c r="M278" s="64"/>
      <c r="N278" s="64"/>
    </row>
    <row r="279" spans="1:14">
      <c r="A279" s="104"/>
      <c r="B279" s="66" t="s">
        <v>261</v>
      </c>
      <c r="C279" s="46"/>
      <c r="D279" s="68" t="s">
        <v>616</v>
      </c>
      <c r="E279" s="64"/>
      <c r="F279" s="97"/>
      <c r="G279" s="64"/>
      <c r="H279" s="64"/>
      <c r="I279" s="64"/>
      <c r="J279" s="64"/>
      <c r="K279" s="64"/>
      <c r="L279" s="64"/>
      <c r="M279" s="64"/>
      <c r="N279" s="64"/>
    </row>
    <row r="280" spans="1:14">
      <c r="A280" s="104"/>
      <c r="B280" s="66" t="s">
        <v>259</v>
      </c>
      <c r="C280" s="46"/>
      <c r="D280" s="68" t="s">
        <v>617</v>
      </c>
      <c r="E280" s="64"/>
      <c r="F280" s="97"/>
      <c r="G280" s="64"/>
      <c r="H280" s="64"/>
      <c r="I280" s="64"/>
      <c r="J280" s="64"/>
      <c r="K280" s="64"/>
      <c r="L280" s="64"/>
      <c r="M280" s="64"/>
      <c r="N280" s="64"/>
    </row>
    <row r="281" spans="1:14">
      <c r="A281" s="104"/>
      <c r="B281" s="66" t="s">
        <v>260</v>
      </c>
      <c r="C281" s="73"/>
      <c r="D281" s="68" t="s">
        <v>618</v>
      </c>
      <c r="E281" s="64"/>
      <c r="F281" s="97"/>
      <c r="G281" s="64"/>
      <c r="H281" s="64"/>
      <c r="I281" s="64"/>
      <c r="J281" s="64"/>
      <c r="K281" s="64"/>
      <c r="L281" s="64"/>
      <c r="M281" s="64"/>
      <c r="N281" s="64"/>
    </row>
    <row r="282" spans="1:14">
      <c r="A282" s="104"/>
      <c r="B282" s="66" t="s">
        <v>258</v>
      </c>
      <c r="C282" s="46"/>
      <c r="D282" s="68" t="s">
        <v>619</v>
      </c>
      <c r="E282" s="64"/>
      <c r="F282" s="97"/>
      <c r="G282" s="64"/>
      <c r="H282" s="64"/>
      <c r="I282" s="64"/>
      <c r="J282" s="64"/>
      <c r="K282" s="64"/>
      <c r="L282" s="64"/>
      <c r="M282" s="64"/>
      <c r="N282" s="64"/>
    </row>
    <row r="283" spans="1:14">
      <c r="A283" s="104"/>
      <c r="B283" s="66" t="s">
        <v>257</v>
      </c>
      <c r="C283" s="46"/>
      <c r="D283" s="68" t="s">
        <v>620</v>
      </c>
      <c r="E283" s="64"/>
      <c r="F283" s="97"/>
      <c r="G283" s="64"/>
      <c r="H283" s="64"/>
      <c r="I283" s="64"/>
      <c r="J283" s="64"/>
      <c r="K283" s="64"/>
      <c r="L283" s="64"/>
      <c r="M283" s="64"/>
      <c r="N283" s="64"/>
    </row>
    <row r="284" spans="1:14">
      <c r="A284" s="104"/>
      <c r="B284" s="66" t="s">
        <v>262</v>
      </c>
      <c r="C284" s="46"/>
      <c r="D284" s="68" t="s">
        <v>621</v>
      </c>
      <c r="E284" s="64"/>
      <c r="F284" s="97"/>
      <c r="G284" s="64"/>
      <c r="H284" s="64"/>
      <c r="I284" s="64"/>
      <c r="J284" s="64"/>
      <c r="K284" s="64"/>
      <c r="L284" s="64"/>
      <c r="M284" s="64"/>
      <c r="N284" s="64"/>
    </row>
    <row r="285" spans="1:14">
      <c r="A285" s="104" t="s">
        <v>27</v>
      </c>
      <c r="B285" s="67" t="s">
        <v>298</v>
      </c>
      <c r="C285" s="64"/>
      <c r="D285" s="67" t="s">
        <v>630</v>
      </c>
      <c r="E285" s="64"/>
      <c r="F285" s="97"/>
      <c r="G285" s="64"/>
      <c r="H285" s="64"/>
      <c r="I285" s="64"/>
      <c r="J285" s="64"/>
      <c r="K285" s="64"/>
      <c r="L285" s="64"/>
      <c r="M285" s="64"/>
      <c r="N285" s="64"/>
    </row>
    <row r="286" spans="1:14">
      <c r="A286" s="104"/>
      <c r="B286" s="67" t="s">
        <v>297</v>
      </c>
      <c r="C286" s="64"/>
      <c r="D286" s="67" t="s">
        <v>631</v>
      </c>
      <c r="E286" s="64"/>
      <c r="F286" s="97"/>
      <c r="G286" s="64"/>
      <c r="H286" s="64"/>
      <c r="I286" s="64"/>
      <c r="J286" s="64"/>
      <c r="K286" s="64"/>
      <c r="L286" s="64"/>
      <c r="M286" s="64"/>
      <c r="N286" s="64"/>
    </row>
    <row r="287" spans="1:14">
      <c r="A287" s="104"/>
      <c r="B287" s="67" t="s">
        <v>299</v>
      </c>
      <c r="C287" s="64"/>
      <c r="D287" s="67" t="s">
        <v>632</v>
      </c>
      <c r="E287" s="64"/>
      <c r="F287" s="97"/>
      <c r="G287" s="64"/>
      <c r="H287" s="64"/>
      <c r="I287" s="64"/>
      <c r="J287" s="64"/>
      <c r="K287" s="64"/>
      <c r="L287" s="64"/>
      <c r="M287" s="64"/>
      <c r="N287" s="64"/>
    </row>
    <row r="288" spans="1:14">
      <c r="A288" s="104"/>
      <c r="B288" s="66" t="s">
        <v>626</v>
      </c>
      <c r="C288" s="64"/>
      <c r="D288" s="67" t="s">
        <v>633</v>
      </c>
      <c r="E288" s="64"/>
      <c r="F288" s="97"/>
      <c r="G288" s="64"/>
      <c r="H288" s="64"/>
      <c r="I288" s="64"/>
      <c r="J288" s="64"/>
      <c r="K288" s="64"/>
      <c r="L288" s="64"/>
      <c r="M288" s="64"/>
      <c r="N288" s="64"/>
    </row>
    <row r="289" spans="1:14">
      <c r="A289" s="104"/>
      <c r="B289" s="67" t="s">
        <v>627</v>
      </c>
      <c r="C289" s="64" t="s">
        <v>921</v>
      </c>
      <c r="D289" s="67" t="s">
        <v>634</v>
      </c>
      <c r="E289" s="64">
        <v>500</v>
      </c>
      <c r="F289" s="97">
        <v>1</v>
      </c>
      <c r="G289" s="64"/>
      <c r="H289" s="64"/>
      <c r="I289" s="64"/>
      <c r="J289" s="64"/>
      <c r="K289" s="64"/>
      <c r="L289" s="64"/>
      <c r="M289" s="64"/>
      <c r="N289" s="64"/>
    </row>
    <row r="290" spans="1:14">
      <c r="A290" s="104"/>
      <c r="B290" s="67" t="s">
        <v>628</v>
      </c>
      <c r="C290" s="64"/>
      <c r="D290" s="67" t="s">
        <v>635</v>
      </c>
      <c r="E290" s="64"/>
      <c r="F290" s="97"/>
      <c r="G290" s="64"/>
      <c r="H290" s="64"/>
      <c r="I290" s="64"/>
      <c r="J290" s="64"/>
      <c r="K290" s="64"/>
      <c r="L290" s="64"/>
      <c r="M290" s="64"/>
      <c r="N290" s="64"/>
    </row>
    <row r="291" spans="1:14">
      <c r="A291" s="104"/>
      <c r="B291" s="67" t="s">
        <v>629</v>
      </c>
      <c r="C291" s="64"/>
      <c r="D291" s="67" t="s">
        <v>636</v>
      </c>
      <c r="E291" s="64"/>
      <c r="F291" s="97"/>
      <c r="G291" s="64"/>
      <c r="H291" s="64"/>
      <c r="I291" s="64"/>
      <c r="J291" s="64"/>
      <c r="K291" s="64"/>
      <c r="L291" s="64"/>
      <c r="M291" s="64"/>
      <c r="N291" s="64"/>
    </row>
    <row r="292" spans="1:14">
      <c r="A292" s="104" t="s">
        <v>637</v>
      </c>
      <c r="B292" s="67" t="s">
        <v>305</v>
      </c>
      <c r="C292" s="68"/>
      <c r="D292" s="67" t="s">
        <v>638</v>
      </c>
      <c r="E292" s="64"/>
      <c r="F292" s="97"/>
      <c r="G292" s="64"/>
      <c r="H292" s="64"/>
      <c r="I292" s="64"/>
      <c r="J292" s="64"/>
      <c r="K292" s="64"/>
      <c r="L292" s="64"/>
      <c r="M292" s="64"/>
      <c r="N292" s="64"/>
    </row>
    <row r="293" spans="1:14">
      <c r="A293" s="104"/>
      <c r="B293" s="67" t="s">
        <v>307</v>
      </c>
      <c r="C293" s="68"/>
      <c r="D293" s="67" t="s">
        <v>639</v>
      </c>
      <c r="E293" s="64"/>
      <c r="F293" s="97"/>
      <c r="G293" s="64"/>
      <c r="H293" s="64"/>
      <c r="I293" s="64"/>
      <c r="J293" s="64"/>
      <c r="K293" s="64"/>
      <c r="L293" s="64"/>
      <c r="M293" s="64"/>
      <c r="N293" s="64"/>
    </row>
    <row r="294" spans="1:14">
      <c r="A294" s="104"/>
      <c r="B294" s="67" t="s">
        <v>309</v>
      </c>
      <c r="C294" s="68"/>
      <c r="D294" s="67" t="s">
        <v>640</v>
      </c>
      <c r="E294" s="64"/>
      <c r="F294" s="97"/>
      <c r="G294" s="64"/>
      <c r="H294" s="64"/>
      <c r="I294" s="64"/>
      <c r="J294" s="64"/>
      <c r="K294" s="64"/>
      <c r="L294" s="64"/>
      <c r="M294" s="64"/>
      <c r="N294" s="64"/>
    </row>
    <row r="295" spans="1:14">
      <c r="A295" s="104"/>
      <c r="B295" s="67" t="s">
        <v>303</v>
      </c>
      <c r="C295" s="68"/>
      <c r="D295" s="67" t="s">
        <v>641</v>
      </c>
      <c r="E295" s="64"/>
      <c r="F295" s="97"/>
      <c r="G295" s="64"/>
      <c r="H295" s="64"/>
      <c r="I295" s="64"/>
      <c r="J295" s="64"/>
      <c r="K295" s="64"/>
      <c r="L295" s="64"/>
      <c r="M295" s="64"/>
      <c r="N295" s="64"/>
    </row>
    <row r="296" spans="1:14">
      <c r="A296" s="104"/>
      <c r="B296" s="67" t="s">
        <v>308</v>
      </c>
      <c r="C296" s="68"/>
      <c r="D296" s="67" t="s">
        <v>642</v>
      </c>
      <c r="E296" s="64"/>
      <c r="F296" s="97"/>
      <c r="G296" s="64"/>
      <c r="H296" s="64"/>
      <c r="I296" s="64"/>
      <c r="J296" s="64"/>
      <c r="K296" s="64"/>
      <c r="L296" s="64"/>
      <c r="M296" s="64"/>
      <c r="N296" s="64"/>
    </row>
    <row r="297" spans="1:14">
      <c r="A297" s="104"/>
      <c r="B297" s="67" t="s">
        <v>304</v>
      </c>
      <c r="C297" s="68"/>
      <c r="D297" s="67" t="s">
        <v>643</v>
      </c>
      <c r="E297" s="64"/>
      <c r="F297" s="97"/>
      <c r="G297" s="64"/>
      <c r="H297" s="64"/>
      <c r="I297" s="64"/>
      <c r="J297" s="64"/>
      <c r="K297" s="64"/>
      <c r="L297" s="64"/>
      <c r="M297" s="64"/>
      <c r="N297" s="64"/>
    </row>
    <row r="298" spans="1:14">
      <c r="A298" s="104"/>
      <c r="B298" s="67" t="s">
        <v>306</v>
      </c>
      <c r="C298" s="68"/>
      <c r="D298" s="67" t="s">
        <v>644</v>
      </c>
      <c r="E298" s="64"/>
      <c r="F298" s="97"/>
      <c r="G298" s="64"/>
      <c r="H298" s="64"/>
      <c r="I298" s="64"/>
      <c r="J298" s="64"/>
      <c r="K298" s="64"/>
      <c r="L298" s="64"/>
      <c r="M298" s="64"/>
      <c r="N298" s="64"/>
    </row>
    <row r="299" spans="1:14">
      <c r="A299" s="75" t="s">
        <v>28</v>
      </c>
      <c r="B299" s="76" t="s">
        <v>310</v>
      </c>
      <c r="C299" s="77"/>
      <c r="D299" s="76" t="s">
        <v>645</v>
      </c>
      <c r="E299" s="64"/>
      <c r="F299" s="97"/>
      <c r="G299" s="64"/>
      <c r="H299" s="64"/>
      <c r="I299" s="64"/>
      <c r="J299" s="64"/>
      <c r="K299" s="64"/>
      <c r="L299" s="64"/>
      <c r="M299" s="64"/>
      <c r="N299" s="64"/>
    </row>
    <row r="300" spans="1:14">
      <c r="A300" s="65" t="s">
        <v>29</v>
      </c>
      <c r="B300" s="67" t="s">
        <v>311</v>
      </c>
      <c r="C300" s="68"/>
      <c r="D300" s="68" t="s">
        <v>646</v>
      </c>
      <c r="E300" s="64"/>
      <c r="F300" s="97"/>
      <c r="G300" s="64"/>
      <c r="H300" s="64"/>
      <c r="I300" s="64"/>
      <c r="J300" s="64"/>
      <c r="K300" s="64"/>
      <c r="L300" s="64"/>
      <c r="M300" s="64"/>
      <c r="N300" s="64"/>
    </row>
    <row r="301" spans="1:14">
      <c r="A301" s="104" t="s">
        <v>30</v>
      </c>
      <c r="B301" s="67" t="s">
        <v>33</v>
      </c>
      <c r="C301" s="68"/>
      <c r="D301" s="67" t="s">
        <v>647</v>
      </c>
      <c r="E301" s="64"/>
      <c r="F301" s="97"/>
      <c r="G301" s="64"/>
      <c r="H301" s="64"/>
      <c r="I301" s="64"/>
      <c r="J301" s="64"/>
      <c r="K301" s="64"/>
      <c r="L301" s="64"/>
      <c r="M301" s="64"/>
      <c r="N301" s="64"/>
    </row>
    <row r="302" spans="1:14">
      <c r="A302" s="104"/>
      <c r="B302" s="67" t="s">
        <v>34</v>
      </c>
      <c r="C302" s="68"/>
      <c r="D302" s="67" t="s">
        <v>648</v>
      </c>
      <c r="E302" s="64"/>
      <c r="F302" s="97"/>
      <c r="G302" s="64"/>
      <c r="H302" s="64"/>
      <c r="I302" s="64"/>
      <c r="J302" s="64"/>
      <c r="K302" s="64"/>
      <c r="L302" s="64"/>
      <c r="M302" s="64"/>
      <c r="N302" s="64"/>
    </row>
    <row r="303" spans="1:14">
      <c r="A303" s="104"/>
      <c r="B303" s="67" t="s">
        <v>35</v>
      </c>
      <c r="C303" s="68"/>
      <c r="D303" s="67" t="s">
        <v>649</v>
      </c>
      <c r="E303" s="64"/>
      <c r="F303" s="97"/>
      <c r="G303" s="64"/>
      <c r="H303" s="64"/>
      <c r="I303" s="64"/>
      <c r="J303" s="64"/>
      <c r="K303" s="64"/>
      <c r="L303" s="64"/>
      <c r="M303" s="64"/>
      <c r="N303" s="64"/>
    </row>
    <row r="304" spans="1:14">
      <c r="A304" s="104" t="s">
        <v>31</v>
      </c>
      <c r="B304" s="67" t="s">
        <v>315</v>
      </c>
      <c r="C304" s="68"/>
      <c r="D304" s="67" t="s">
        <v>650</v>
      </c>
      <c r="E304" s="64"/>
      <c r="F304" s="97"/>
      <c r="G304" s="64"/>
      <c r="H304" s="64"/>
      <c r="I304" s="64"/>
      <c r="J304" s="64"/>
      <c r="K304" s="64"/>
      <c r="L304" s="64"/>
      <c r="M304" s="64"/>
      <c r="N304" s="64"/>
    </row>
    <row r="305" spans="1:14">
      <c r="A305" s="104"/>
      <c r="B305" s="67" t="s">
        <v>314</v>
      </c>
      <c r="C305" s="68"/>
      <c r="D305" s="67" t="s">
        <v>651</v>
      </c>
      <c r="E305" s="64"/>
      <c r="F305" s="97"/>
      <c r="G305" s="64"/>
      <c r="H305" s="64"/>
      <c r="I305" s="64"/>
      <c r="J305" s="64"/>
      <c r="K305" s="64"/>
      <c r="L305" s="64"/>
      <c r="M305" s="64"/>
      <c r="N305" s="64"/>
    </row>
    <row r="306" spans="1:14" ht="29.25">
      <c r="A306" s="104"/>
      <c r="B306" s="67" t="s">
        <v>313</v>
      </c>
      <c r="C306" s="68"/>
      <c r="D306" s="68" t="s">
        <v>652</v>
      </c>
      <c r="E306" s="64"/>
      <c r="F306" s="97"/>
      <c r="G306" s="64"/>
      <c r="H306" s="64"/>
      <c r="I306" s="64"/>
      <c r="J306" s="64"/>
      <c r="K306" s="64"/>
      <c r="L306" s="64"/>
      <c r="M306" s="64"/>
      <c r="N306" s="64"/>
    </row>
    <row r="307" spans="1:14" ht="29.25">
      <c r="A307" s="104"/>
      <c r="B307" s="67" t="s">
        <v>312</v>
      </c>
      <c r="C307" s="68"/>
      <c r="D307" s="68" t="s">
        <v>653</v>
      </c>
      <c r="E307" s="64"/>
      <c r="F307" s="97"/>
      <c r="G307" s="64"/>
      <c r="H307" s="64"/>
      <c r="I307" s="64"/>
      <c r="J307" s="64"/>
      <c r="K307" s="64"/>
      <c r="L307" s="64"/>
      <c r="M307" s="64"/>
      <c r="N307" s="64"/>
    </row>
    <row r="308" spans="1:14">
      <c r="A308" s="75" t="s">
        <v>32</v>
      </c>
      <c r="B308" s="67" t="s">
        <v>656</v>
      </c>
      <c r="C308" s="64"/>
      <c r="D308" s="64"/>
      <c r="E308" s="64"/>
      <c r="F308" s="97"/>
      <c r="G308" s="64"/>
      <c r="H308" s="64"/>
      <c r="I308" s="64"/>
      <c r="J308" s="64"/>
      <c r="K308" s="64"/>
      <c r="L308" s="64"/>
      <c r="M308" s="64"/>
      <c r="N308" s="64"/>
    </row>
    <row r="309" spans="1:14">
      <c r="A309" s="75" t="s">
        <v>655</v>
      </c>
      <c r="B309" s="67" t="s">
        <v>658</v>
      </c>
      <c r="C309" s="64"/>
      <c r="D309" s="64" t="s">
        <v>655</v>
      </c>
      <c r="E309" s="64"/>
      <c r="F309" s="97"/>
      <c r="G309" s="64"/>
      <c r="H309" s="64"/>
      <c r="I309" s="64"/>
      <c r="J309" s="64"/>
      <c r="K309" s="64"/>
      <c r="L309" s="64"/>
      <c r="M309" s="64"/>
      <c r="N309" s="64"/>
    </row>
    <row r="310" spans="1:14">
      <c r="A310" s="75" t="s">
        <v>654</v>
      </c>
      <c r="B310" s="67" t="s">
        <v>657</v>
      </c>
      <c r="C310" s="64"/>
      <c r="D310" s="64" t="s">
        <v>654</v>
      </c>
      <c r="E310" s="64"/>
      <c r="F310" s="97"/>
      <c r="G310" s="64"/>
      <c r="H310" s="64"/>
      <c r="I310" s="64"/>
      <c r="J310" s="64"/>
      <c r="K310" s="64"/>
      <c r="L310" s="64"/>
      <c r="M310" s="64"/>
      <c r="N310" s="64"/>
    </row>
  </sheetData>
  <mergeCells count="27">
    <mergeCell ref="A292:A298"/>
    <mergeCell ref="A301:A303"/>
    <mergeCell ref="A304:A307"/>
    <mergeCell ref="A225:A226"/>
    <mergeCell ref="A227:A230"/>
    <mergeCell ref="A231:A235"/>
    <mergeCell ref="A236:A243"/>
    <mergeCell ref="A244:A284"/>
    <mergeCell ref="A285:A291"/>
    <mergeCell ref="A217:A224"/>
    <mergeCell ref="A74:A86"/>
    <mergeCell ref="A87:A105"/>
    <mergeCell ref="A106:A132"/>
    <mergeCell ref="A133:A136"/>
    <mergeCell ref="A137:A157"/>
    <mergeCell ref="A160:A161"/>
    <mergeCell ref="A163:A170"/>
    <mergeCell ref="A172:A183"/>
    <mergeCell ref="A184:A192"/>
    <mergeCell ref="A193:A209"/>
    <mergeCell ref="A210:A216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0"/>
  <sheetViews>
    <sheetView topLeftCell="A43" workbookViewId="0">
      <selection activeCell="D65" sqref="D65"/>
    </sheetView>
  </sheetViews>
  <sheetFormatPr baseColWidth="10" defaultColWidth="10.875" defaultRowHeight="15"/>
  <cols>
    <col min="1" max="1" width="19" style="3" bestFit="1" customWidth="1"/>
    <col min="2" max="2" width="13.5" style="3" hidden="1" customWidth="1"/>
    <col min="3" max="3" width="6.125" style="3" bestFit="1" customWidth="1"/>
    <col min="4" max="4" width="18.625" style="3" customWidth="1"/>
    <col min="5" max="5" width="29.875" style="3" bestFit="1" customWidth="1"/>
    <col min="6" max="6" width="26.125" style="3" customWidth="1"/>
    <col min="7" max="7" width="14.375" style="9" customWidth="1"/>
    <col min="8" max="8" width="24" style="3" bestFit="1" customWidth="1"/>
    <col min="9" max="9" width="16.875" style="3" bestFit="1" customWidth="1"/>
    <col min="10" max="10" width="20.625" style="3" bestFit="1" customWidth="1"/>
    <col min="11" max="16384" width="10.875" style="3"/>
  </cols>
  <sheetData>
    <row r="1" spans="1:15">
      <c r="A1" s="25" t="s">
        <v>0</v>
      </c>
      <c r="B1" s="25" t="s">
        <v>659</v>
      </c>
      <c r="C1" s="25" t="s">
        <v>1</v>
      </c>
      <c r="D1" s="25" t="s">
        <v>2</v>
      </c>
      <c r="E1" s="25" t="s">
        <v>660</v>
      </c>
      <c r="F1" s="25" t="s">
        <v>905</v>
      </c>
      <c r="G1" s="26" t="s">
        <v>906</v>
      </c>
      <c r="H1" s="1"/>
      <c r="I1" s="1"/>
      <c r="J1" s="1"/>
      <c r="L1" s="4"/>
      <c r="M1" s="4"/>
      <c r="N1" s="4"/>
      <c r="O1" s="4"/>
    </row>
    <row r="2" spans="1:15" ht="29.25">
      <c r="A2" s="103" t="s">
        <v>3</v>
      </c>
      <c r="B2" s="3" t="s">
        <v>37</v>
      </c>
      <c r="C2" s="33" t="s">
        <v>36</v>
      </c>
      <c r="D2" s="18"/>
      <c r="E2" s="19" t="s">
        <v>622</v>
      </c>
      <c r="I2" s="4"/>
      <c r="J2" s="4"/>
      <c r="K2" s="16"/>
      <c r="L2" s="4"/>
    </row>
    <row r="3" spans="1:15">
      <c r="A3" s="103"/>
      <c r="B3" s="3" t="s">
        <v>38</v>
      </c>
      <c r="C3" s="33" t="s">
        <v>46</v>
      </c>
      <c r="D3" s="18"/>
      <c r="E3" s="19" t="s">
        <v>317</v>
      </c>
      <c r="H3" s="17"/>
      <c r="I3" s="20"/>
      <c r="J3" s="4"/>
      <c r="K3" s="16"/>
      <c r="L3" s="4"/>
    </row>
    <row r="4" spans="1:15">
      <c r="A4" s="103"/>
      <c r="B4" s="3" t="s">
        <v>39</v>
      </c>
      <c r="C4" s="33" t="s">
        <v>40</v>
      </c>
      <c r="D4" s="18" t="s">
        <v>809</v>
      </c>
      <c r="E4" s="19" t="s">
        <v>318</v>
      </c>
      <c r="F4" s="3">
        <v>1200</v>
      </c>
      <c r="G4" s="9">
        <f>F4/SUM($F$4:$F$9)</f>
        <v>0.47058823529411764</v>
      </c>
      <c r="I4" s="4"/>
      <c r="J4" s="4"/>
      <c r="K4" s="16"/>
      <c r="L4" s="4"/>
    </row>
    <row r="5" spans="1:15">
      <c r="A5" s="103"/>
      <c r="B5" s="3" t="s">
        <v>40</v>
      </c>
      <c r="C5" s="33" t="s">
        <v>44</v>
      </c>
      <c r="D5" s="18"/>
      <c r="E5" s="19" t="s">
        <v>319</v>
      </c>
      <c r="I5" s="4"/>
      <c r="J5" s="4"/>
      <c r="K5" s="16"/>
      <c r="L5" s="4"/>
    </row>
    <row r="6" spans="1:15">
      <c r="A6" s="103"/>
      <c r="B6" s="3" t="s">
        <v>41</v>
      </c>
      <c r="C6" s="33" t="s">
        <v>45</v>
      </c>
      <c r="D6" s="18"/>
      <c r="E6" s="19" t="s">
        <v>320</v>
      </c>
      <c r="I6" s="4"/>
      <c r="J6" s="4"/>
      <c r="K6" s="16"/>
      <c r="L6" s="4"/>
    </row>
    <row r="7" spans="1:15">
      <c r="A7" s="103"/>
      <c r="B7" s="3" t="s">
        <v>42</v>
      </c>
      <c r="C7" s="33" t="s">
        <v>37</v>
      </c>
      <c r="D7" s="18"/>
      <c r="E7" s="19" t="s">
        <v>321</v>
      </c>
      <c r="I7" s="4"/>
      <c r="J7" s="4"/>
      <c r="K7" s="16"/>
      <c r="L7" s="4"/>
    </row>
    <row r="8" spans="1:15">
      <c r="A8" s="103"/>
      <c r="B8" s="3" t="s">
        <v>43</v>
      </c>
      <c r="C8" s="33" t="s">
        <v>43</v>
      </c>
      <c r="D8" s="18"/>
      <c r="E8" s="19" t="s">
        <v>322</v>
      </c>
      <c r="I8" s="4"/>
      <c r="J8" s="4"/>
      <c r="K8" s="16"/>
      <c r="L8" s="4"/>
    </row>
    <row r="9" spans="1:15" ht="29.25">
      <c r="A9" s="103"/>
      <c r="B9" s="3" t="s">
        <v>44</v>
      </c>
      <c r="C9" s="33" t="s">
        <v>42</v>
      </c>
      <c r="D9" s="18" t="s">
        <v>808</v>
      </c>
      <c r="E9" s="19" t="s">
        <v>323</v>
      </c>
      <c r="F9" s="3">
        <f>350+1000</f>
        <v>1350</v>
      </c>
      <c r="G9" s="9">
        <f t="shared" ref="G9" si="0">F9/SUM($F$4:$F$9)</f>
        <v>0.52941176470588236</v>
      </c>
      <c r="I9" s="4"/>
      <c r="J9" s="4"/>
      <c r="K9" s="16"/>
      <c r="L9" s="4"/>
    </row>
    <row r="10" spans="1:15">
      <c r="A10" s="103"/>
      <c r="B10" s="3" t="s">
        <v>45</v>
      </c>
      <c r="C10" s="33" t="s">
        <v>41</v>
      </c>
      <c r="D10" s="18"/>
      <c r="E10" s="19" t="s">
        <v>324</v>
      </c>
      <c r="I10" s="4"/>
      <c r="J10" s="4"/>
      <c r="K10" s="16"/>
      <c r="L10" s="4"/>
    </row>
    <row r="11" spans="1:15">
      <c r="A11" s="103"/>
      <c r="B11" s="3" t="s">
        <v>36</v>
      </c>
      <c r="C11" s="33" t="s">
        <v>39</v>
      </c>
      <c r="D11" s="18"/>
      <c r="E11" s="19" t="s">
        <v>325</v>
      </c>
      <c r="I11" s="4"/>
      <c r="J11" s="4"/>
      <c r="K11" s="16"/>
      <c r="L11" s="4"/>
    </row>
    <row r="12" spans="1:15">
      <c r="A12" s="103"/>
      <c r="B12" s="3" t="s">
        <v>46</v>
      </c>
      <c r="C12" s="33" t="s">
        <v>38</v>
      </c>
      <c r="D12" s="18"/>
      <c r="E12" s="19" t="s">
        <v>326</v>
      </c>
      <c r="I12" s="4"/>
      <c r="J12" s="4"/>
      <c r="K12" s="16"/>
      <c r="L12" s="4"/>
    </row>
    <row r="13" spans="1:15">
      <c r="A13" s="103" t="s">
        <v>4</v>
      </c>
      <c r="B13" s="3" t="s">
        <v>47</v>
      </c>
      <c r="C13" s="33" t="s">
        <v>47</v>
      </c>
      <c r="D13" s="18"/>
      <c r="E13" s="19" t="s">
        <v>327</v>
      </c>
      <c r="I13" s="4"/>
      <c r="J13" s="4"/>
      <c r="K13" s="16"/>
      <c r="L13" s="4"/>
    </row>
    <row r="14" spans="1:15">
      <c r="A14" s="103"/>
      <c r="B14" s="3" t="s">
        <v>48</v>
      </c>
      <c r="C14" s="33" t="s">
        <v>49</v>
      </c>
      <c r="D14" s="18"/>
      <c r="E14" s="19" t="s">
        <v>328</v>
      </c>
      <c r="I14" s="4"/>
      <c r="J14" s="4"/>
      <c r="K14" s="16"/>
      <c r="L14" s="4"/>
    </row>
    <row r="15" spans="1:15">
      <c r="A15" s="103"/>
      <c r="B15" s="3" t="s">
        <v>49</v>
      </c>
      <c r="C15" s="33" t="s">
        <v>50</v>
      </c>
      <c r="D15" s="18"/>
      <c r="E15" s="19" t="s">
        <v>329</v>
      </c>
      <c r="I15" s="4"/>
      <c r="J15" s="4"/>
      <c r="K15" s="16"/>
      <c r="L15" s="4"/>
    </row>
    <row r="16" spans="1:15">
      <c r="A16" s="103"/>
      <c r="B16" s="3" t="s">
        <v>50</v>
      </c>
      <c r="C16" s="33" t="s">
        <v>51</v>
      </c>
      <c r="D16" s="18"/>
      <c r="E16" s="19" t="s">
        <v>330</v>
      </c>
      <c r="I16" s="4"/>
      <c r="J16" s="4"/>
      <c r="K16" s="16"/>
      <c r="L16" s="4"/>
    </row>
    <row r="17" spans="1:12">
      <c r="A17" s="103"/>
      <c r="B17" s="3" t="s">
        <v>51</v>
      </c>
      <c r="C17" s="33" t="s">
        <v>52</v>
      </c>
      <c r="D17" s="18"/>
      <c r="E17" s="19" t="s">
        <v>331</v>
      </c>
      <c r="I17" s="4"/>
      <c r="J17" s="4"/>
      <c r="K17" s="16"/>
      <c r="L17" s="4"/>
    </row>
    <row r="18" spans="1:12">
      <c r="A18" s="103"/>
      <c r="B18" s="3" t="s">
        <v>52</v>
      </c>
      <c r="C18" s="33" t="s">
        <v>48</v>
      </c>
      <c r="D18" s="18"/>
      <c r="E18" s="19" t="s">
        <v>332</v>
      </c>
      <c r="I18" s="4"/>
      <c r="J18" s="4"/>
      <c r="K18" s="16"/>
      <c r="L18" s="4"/>
    </row>
    <row r="19" spans="1:12">
      <c r="A19" s="103" t="s">
        <v>5</v>
      </c>
      <c r="B19" s="3" t="s">
        <v>53</v>
      </c>
      <c r="C19" s="33" t="s">
        <v>54</v>
      </c>
      <c r="D19" s="18"/>
      <c r="E19" s="19" t="s">
        <v>333</v>
      </c>
      <c r="I19" s="4"/>
      <c r="J19" s="4"/>
      <c r="K19" s="16"/>
      <c r="L19" s="4"/>
    </row>
    <row r="20" spans="1:12">
      <c r="A20" s="103"/>
      <c r="B20" s="3" t="s">
        <v>54</v>
      </c>
      <c r="C20" s="33" t="s">
        <v>53</v>
      </c>
      <c r="D20" s="18"/>
      <c r="E20" s="19" t="s">
        <v>334</v>
      </c>
      <c r="I20" s="4"/>
      <c r="J20" s="4"/>
      <c r="K20" s="16"/>
      <c r="L20" s="4"/>
    </row>
    <row r="21" spans="1:12">
      <c r="A21" s="103"/>
      <c r="B21" s="3" t="s">
        <v>55</v>
      </c>
      <c r="C21" s="33" t="s">
        <v>60</v>
      </c>
      <c r="D21" s="18"/>
      <c r="E21" s="19" t="s">
        <v>335</v>
      </c>
      <c r="I21" s="4"/>
      <c r="J21" s="4"/>
      <c r="K21" s="16"/>
      <c r="L21" s="4"/>
    </row>
    <row r="22" spans="1:12">
      <c r="A22" s="103"/>
      <c r="B22" s="3" t="s">
        <v>56</v>
      </c>
      <c r="C22" s="33" t="s">
        <v>58</v>
      </c>
      <c r="D22" s="21"/>
      <c r="E22" s="19" t="s">
        <v>336</v>
      </c>
      <c r="I22" s="4"/>
      <c r="J22" s="4"/>
      <c r="K22" s="16"/>
      <c r="L22" s="4"/>
    </row>
    <row r="23" spans="1:12">
      <c r="A23" s="103"/>
      <c r="B23" s="3" t="s">
        <v>57</v>
      </c>
      <c r="C23" s="33" t="s">
        <v>57</v>
      </c>
      <c r="D23" s="18"/>
      <c r="E23" s="19" t="s">
        <v>337</v>
      </c>
      <c r="I23" s="4"/>
      <c r="J23" s="4"/>
      <c r="K23" s="16"/>
      <c r="L23" s="4"/>
    </row>
    <row r="24" spans="1:12">
      <c r="A24" s="103"/>
      <c r="B24" s="3" t="s">
        <v>58</v>
      </c>
      <c r="C24" s="33" t="s">
        <v>59</v>
      </c>
      <c r="D24" s="18"/>
      <c r="E24" s="19" t="s">
        <v>338</v>
      </c>
      <c r="I24" s="4"/>
      <c r="J24" s="4"/>
      <c r="K24" s="16"/>
      <c r="L24" s="4"/>
    </row>
    <row r="25" spans="1:12">
      <c r="A25" s="103"/>
      <c r="B25" s="3" t="s">
        <v>59</v>
      </c>
      <c r="C25" s="33" t="s">
        <v>55</v>
      </c>
      <c r="D25" s="18"/>
      <c r="E25" s="19" t="s">
        <v>339</v>
      </c>
      <c r="I25" s="4"/>
      <c r="J25" s="4"/>
      <c r="K25" s="16"/>
      <c r="L25" s="4"/>
    </row>
    <row r="26" spans="1:12">
      <c r="A26" s="103"/>
      <c r="B26" s="3" t="s">
        <v>60</v>
      </c>
      <c r="C26" s="33" t="s">
        <v>56</v>
      </c>
      <c r="D26" s="18"/>
      <c r="E26" s="19" t="s">
        <v>340</v>
      </c>
      <c r="I26" s="4"/>
      <c r="J26" s="4"/>
      <c r="K26" s="16"/>
      <c r="L26" s="4"/>
    </row>
    <row r="27" spans="1:12">
      <c r="A27" s="103" t="s">
        <v>6</v>
      </c>
      <c r="B27" s="3" t="s">
        <v>61</v>
      </c>
      <c r="C27" s="33" t="s">
        <v>64</v>
      </c>
      <c r="D27" s="18"/>
      <c r="E27" s="19" t="s">
        <v>341</v>
      </c>
      <c r="I27" s="4"/>
      <c r="J27" s="4"/>
      <c r="K27" s="16"/>
      <c r="L27" s="4"/>
    </row>
    <row r="28" spans="1:12">
      <c r="A28" s="103"/>
      <c r="B28" s="3" t="s">
        <v>62</v>
      </c>
      <c r="C28" s="33" t="s">
        <v>61</v>
      </c>
      <c r="D28" s="18"/>
      <c r="E28" s="19" t="s">
        <v>342</v>
      </c>
      <c r="I28" s="4"/>
      <c r="J28" s="4"/>
      <c r="K28" s="16"/>
      <c r="L28" s="4"/>
    </row>
    <row r="29" spans="1:12">
      <c r="A29" s="103"/>
      <c r="B29" s="3" t="s">
        <v>63</v>
      </c>
      <c r="C29" s="33" t="s">
        <v>63</v>
      </c>
      <c r="D29" s="18"/>
      <c r="E29" s="19" t="s">
        <v>343</v>
      </c>
      <c r="I29" s="4"/>
      <c r="J29" s="4"/>
      <c r="K29" s="16"/>
      <c r="L29" s="4"/>
    </row>
    <row r="30" spans="1:12">
      <c r="A30" s="103"/>
      <c r="B30" s="3" t="s">
        <v>64</v>
      </c>
      <c r="C30" s="33" t="s">
        <v>65</v>
      </c>
      <c r="D30" s="18"/>
      <c r="E30" s="19" t="s">
        <v>344</v>
      </c>
      <c r="I30" s="4"/>
      <c r="J30" s="4"/>
      <c r="K30" s="16"/>
      <c r="L30" s="4"/>
    </row>
    <row r="31" spans="1:12">
      <c r="A31" s="103"/>
      <c r="B31" s="3" t="s">
        <v>65</v>
      </c>
      <c r="C31" s="33" t="s">
        <v>62</v>
      </c>
      <c r="D31" s="18"/>
      <c r="E31" s="19" t="s">
        <v>345</v>
      </c>
      <c r="I31" s="4"/>
      <c r="J31" s="4"/>
      <c r="K31" s="16"/>
      <c r="L31" s="4"/>
    </row>
    <row r="32" spans="1:12">
      <c r="A32" s="103" t="s">
        <v>7</v>
      </c>
      <c r="B32" s="3" t="s">
        <v>66</v>
      </c>
      <c r="C32" s="33" t="s">
        <v>101</v>
      </c>
      <c r="D32" s="18"/>
      <c r="E32" s="19" t="s">
        <v>346</v>
      </c>
      <c r="I32" s="4"/>
      <c r="J32" s="4"/>
      <c r="K32" s="16"/>
      <c r="L32" s="4"/>
    </row>
    <row r="33" spans="1:12">
      <c r="A33" s="103"/>
      <c r="B33" s="3" t="s">
        <v>67</v>
      </c>
      <c r="C33" s="33" t="s">
        <v>102</v>
      </c>
      <c r="D33" s="18"/>
      <c r="E33" s="19" t="s">
        <v>347</v>
      </c>
      <c r="I33" s="4"/>
      <c r="J33" s="4"/>
      <c r="K33" s="16"/>
      <c r="L33" s="4"/>
    </row>
    <row r="34" spans="1:12">
      <c r="A34" s="103"/>
      <c r="B34" s="3" t="s">
        <v>68</v>
      </c>
      <c r="C34" s="33" t="s">
        <v>103</v>
      </c>
      <c r="D34" s="18"/>
      <c r="E34" s="19" t="s">
        <v>348</v>
      </c>
      <c r="I34" s="4"/>
      <c r="J34" s="4"/>
      <c r="K34" s="16"/>
      <c r="L34" s="4"/>
    </row>
    <row r="35" spans="1:12">
      <c r="A35" s="103"/>
      <c r="B35" s="3" t="s">
        <v>69</v>
      </c>
      <c r="C35" s="33" t="s">
        <v>100</v>
      </c>
      <c r="D35" s="18"/>
      <c r="E35" s="19" t="s">
        <v>349</v>
      </c>
      <c r="I35" s="4"/>
      <c r="J35" s="4"/>
      <c r="K35" s="16"/>
      <c r="L35" s="4"/>
    </row>
    <row r="36" spans="1:12">
      <c r="A36" s="103"/>
      <c r="B36" s="3" t="s">
        <v>70</v>
      </c>
      <c r="C36" s="33" t="s">
        <v>97</v>
      </c>
      <c r="D36" s="35"/>
      <c r="E36" s="19" t="s">
        <v>350</v>
      </c>
      <c r="I36" s="4"/>
      <c r="J36" s="4"/>
      <c r="K36" s="16"/>
      <c r="L36" s="4"/>
    </row>
    <row r="37" spans="1:12">
      <c r="A37" s="103"/>
      <c r="B37" s="3" t="s">
        <v>71</v>
      </c>
      <c r="C37" s="33" t="s">
        <v>98</v>
      </c>
      <c r="D37" s="18"/>
      <c r="E37" s="19" t="s">
        <v>351</v>
      </c>
      <c r="I37" s="4"/>
      <c r="J37" s="4"/>
      <c r="K37" s="16"/>
      <c r="L37" s="4"/>
    </row>
    <row r="38" spans="1:12">
      <c r="A38" s="103"/>
      <c r="B38" s="3" t="s">
        <v>72</v>
      </c>
      <c r="C38" s="33" t="s">
        <v>95</v>
      </c>
      <c r="D38" s="18"/>
      <c r="E38" s="19" t="s">
        <v>352</v>
      </c>
      <c r="I38" s="4"/>
      <c r="J38" s="4"/>
      <c r="K38" s="16"/>
      <c r="L38" s="4"/>
    </row>
    <row r="39" spans="1:12">
      <c r="A39" s="103"/>
      <c r="B39" s="3" t="s">
        <v>73</v>
      </c>
      <c r="C39" s="33" t="s">
        <v>96</v>
      </c>
      <c r="D39" s="18"/>
      <c r="E39" s="19" t="s">
        <v>353</v>
      </c>
      <c r="I39" s="4"/>
      <c r="J39" s="4"/>
      <c r="K39" s="16"/>
      <c r="L39" s="4"/>
    </row>
    <row r="40" spans="1:12">
      <c r="A40" s="103"/>
      <c r="B40" s="3" t="s">
        <v>74</v>
      </c>
      <c r="C40" s="33" t="s">
        <v>99</v>
      </c>
      <c r="D40" s="18"/>
      <c r="E40" s="19" t="s">
        <v>354</v>
      </c>
      <c r="I40" s="4"/>
      <c r="J40" s="4"/>
      <c r="K40" s="16"/>
      <c r="L40" s="4"/>
    </row>
    <row r="41" spans="1:12">
      <c r="A41" s="103"/>
      <c r="B41" s="3" t="s">
        <v>75</v>
      </c>
      <c r="C41" s="33" t="s">
        <v>93</v>
      </c>
      <c r="D41" s="18"/>
      <c r="E41" s="19" t="s">
        <v>355</v>
      </c>
      <c r="I41" s="4"/>
      <c r="J41" s="4"/>
      <c r="K41" s="16"/>
      <c r="L41" s="4"/>
    </row>
    <row r="42" spans="1:12">
      <c r="A42" s="103"/>
      <c r="B42" s="3" t="s">
        <v>76</v>
      </c>
      <c r="C42" s="33" t="s">
        <v>94</v>
      </c>
      <c r="D42" s="18"/>
      <c r="E42" s="19" t="s">
        <v>356</v>
      </c>
      <c r="I42" s="4"/>
      <c r="J42" s="4"/>
      <c r="K42" s="16"/>
      <c r="L42" s="4"/>
    </row>
    <row r="43" spans="1:12">
      <c r="A43" s="103"/>
      <c r="B43" s="3" t="s">
        <v>77</v>
      </c>
      <c r="C43" s="33" t="s">
        <v>92</v>
      </c>
      <c r="D43" s="18"/>
      <c r="E43" s="19" t="s">
        <v>357</v>
      </c>
      <c r="I43" s="4"/>
      <c r="J43" s="4"/>
      <c r="K43" s="16"/>
      <c r="L43" s="4"/>
    </row>
    <row r="44" spans="1:12">
      <c r="A44" s="103"/>
      <c r="B44" s="3" t="s">
        <v>78</v>
      </c>
      <c r="C44" s="33" t="s">
        <v>91</v>
      </c>
      <c r="D44" s="18"/>
      <c r="E44" s="19" t="s">
        <v>358</v>
      </c>
      <c r="K44" s="17"/>
    </row>
    <row r="45" spans="1:12">
      <c r="A45" s="103"/>
      <c r="B45" s="3" t="s">
        <v>79</v>
      </c>
      <c r="C45" s="33" t="s">
        <v>90</v>
      </c>
      <c r="D45" s="18"/>
      <c r="E45" s="19" t="s">
        <v>359</v>
      </c>
      <c r="K45" s="17"/>
    </row>
    <row r="46" spans="1:12">
      <c r="A46" s="103"/>
      <c r="B46" s="3" t="s">
        <v>80</v>
      </c>
      <c r="C46" s="33" t="s">
        <v>89</v>
      </c>
      <c r="D46" s="18"/>
      <c r="E46" s="19" t="s">
        <v>360</v>
      </c>
      <c r="K46" s="17"/>
    </row>
    <row r="47" spans="1:12">
      <c r="A47" s="103"/>
      <c r="B47" s="3" t="s">
        <v>81</v>
      </c>
      <c r="C47" s="33" t="s">
        <v>88</v>
      </c>
      <c r="D47" s="18"/>
      <c r="E47" s="19" t="s">
        <v>361</v>
      </c>
      <c r="K47" s="17"/>
    </row>
    <row r="48" spans="1:12">
      <c r="A48" s="103"/>
      <c r="B48" s="3" t="s">
        <v>82</v>
      </c>
      <c r="C48" s="33" t="s">
        <v>87</v>
      </c>
      <c r="D48" s="18" t="s">
        <v>816</v>
      </c>
      <c r="E48" s="19" t="s">
        <v>362</v>
      </c>
      <c r="F48" s="3">
        <v>400</v>
      </c>
      <c r="G48" s="9">
        <f>F48/SUM($F$48:$F$64)</f>
        <v>0.18867924528301888</v>
      </c>
      <c r="K48" s="17"/>
    </row>
    <row r="49" spans="1:11">
      <c r="A49" s="103"/>
      <c r="B49" s="3" t="s">
        <v>83</v>
      </c>
      <c r="C49" s="33" t="s">
        <v>86</v>
      </c>
      <c r="D49" s="18"/>
      <c r="E49" s="19" t="s">
        <v>363</v>
      </c>
      <c r="K49" s="17"/>
    </row>
    <row r="50" spans="1:11">
      <c r="A50" s="103"/>
      <c r="B50" s="3" t="s">
        <v>84</v>
      </c>
      <c r="C50" s="33" t="s">
        <v>85</v>
      </c>
      <c r="D50" s="18"/>
      <c r="E50" s="19" t="s">
        <v>364</v>
      </c>
      <c r="K50" s="17"/>
    </row>
    <row r="51" spans="1:11">
      <c r="A51" s="103"/>
      <c r="B51" s="3" t="s">
        <v>85</v>
      </c>
      <c r="C51" s="33" t="s">
        <v>84</v>
      </c>
      <c r="D51" s="18"/>
      <c r="E51" s="19" t="s">
        <v>365</v>
      </c>
      <c r="K51" s="17"/>
    </row>
    <row r="52" spans="1:11">
      <c r="A52" s="103"/>
      <c r="B52" s="3" t="s">
        <v>86</v>
      </c>
      <c r="C52" s="33" t="s">
        <v>83</v>
      </c>
      <c r="D52" s="18"/>
      <c r="E52" s="19" t="s">
        <v>366</v>
      </c>
      <c r="K52" s="17"/>
    </row>
    <row r="53" spans="1:11">
      <c r="A53" s="103"/>
      <c r="B53" s="3" t="s">
        <v>87</v>
      </c>
      <c r="C53" s="33" t="s">
        <v>82</v>
      </c>
      <c r="D53" s="18"/>
      <c r="E53" s="19" t="s">
        <v>367</v>
      </c>
      <c r="K53" s="17"/>
    </row>
    <row r="54" spans="1:11">
      <c r="A54" s="103"/>
      <c r="B54" s="3" t="s">
        <v>88</v>
      </c>
      <c r="C54" s="33" t="s">
        <v>81</v>
      </c>
      <c r="D54" s="18"/>
      <c r="E54" s="19" t="s">
        <v>368</v>
      </c>
      <c r="K54" s="17"/>
    </row>
    <row r="55" spans="1:11">
      <c r="A55" s="103"/>
      <c r="B55" s="3" t="s">
        <v>89</v>
      </c>
      <c r="C55" s="33" t="s">
        <v>78</v>
      </c>
      <c r="D55" s="36"/>
      <c r="E55" s="19" t="s">
        <v>369</v>
      </c>
      <c r="K55" s="17"/>
    </row>
    <row r="56" spans="1:11">
      <c r="A56" s="103"/>
      <c r="B56" s="3" t="s">
        <v>90</v>
      </c>
      <c r="C56" s="33" t="s">
        <v>77</v>
      </c>
      <c r="D56" s="35"/>
      <c r="E56" s="19" t="s">
        <v>370</v>
      </c>
      <c r="K56" s="17"/>
    </row>
    <row r="57" spans="1:11">
      <c r="A57" s="103"/>
      <c r="B57" s="3" t="s">
        <v>91</v>
      </c>
      <c r="C57" s="33" t="s">
        <v>76</v>
      </c>
      <c r="D57" s="18"/>
      <c r="E57" s="19" t="s">
        <v>371</v>
      </c>
      <c r="K57" s="17"/>
    </row>
    <row r="58" spans="1:11">
      <c r="A58" s="103"/>
      <c r="B58" s="3" t="s">
        <v>92</v>
      </c>
      <c r="C58" s="33" t="s">
        <v>79</v>
      </c>
      <c r="D58" s="18"/>
      <c r="E58" s="19" t="s">
        <v>372</v>
      </c>
      <c r="K58" s="17"/>
    </row>
    <row r="59" spans="1:11" ht="29.25">
      <c r="A59" s="103"/>
      <c r="B59" s="3" t="s">
        <v>93</v>
      </c>
      <c r="C59" s="33" t="s">
        <v>80</v>
      </c>
      <c r="D59" s="18" t="s">
        <v>817</v>
      </c>
      <c r="E59" s="19" t="s">
        <v>373</v>
      </c>
      <c r="F59" s="3">
        <f>600+150+480</f>
        <v>1230</v>
      </c>
      <c r="G59" s="9">
        <f t="shared" ref="G59:G64" si="1">F59/SUM($F$48:$F$64)</f>
        <v>0.58018867924528306</v>
      </c>
      <c r="K59" s="17"/>
    </row>
    <row r="60" spans="1:11">
      <c r="A60" s="103"/>
      <c r="B60" s="3" t="s">
        <v>94</v>
      </c>
      <c r="C60" s="33" t="s">
        <v>75</v>
      </c>
      <c r="D60" s="18"/>
      <c r="E60" s="19" t="s">
        <v>374</v>
      </c>
      <c r="K60" s="17"/>
    </row>
    <row r="61" spans="1:11">
      <c r="A61" s="103"/>
      <c r="B61" s="3" t="s">
        <v>95</v>
      </c>
      <c r="C61" s="33" t="s">
        <v>73</v>
      </c>
      <c r="D61" s="18"/>
      <c r="E61" s="19" t="s">
        <v>375</v>
      </c>
      <c r="K61" s="17"/>
    </row>
    <row r="62" spans="1:11">
      <c r="A62" s="103"/>
      <c r="B62" s="3" t="s">
        <v>96</v>
      </c>
      <c r="C62" s="33" t="s">
        <v>74</v>
      </c>
      <c r="D62" s="36"/>
      <c r="E62" s="19" t="s">
        <v>376</v>
      </c>
      <c r="K62" s="17"/>
    </row>
    <row r="63" spans="1:11">
      <c r="A63" s="103"/>
      <c r="B63" s="3" t="s">
        <v>97</v>
      </c>
      <c r="C63" s="33" t="s">
        <v>72</v>
      </c>
      <c r="D63" s="18" t="s">
        <v>815</v>
      </c>
      <c r="E63" s="19" t="s">
        <v>377</v>
      </c>
      <c r="F63" s="3">
        <v>300</v>
      </c>
      <c r="G63" s="9">
        <f t="shared" si="1"/>
        <v>0.14150943396226415</v>
      </c>
      <c r="K63" s="17"/>
    </row>
    <row r="64" spans="1:11" ht="29.25">
      <c r="A64" s="103"/>
      <c r="B64" s="3" t="s">
        <v>98</v>
      </c>
      <c r="C64" s="33" t="s">
        <v>69</v>
      </c>
      <c r="D64" s="18" t="s">
        <v>814</v>
      </c>
      <c r="E64" s="19" t="s">
        <v>378</v>
      </c>
      <c r="F64" s="3">
        <f>90+100</f>
        <v>190</v>
      </c>
      <c r="G64" s="9">
        <f t="shared" si="1"/>
        <v>8.9622641509433956E-2</v>
      </c>
      <c r="K64" s="17"/>
    </row>
    <row r="65" spans="1:11">
      <c r="A65" s="103"/>
      <c r="B65" s="3" t="s">
        <v>99</v>
      </c>
      <c r="C65" s="33" t="s">
        <v>70</v>
      </c>
      <c r="D65" s="18"/>
      <c r="E65" s="19" t="s">
        <v>379</v>
      </c>
      <c r="K65" s="17"/>
    </row>
    <row r="66" spans="1:11">
      <c r="A66" s="103"/>
      <c r="B66" s="3" t="s">
        <v>100</v>
      </c>
      <c r="C66" s="33" t="s">
        <v>68</v>
      </c>
      <c r="D66" s="36"/>
      <c r="E66" s="19" t="s">
        <v>380</v>
      </c>
      <c r="K66" s="17"/>
    </row>
    <row r="67" spans="1:11">
      <c r="A67" s="103"/>
      <c r="B67" s="3" t="s">
        <v>101</v>
      </c>
      <c r="C67" s="33" t="s">
        <v>71</v>
      </c>
      <c r="D67" s="18"/>
      <c r="E67" s="19" t="s">
        <v>381</v>
      </c>
      <c r="K67" s="17"/>
    </row>
    <row r="68" spans="1:11">
      <c r="A68" s="103"/>
      <c r="B68" s="3" t="s">
        <v>102</v>
      </c>
      <c r="C68" s="33" t="s">
        <v>67</v>
      </c>
      <c r="D68" s="36"/>
      <c r="E68" s="19" t="s">
        <v>382</v>
      </c>
      <c r="K68" s="17"/>
    </row>
    <row r="69" spans="1:11">
      <c r="A69" s="103"/>
      <c r="B69" s="3" t="s">
        <v>103</v>
      </c>
      <c r="C69" s="33" t="s">
        <v>66</v>
      </c>
      <c r="D69" s="18"/>
      <c r="E69" s="19" t="s">
        <v>383</v>
      </c>
      <c r="K69" s="17"/>
    </row>
    <row r="70" spans="1:11">
      <c r="A70" s="27" t="s">
        <v>623</v>
      </c>
      <c r="B70" s="3" t="s">
        <v>384</v>
      </c>
      <c r="C70" s="33" t="s">
        <v>384</v>
      </c>
      <c r="D70" s="18"/>
      <c r="E70" s="19" t="s">
        <v>385</v>
      </c>
      <c r="K70" s="17"/>
    </row>
    <row r="71" spans="1:11">
      <c r="A71" s="103" t="s">
        <v>8</v>
      </c>
      <c r="B71" s="3" t="s">
        <v>104</v>
      </c>
      <c r="C71" s="33" t="s">
        <v>106</v>
      </c>
      <c r="D71" s="18"/>
      <c r="E71" s="19" t="s">
        <v>386</v>
      </c>
      <c r="K71" s="17"/>
    </row>
    <row r="72" spans="1:11">
      <c r="A72" s="103"/>
      <c r="B72" s="3" t="s">
        <v>105</v>
      </c>
      <c r="C72" s="33" t="s">
        <v>105</v>
      </c>
      <c r="D72" s="18"/>
      <c r="E72" s="19" t="s">
        <v>387</v>
      </c>
      <c r="K72" s="17"/>
    </row>
    <row r="73" spans="1:11">
      <c r="A73" s="103"/>
      <c r="B73" s="3" t="s">
        <v>106</v>
      </c>
      <c r="C73" s="33" t="s">
        <v>104</v>
      </c>
      <c r="D73" s="18"/>
      <c r="E73" s="19" t="s">
        <v>388</v>
      </c>
      <c r="K73" s="17"/>
    </row>
    <row r="74" spans="1:11">
      <c r="A74" s="103" t="s">
        <v>9</v>
      </c>
      <c r="B74" s="3" t="s">
        <v>107</v>
      </c>
      <c r="C74" s="33" t="s">
        <v>114</v>
      </c>
      <c r="D74" s="18"/>
      <c r="E74" s="19" t="s">
        <v>389</v>
      </c>
      <c r="K74" s="17"/>
    </row>
    <row r="75" spans="1:11">
      <c r="A75" s="103"/>
      <c r="B75" s="3" t="s">
        <v>108</v>
      </c>
      <c r="C75" s="33" t="s">
        <v>390</v>
      </c>
      <c r="D75" s="18"/>
      <c r="E75" s="19" t="s">
        <v>391</v>
      </c>
      <c r="K75" s="17"/>
    </row>
    <row r="76" spans="1:11">
      <c r="A76" s="103"/>
      <c r="B76" s="3" t="s">
        <v>109</v>
      </c>
      <c r="C76" s="33" t="s">
        <v>392</v>
      </c>
      <c r="D76" s="18"/>
      <c r="E76" s="19" t="s">
        <v>393</v>
      </c>
    </row>
    <row r="77" spans="1:11">
      <c r="A77" s="103"/>
      <c r="B77" s="3" t="s">
        <v>110</v>
      </c>
      <c r="C77" s="33" t="s">
        <v>394</v>
      </c>
      <c r="D77" s="18"/>
      <c r="E77" s="19" t="s">
        <v>395</v>
      </c>
    </row>
    <row r="78" spans="1:11">
      <c r="A78" s="103"/>
      <c r="B78" s="3" t="s">
        <v>111</v>
      </c>
      <c r="C78" s="33" t="s">
        <v>115</v>
      </c>
      <c r="D78" s="18"/>
      <c r="E78" s="19" t="s">
        <v>396</v>
      </c>
    </row>
    <row r="79" spans="1:11">
      <c r="A79" s="103"/>
      <c r="B79" s="3" t="s">
        <v>112</v>
      </c>
      <c r="C79" s="33" t="s">
        <v>110</v>
      </c>
      <c r="D79" s="18"/>
      <c r="E79" s="19" t="s">
        <v>397</v>
      </c>
    </row>
    <row r="80" spans="1:11">
      <c r="A80" s="103"/>
      <c r="B80" s="3" t="s">
        <v>113</v>
      </c>
      <c r="C80" s="33" t="s">
        <v>112</v>
      </c>
      <c r="D80" s="18"/>
      <c r="E80" s="19" t="s">
        <v>398</v>
      </c>
    </row>
    <row r="81" spans="1:7">
      <c r="A81" s="103"/>
      <c r="B81" s="3" t="s">
        <v>114</v>
      </c>
      <c r="C81" s="33" t="s">
        <v>111</v>
      </c>
      <c r="D81" s="18"/>
      <c r="E81" s="19" t="s">
        <v>399</v>
      </c>
    </row>
    <row r="82" spans="1:7">
      <c r="A82" s="103"/>
      <c r="B82" s="3" t="s">
        <v>115</v>
      </c>
      <c r="C82" s="33" t="s">
        <v>107</v>
      </c>
      <c r="D82" s="18"/>
      <c r="E82" s="19" t="s">
        <v>400</v>
      </c>
    </row>
    <row r="83" spans="1:7">
      <c r="A83" s="103"/>
      <c r="C83" s="33" t="s">
        <v>401</v>
      </c>
      <c r="D83" s="18"/>
      <c r="E83" s="19" t="s">
        <v>402</v>
      </c>
    </row>
    <row r="84" spans="1:7">
      <c r="A84" s="103"/>
      <c r="C84" s="33" t="s">
        <v>113</v>
      </c>
      <c r="D84" s="18"/>
      <c r="E84" s="19" t="s">
        <v>403</v>
      </c>
    </row>
    <row r="85" spans="1:7">
      <c r="A85" s="103"/>
      <c r="C85" s="33" t="s">
        <v>108</v>
      </c>
      <c r="D85" s="18"/>
      <c r="E85" s="19" t="s">
        <v>404</v>
      </c>
    </row>
    <row r="86" spans="1:7">
      <c r="A86" s="103"/>
      <c r="C86" s="33" t="s">
        <v>109</v>
      </c>
      <c r="D86" s="18"/>
      <c r="E86" s="19" t="s">
        <v>405</v>
      </c>
    </row>
    <row r="87" spans="1:7">
      <c r="A87" s="103" t="s">
        <v>10</v>
      </c>
      <c r="B87" s="3" t="s">
        <v>116</v>
      </c>
      <c r="C87" s="33" t="s">
        <v>120</v>
      </c>
      <c r="D87" s="18"/>
      <c r="E87" s="19" t="s">
        <v>406</v>
      </c>
    </row>
    <row r="88" spans="1:7">
      <c r="A88" s="103"/>
      <c r="B88" s="3" t="s">
        <v>117</v>
      </c>
      <c r="C88" s="33" t="s">
        <v>117</v>
      </c>
      <c r="D88" s="18"/>
      <c r="E88" s="19" t="s">
        <v>407</v>
      </c>
    </row>
    <row r="89" spans="1:7">
      <c r="A89" s="103"/>
      <c r="B89" s="3" t="s">
        <v>118</v>
      </c>
      <c r="C89" s="33" t="s">
        <v>128</v>
      </c>
      <c r="D89" s="18" t="s">
        <v>828</v>
      </c>
      <c r="E89" s="19" t="s">
        <v>408</v>
      </c>
      <c r="F89" s="3">
        <v>240</v>
      </c>
      <c r="G89" s="9">
        <f t="shared" ref="G89:G90" si="2">F89/SUM($F$89:$F$101)</f>
        <v>9.7560975609756101E-2</v>
      </c>
    </row>
    <row r="90" spans="1:7" ht="43.5">
      <c r="A90" s="103"/>
      <c r="B90" s="3" t="s">
        <v>119</v>
      </c>
      <c r="C90" s="33" t="s">
        <v>118</v>
      </c>
      <c r="D90" s="18" t="s">
        <v>826</v>
      </c>
      <c r="E90" s="19" t="s">
        <v>409</v>
      </c>
      <c r="F90" s="3">
        <f>150+740+130</f>
        <v>1020</v>
      </c>
      <c r="G90" s="9">
        <f t="shared" si="2"/>
        <v>0.41463414634146339</v>
      </c>
    </row>
    <row r="91" spans="1:7">
      <c r="A91" s="103"/>
      <c r="B91" s="3" t="s">
        <v>120</v>
      </c>
      <c r="C91" s="33" t="s">
        <v>123</v>
      </c>
      <c r="D91" s="18"/>
      <c r="E91" s="19" t="s">
        <v>410</v>
      </c>
    </row>
    <row r="92" spans="1:7">
      <c r="A92" s="103"/>
      <c r="B92" s="3" t="s">
        <v>121</v>
      </c>
      <c r="C92" s="33" t="s">
        <v>119</v>
      </c>
      <c r="D92" s="18"/>
      <c r="E92" s="19" t="s">
        <v>411</v>
      </c>
    </row>
    <row r="93" spans="1:7">
      <c r="A93" s="103"/>
      <c r="B93" s="3" t="s">
        <v>122</v>
      </c>
      <c r="C93" s="33" t="s">
        <v>129</v>
      </c>
      <c r="D93" s="18"/>
      <c r="E93" s="19" t="s">
        <v>412</v>
      </c>
    </row>
    <row r="94" spans="1:7">
      <c r="A94" s="103"/>
      <c r="B94" s="3" t="s">
        <v>123</v>
      </c>
      <c r="C94" s="33" t="s">
        <v>124</v>
      </c>
      <c r="D94" s="18"/>
      <c r="E94" s="19" t="s">
        <v>413</v>
      </c>
    </row>
    <row r="95" spans="1:7">
      <c r="A95" s="103"/>
      <c r="B95" s="3" t="s">
        <v>124</v>
      </c>
      <c r="C95" s="33" t="s">
        <v>126</v>
      </c>
      <c r="D95" s="18"/>
      <c r="E95" s="19" t="s">
        <v>414</v>
      </c>
    </row>
    <row r="96" spans="1:7">
      <c r="A96" s="103"/>
      <c r="B96" s="3" t="s">
        <v>125</v>
      </c>
      <c r="C96" s="33" t="s">
        <v>127</v>
      </c>
      <c r="D96" s="18"/>
      <c r="E96" s="19" t="s">
        <v>415</v>
      </c>
    </row>
    <row r="97" spans="1:7">
      <c r="A97" s="103"/>
      <c r="B97" s="3" t="s">
        <v>126</v>
      </c>
      <c r="C97" s="33" t="s">
        <v>121</v>
      </c>
      <c r="D97" s="18"/>
      <c r="E97" s="19" t="s">
        <v>416</v>
      </c>
    </row>
    <row r="98" spans="1:7">
      <c r="A98" s="103"/>
      <c r="B98" s="3" t="s">
        <v>127</v>
      </c>
      <c r="C98" s="33" t="s">
        <v>125</v>
      </c>
      <c r="D98" s="18"/>
      <c r="E98" s="19" t="s">
        <v>417</v>
      </c>
    </row>
    <row r="99" spans="1:7">
      <c r="A99" s="103"/>
      <c r="B99" s="3" t="s">
        <v>128</v>
      </c>
      <c r="C99" s="33" t="s">
        <v>122</v>
      </c>
      <c r="D99" s="18"/>
      <c r="E99" s="19" t="s">
        <v>418</v>
      </c>
    </row>
    <row r="100" spans="1:7">
      <c r="A100" s="103"/>
      <c r="B100" s="3" t="s">
        <v>129</v>
      </c>
      <c r="C100" s="33" t="s">
        <v>419</v>
      </c>
      <c r="D100" s="18"/>
      <c r="E100" s="19" t="s">
        <v>420</v>
      </c>
    </row>
    <row r="101" spans="1:7">
      <c r="A101" s="103"/>
      <c r="B101" s="3" t="s">
        <v>130</v>
      </c>
      <c r="C101" s="33" t="s">
        <v>130</v>
      </c>
      <c r="D101" s="18" t="s">
        <v>827</v>
      </c>
      <c r="E101" s="19" t="s">
        <v>421</v>
      </c>
      <c r="F101" s="3">
        <v>1200</v>
      </c>
      <c r="G101" s="9">
        <f>F101/SUM($F$89:$F$101)</f>
        <v>0.48780487804878048</v>
      </c>
    </row>
    <row r="102" spans="1:7">
      <c r="A102" s="103"/>
      <c r="C102" s="33" t="s">
        <v>116</v>
      </c>
      <c r="D102" s="18"/>
      <c r="E102" s="19" t="s">
        <v>422</v>
      </c>
    </row>
    <row r="103" spans="1:7">
      <c r="A103" s="103"/>
      <c r="C103" s="33" t="s">
        <v>423</v>
      </c>
      <c r="D103" s="18"/>
      <c r="E103" s="19" t="s">
        <v>424</v>
      </c>
    </row>
    <row r="104" spans="1:7">
      <c r="A104" s="103"/>
      <c r="C104" s="33" t="s">
        <v>425</v>
      </c>
      <c r="D104" s="18"/>
      <c r="E104" s="19" t="s">
        <v>426</v>
      </c>
    </row>
    <row r="105" spans="1:7">
      <c r="A105" s="103"/>
      <c r="C105" s="33" t="s">
        <v>427</v>
      </c>
      <c r="D105" s="18"/>
      <c r="E105" s="19" t="s">
        <v>428</v>
      </c>
    </row>
    <row r="106" spans="1:7">
      <c r="A106" s="103" t="s">
        <v>11</v>
      </c>
      <c r="B106" s="3" t="s">
        <v>131</v>
      </c>
      <c r="C106" s="33" t="s">
        <v>132</v>
      </c>
      <c r="D106" s="18"/>
      <c r="E106" s="19" t="s">
        <v>429</v>
      </c>
    </row>
    <row r="107" spans="1:7">
      <c r="A107" s="103"/>
      <c r="B107" s="3" t="s">
        <v>132</v>
      </c>
      <c r="C107" s="33" t="s">
        <v>143</v>
      </c>
      <c r="D107" s="18"/>
      <c r="E107" s="19" t="s">
        <v>430</v>
      </c>
    </row>
    <row r="108" spans="1:7" ht="29.25">
      <c r="A108" s="103"/>
      <c r="B108" s="3" t="s">
        <v>133</v>
      </c>
      <c r="C108" s="33" t="s">
        <v>141</v>
      </c>
      <c r="D108" s="18" t="s">
        <v>812</v>
      </c>
      <c r="E108" s="19" t="s">
        <v>431</v>
      </c>
      <c r="F108" s="3">
        <f>150+250</f>
        <v>400</v>
      </c>
      <c r="G108" s="9">
        <f>F108/SUM($F$108:$F$125)</f>
        <v>0.53333333333333333</v>
      </c>
    </row>
    <row r="109" spans="1:7">
      <c r="A109" s="103"/>
      <c r="B109" s="3" t="s">
        <v>134</v>
      </c>
      <c r="C109" s="33" t="s">
        <v>138</v>
      </c>
      <c r="D109" s="18"/>
      <c r="E109" s="19" t="s">
        <v>432</v>
      </c>
    </row>
    <row r="110" spans="1:7">
      <c r="A110" s="103"/>
      <c r="B110" s="3" t="s">
        <v>135</v>
      </c>
      <c r="C110" s="34" t="s">
        <v>145</v>
      </c>
      <c r="D110" s="19"/>
      <c r="E110" s="22" t="s">
        <v>433</v>
      </c>
    </row>
    <row r="111" spans="1:7">
      <c r="A111" s="103"/>
      <c r="B111" s="3" t="s">
        <v>136</v>
      </c>
      <c r="C111" s="34" t="s">
        <v>137</v>
      </c>
      <c r="D111" s="35"/>
      <c r="E111" s="22" t="s">
        <v>434</v>
      </c>
    </row>
    <row r="112" spans="1:7">
      <c r="A112" s="103"/>
      <c r="B112" s="3" t="s">
        <v>137</v>
      </c>
      <c r="C112" s="33" t="s">
        <v>134</v>
      </c>
      <c r="D112" s="36"/>
      <c r="E112" s="19" t="s">
        <v>435</v>
      </c>
    </row>
    <row r="113" spans="1:7">
      <c r="A113" s="103"/>
      <c r="B113" s="3" t="s">
        <v>138</v>
      </c>
      <c r="C113" s="33" t="s">
        <v>151</v>
      </c>
      <c r="D113" s="18"/>
      <c r="E113" s="19" t="s">
        <v>436</v>
      </c>
    </row>
    <row r="114" spans="1:7">
      <c r="A114" s="103"/>
      <c r="B114" s="3" t="s">
        <v>139</v>
      </c>
      <c r="C114" s="33" t="s">
        <v>133</v>
      </c>
      <c r="D114" s="18"/>
      <c r="E114" s="19" t="s">
        <v>437</v>
      </c>
    </row>
    <row r="115" spans="1:7">
      <c r="A115" s="103"/>
      <c r="B115" s="3" t="s">
        <v>140</v>
      </c>
      <c r="C115" s="33" t="s">
        <v>148</v>
      </c>
      <c r="D115" s="18"/>
      <c r="E115" s="19" t="s">
        <v>438</v>
      </c>
    </row>
    <row r="116" spans="1:7">
      <c r="A116" s="103"/>
      <c r="B116" s="3" t="s">
        <v>141</v>
      </c>
      <c r="C116" s="33" t="s">
        <v>135</v>
      </c>
      <c r="D116" s="18"/>
      <c r="E116" s="19" t="s">
        <v>439</v>
      </c>
    </row>
    <row r="117" spans="1:7">
      <c r="A117" s="103"/>
      <c r="B117" s="3" t="s">
        <v>142</v>
      </c>
      <c r="C117" s="33" t="s">
        <v>136</v>
      </c>
      <c r="D117" s="18"/>
      <c r="E117" s="19" t="s">
        <v>440</v>
      </c>
    </row>
    <row r="118" spans="1:7">
      <c r="A118" s="103"/>
      <c r="B118" s="3" t="s">
        <v>143</v>
      </c>
      <c r="C118" s="33" t="s">
        <v>140</v>
      </c>
      <c r="D118" s="18"/>
      <c r="E118" s="19" t="s">
        <v>441</v>
      </c>
    </row>
    <row r="119" spans="1:7">
      <c r="A119" s="103"/>
      <c r="B119" s="3" t="s">
        <v>144</v>
      </c>
      <c r="C119" s="33" t="s">
        <v>139</v>
      </c>
      <c r="D119" s="18"/>
      <c r="E119" s="19" t="s">
        <v>442</v>
      </c>
    </row>
    <row r="120" spans="1:7">
      <c r="A120" s="103"/>
      <c r="B120" s="3" t="s">
        <v>145</v>
      </c>
      <c r="C120" s="33" t="s">
        <v>142</v>
      </c>
      <c r="D120" s="18"/>
      <c r="E120" s="19" t="s">
        <v>443</v>
      </c>
    </row>
    <row r="121" spans="1:7">
      <c r="A121" s="103"/>
      <c r="B121" s="3" t="s">
        <v>146</v>
      </c>
      <c r="C121" s="33" t="s">
        <v>144</v>
      </c>
      <c r="D121" s="18"/>
      <c r="E121" s="19" t="s">
        <v>444</v>
      </c>
    </row>
    <row r="122" spans="1:7">
      <c r="A122" s="103"/>
      <c r="B122" s="3" t="s">
        <v>147</v>
      </c>
      <c r="C122" s="33" t="s">
        <v>146</v>
      </c>
      <c r="D122" s="18"/>
      <c r="E122" s="19" t="s">
        <v>445</v>
      </c>
    </row>
    <row r="123" spans="1:7">
      <c r="A123" s="103"/>
      <c r="B123" s="3" t="s">
        <v>148</v>
      </c>
      <c r="C123" s="33" t="s">
        <v>147</v>
      </c>
      <c r="D123" s="18"/>
      <c r="E123" s="19" t="s">
        <v>446</v>
      </c>
    </row>
    <row r="124" spans="1:7" ht="29.25">
      <c r="A124" s="103"/>
      <c r="B124" s="3" t="s">
        <v>149</v>
      </c>
      <c r="C124" s="33" t="s">
        <v>150</v>
      </c>
      <c r="D124" s="18" t="s">
        <v>811</v>
      </c>
      <c r="E124" s="19" t="s">
        <v>447</v>
      </c>
      <c r="F124" s="3">
        <v>100</v>
      </c>
      <c r="G124" s="9">
        <f t="shared" ref="G124:G125" si="3">F124/SUM($F$108:$F$125)</f>
        <v>0.13333333333333333</v>
      </c>
    </row>
    <row r="125" spans="1:7">
      <c r="A125" s="103"/>
      <c r="B125" s="3" t="s">
        <v>150</v>
      </c>
      <c r="C125" s="33" t="s">
        <v>152</v>
      </c>
      <c r="D125" s="18" t="s">
        <v>813</v>
      </c>
      <c r="E125" s="19" t="s">
        <v>448</v>
      </c>
      <c r="F125" s="3">
        <v>250</v>
      </c>
      <c r="G125" s="9">
        <f t="shared" si="3"/>
        <v>0.33333333333333331</v>
      </c>
    </row>
    <row r="126" spans="1:7">
      <c r="A126" s="103"/>
      <c r="B126" s="3" t="s">
        <v>151</v>
      </c>
      <c r="C126" s="33" t="s">
        <v>149</v>
      </c>
      <c r="D126" s="18"/>
      <c r="E126" s="19" t="s">
        <v>449</v>
      </c>
    </row>
    <row r="127" spans="1:7">
      <c r="A127" s="103"/>
      <c r="B127" s="3" t="s">
        <v>152</v>
      </c>
      <c r="C127" s="33" t="s">
        <v>131</v>
      </c>
      <c r="D127" s="18"/>
      <c r="E127" s="19" t="s">
        <v>450</v>
      </c>
    </row>
    <row r="128" spans="1:7">
      <c r="A128" s="103"/>
      <c r="C128" s="33" t="s">
        <v>451</v>
      </c>
      <c r="D128" s="18"/>
      <c r="E128" s="19" t="s">
        <v>452</v>
      </c>
    </row>
    <row r="129" spans="1:7">
      <c r="A129" s="103"/>
      <c r="C129" s="33" t="s">
        <v>453</v>
      </c>
      <c r="D129" s="18"/>
      <c r="E129" s="19" t="s">
        <v>454</v>
      </c>
    </row>
    <row r="130" spans="1:7">
      <c r="A130" s="103"/>
      <c r="C130" s="33" t="s">
        <v>455</v>
      </c>
      <c r="D130" s="18"/>
      <c r="E130" s="19" t="s">
        <v>456</v>
      </c>
    </row>
    <row r="131" spans="1:7">
      <c r="A131" s="103"/>
      <c r="C131" s="33" t="s">
        <v>457</v>
      </c>
      <c r="D131" s="18"/>
      <c r="E131" s="19" t="s">
        <v>458</v>
      </c>
    </row>
    <row r="132" spans="1:7">
      <c r="A132" s="103"/>
      <c r="C132" s="33" t="s">
        <v>459</v>
      </c>
      <c r="D132" s="18"/>
      <c r="E132" s="19" t="s">
        <v>460</v>
      </c>
    </row>
    <row r="133" spans="1:7">
      <c r="A133" s="103" t="s">
        <v>12</v>
      </c>
      <c r="B133" s="3" t="s">
        <v>153</v>
      </c>
      <c r="C133" s="22" t="s">
        <v>461</v>
      </c>
      <c r="D133" s="19"/>
      <c r="E133" s="22" t="s">
        <v>462</v>
      </c>
    </row>
    <row r="134" spans="1:7">
      <c r="A134" s="103"/>
      <c r="B134" s="3" t="s">
        <v>154</v>
      </c>
      <c r="C134" s="33" t="s">
        <v>154</v>
      </c>
      <c r="D134" s="18"/>
      <c r="E134" s="19" t="s">
        <v>463</v>
      </c>
    </row>
    <row r="135" spans="1:7">
      <c r="A135" s="103"/>
      <c r="C135" s="33" t="s">
        <v>464</v>
      </c>
      <c r="D135" s="18"/>
      <c r="E135" s="19" t="s">
        <v>465</v>
      </c>
    </row>
    <row r="136" spans="1:7">
      <c r="A136" s="103"/>
      <c r="C136" s="33" t="s">
        <v>466</v>
      </c>
      <c r="D136" s="18"/>
      <c r="E136" s="19" t="s">
        <v>467</v>
      </c>
    </row>
    <row r="137" spans="1:7">
      <c r="A137" s="103" t="s">
        <v>13</v>
      </c>
      <c r="B137" s="3" t="s">
        <v>155</v>
      </c>
      <c r="C137" s="33" t="s">
        <v>163</v>
      </c>
      <c r="D137" s="18"/>
      <c r="E137" s="19" t="s">
        <v>468</v>
      </c>
    </row>
    <row r="138" spans="1:7">
      <c r="A138" s="103"/>
      <c r="B138" s="3" t="s">
        <v>156</v>
      </c>
      <c r="C138" s="33" t="s">
        <v>156</v>
      </c>
      <c r="D138" s="18" t="s">
        <v>818</v>
      </c>
      <c r="E138" s="19" t="s">
        <v>469</v>
      </c>
      <c r="F138" s="3">
        <v>260</v>
      </c>
      <c r="G138" s="9">
        <f>F138/SUM($F$138:$F$155)</f>
        <v>9.187279151943463E-2</v>
      </c>
    </row>
    <row r="139" spans="1:7">
      <c r="A139" s="103"/>
      <c r="B139" s="3" t="s">
        <v>157</v>
      </c>
      <c r="C139" s="33" t="s">
        <v>167</v>
      </c>
      <c r="D139" s="18"/>
      <c r="E139" s="19" t="s">
        <v>470</v>
      </c>
    </row>
    <row r="140" spans="1:7" ht="29.25">
      <c r="A140" s="103"/>
      <c r="B140" s="3" t="s">
        <v>158</v>
      </c>
      <c r="C140" s="33" t="s">
        <v>166</v>
      </c>
      <c r="D140" s="18" t="s">
        <v>820</v>
      </c>
      <c r="E140" s="19" t="s">
        <v>471</v>
      </c>
      <c r="F140" s="3">
        <f>100+150</f>
        <v>250</v>
      </c>
      <c r="G140" s="9">
        <f t="shared" ref="G140:G152" si="4">F140/SUM($F$138:$F$155)</f>
        <v>8.8339222614840993E-2</v>
      </c>
    </row>
    <row r="141" spans="1:7">
      <c r="A141" s="103"/>
      <c r="B141" s="3" t="s">
        <v>159</v>
      </c>
      <c r="C141" s="33" t="s">
        <v>175</v>
      </c>
      <c r="D141" s="18"/>
      <c r="E141" s="19" t="s">
        <v>472</v>
      </c>
    </row>
    <row r="142" spans="1:7">
      <c r="A142" s="103"/>
      <c r="B142" s="3" t="s">
        <v>160</v>
      </c>
      <c r="C142" s="33" t="s">
        <v>164</v>
      </c>
      <c r="D142" s="18"/>
      <c r="E142" s="19" t="s">
        <v>473</v>
      </c>
    </row>
    <row r="143" spans="1:7">
      <c r="A143" s="103"/>
      <c r="B143" s="3" t="s">
        <v>161</v>
      </c>
      <c r="C143" s="33" t="s">
        <v>171</v>
      </c>
      <c r="D143" s="18"/>
      <c r="E143" s="19" t="s">
        <v>474</v>
      </c>
    </row>
    <row r="144" spans="1:7">
      <c r="A144" s="103"/>
      <c r="B144" s="3" t="s">
        <v>162</v>
      </c>
      <c r="C144" s="33" t="s">
        <v>174</v>
      </c>
      <c r="D144" s="36"/>
      <c r="E144" s="19" t="s">
        <v>475</v>
      </c>
    </row>
    <row r="145" spans="1:7">
      <c r="A145" s="103"/>
      <c r="B145" s="3" t="s">
        <v>163</v>
      </c>
      <c r="C145" s="33" t="s">
        <v>173</v>
      </c>
      <c r="D145" s="18"/>
      <c r="E145" s="19" t="s">
        <v>476</v>
      </c>
    </row>
    <row r="146" spans="1:7">
      <c r="A146" s="103"/>
      <c r="B146" s="3" t="s">
        <v>164</v>
      </c>
      <c r="C146" s="33" t="s">
        <v>172</v>
      </c>
      <c r="D146" s="18"/>
      <c r="E146" s="19" t="s">
        <v>477</v>
      </c>
    </row>
    <row r="147" spans="1:7">
      <c r="A147" s="103"/>
      <c r="B147" s="3" t="s">
        <v>165</v>
      </c>
      <c r="C147" s="33" t="s">
        <v>161</v>
      </c>
      <c r="D147" s="36"/>
      <c r="E147" s="19" t="s">
        <v>478</v>
      </c>
    </row>
    <row r="148" spans="1:7">
      <c r="A148" s="103"/>
      <c r="B148" s="3" t="s">
        <v>166</v>
      </c>
      <c r="C148" s="33" t="s">
        <v>162</v>
      </c>
      <c r="D148" s="18"/>
      <c r="E148" s="19" t="s">
        <v>479</v>
      </c>
    </row>
    <row r="149" spans="1:7" ht="29.25">
      <c r="A149" s="103"/>
      <c r="B149" s="3" t="s">
        <v>167</v>
      </c>
      <c r="C149" s="33" t="s">
        <v>158</v>
      </c>
      <c r="D149" s="18" t="s">
        <v>819</v>
      </c>
      <c r="E149" s="19" t="s">
        <v>480</v>
      </c>
      <c r="F149" s="3">
        <v>200</v>
      </c>
      <c r="G149" s="9">
        <f t="shared" si="4"/>
        <v>7.0671378091872794E-2</v>
      </c>
    </row>
    <row r="150" spans="1:7">
      <c r="A150" s="103"/>
      <c r="B150" s="3" t="s">
        <v>168</v>
      </c>
      <c r="C150" s="33" t="s">
        <v>159</v>
      </c>
      <c r="D150" s="18"/>
      <c r="E150" s="19" t="s">
        <v>481</v>
      </c>
    </row>
    <row r="151" spans="1:7">
      <c r="A151" s="103"/>
      <c r="B151" s="3" t="s">
        <v>169</v>
      </c>
      <c r="C151" s="33" t="s">
        <v>155</v>
      </c>
      <c r="D151" s="36" t="s">
        <v>823</v>
      </c>
      <c r="E151" s="19" t="s">
        <v>482</v>
      </c>
      <c r="F151" s="3">
        <v>170</v>
      </c>
      <c r="G151" s="9">
        <f t="shared" si="4"/>
        <v>6.0070671378091869E-2</v>
      </c>
    </row>
    <row r="152" spans="1:7">
      <c r="A152" s="103"/>
      <c r="B152" s="3" t="s">
        <v>170</v>
      </c>
      <c r="C152" s="33" t="s">
        <v>169</v>
      </c>
      <c r="D152" s="18" t="s">
        <v>822</v>
      </c>
      <c r="E152" s="19" t="s">
        <v>483</v>
      </c>
      <c r="F152" s="3">
        <v>500</v>
      </c>
      <c r="G152" s="9">
        <f t="shared" si="4"/>
        <v>0.17667844522968199</v>
      </c>
    </row>
    <row r="153" spans="1:7">
      <c r="A153" s="103"/>
      <c r="B153" s="3" t="s">
        <v>171</v>
      </c>
      <c r="C153" s="33" t="s">
        <v>170</v>
      </c>
      <c r="D153" s="18"/>
      <c r="E153" s="19" t="s">
        <v>484</v>
      </c>
    </row>
    <row r="154" spans="1:7">
      <c r="A154" s="103"/>
      <c r="B154" s="3" t="s">
        <v>172</v>
      </c>
      <c r="C154" s="33" t="s">
        <v>160</v>
      </c>
      <c r="D154" s="18"/>
      <c r="E154" s="19" t="s">
        <v>485</v>
      </c>
    </row>
    <row r="155" spans="1:7">
      <c r="A155" s="103"/>
      <c r="B155" s="3" t="s">
        <v>173</v>
      </c>
      <c r="C155" s="33" t="s">
        <v>157</v>
      </c>
      <c r="D155" s="18" t="s">
        <v>821</v>
      </c>
      <c r="E155" s="19" t="s">
        <v>486</v>
      </c>
      <c r="F155" s="3">
        <v>1450</v>
      </c>
      <c r="G155" s="9">
        <f>F155/SUM($F$138:$F$155)</f>
        <v>0.51236749116607772</v>
      </c>
    </row>
    <row r="156" spans="1:7">
      <c r="A156" s="103"/>
      <c r="B156" s="3" t="s">
        <v>174</v>
      </c>
      <c r="C156" s="33" t="s">
        <v>165</v>
      </c>
      <c r="D156" s="18"/>
      <c r="E156" s="19" t="s">
        <v>487</v>
      </c>
    </row>
    <row r="157" spans="1:7">
      <c r="A157" s="103"/>
      <c r="B157" s="3" t="s">
        <v>175</v>
      </c>
      <c r="C157" s="33" t="s">
        <v>168</v>
      </c>
      <c r="D157" s="18"/>
      <c r="E157" s="19" t="s">
        <v>488</v>
      </c>
    </row>
    <row r="158" spans="1:7">
      <c r="A158" s="29" t="s">
        <v>625</v>
      </c>
      <c r="C158" s="33" t="s">
        <v>489</v>
      </c>
      <c r="D158" s="18"/>
      <c r="E158" s="19" t="s">
        <v>490</v>
      </c>
    </row>
    <row r="159" spans="1:7">
      <c r="A159" s="29" t="s">
        <v>14</v>
      </c>
      <c r="B159" s="3" t="s">
        <v>176</v>
      </c>
      <c r="C159" s="33" t="s">
        <v>176</v>
      </c>
      <c r="D159" s="18"/>
      <c r="E159" s="19" t="s">
        <v>491</v>
      </c>
    </row>
    <row r="160" spans="1:7">
      <c r="A160" s="103" t="s">
        <v>624</v>
      </c>
      <c r="B160" s="4" t="s">
        <v>492</v>
      </c>
      <c r="C160" s="33" t="s">
        <v>492</v>
      </c>
      <c r="D160" s="18"/>
      <c r="E160" s="19" t="s">
        <v>493</v>
      </c>
    </row>
    <row r="161" spans="1:5">
      <c r="A161" s="103"/>
      <c r="B161" s="4" t="s">
        <v>494</v>
      </c>
      <c r="C161" s="33" t="s">
        <v>494</v>
      </c>
      <c r="D161" s="18"/>
      <c r="E161" s="19" t="s">
        <v>495</v>
      </c>
    </row>
    <row r="162" spans="1:5">
      <c r="A162" s="29" t="s">
        <v>15</v>
      </c>
      <c r="B162" s="3" t="s">
        <v>177</v>
      </c>
      <c r="C162" s="33" t="s">
        <v>177</v>
      </c>
      <c r="D162" s="18"/>
      <c r="E162" s="19" t="s">
        <v>15</v>
      </c>
    </row>
    <row r="163" spans="1:5">
      <c r="A163" s="103" t="s">
        <v>16</v>
      </c>
      <c r="B163" s="3" t="s">
        <v>178</v>
      </c>
      <c r="C163" s="33" t="s">
        <v>182</v>
      </c>
      <c r="D163" s="18"/>
      <c r="E163" s="19" t="s">
        <v>496</v>
      </c>
    </row>
    <row r="164" spans="1:5">
      <c r="A164" s="103"/>
      <c r="B164" s="3" t="s">
        <v>179</v>
      </c>
      <c r="C164" s="33" t="s">
        <v>181</v>
      </c>
      <c r="D164" s="18"/>
      <c r="E164" s="19" t="s">
        <v>497</v>
      </c>
    </row>
    <row r="165" spans="1:5">
      <c r="A165" s="103"/>
      <c r="B165" s="3" t="s">
        <v>180</v>
      </c>
      <c r="C165" s="33" t="s">
        <v>180</v>
      </c>
      <c r="D165" s="18"/>
      <c r="E165" s="19" t="s">
        <v>498</v>
      </c>
    </row>
    <row r="166" spans="1:5">
      <c r="A166" s="103"/>
      <c r="B166" s="3" t="s">
        <v>181</v>
      </c>
      <c r="C166" s="33" t="s">
        <v>179</v>
      </c>
      <c r="D166" s="18"/>
      <c r="E166" s="19" t="s">
        <v>499</v>
      </c>
    </row>
    <row r="167" spans="1:5">
      <c r="A167" s="103"/>
      <c r="B167" s="3" t="s">
        <v>182</v>
      </c>
      <c r="C167" s="33" t="s">
        <v>184</v>
      </c>
      <c r="D167" s="18"/>
      <c r="E167" s="19" t="s">
        <v>500</v>
      </c>
    </row>
    <row r="168" spans="1:5">
      <c r="A168" s="103"/>
      <c r="B168" s="3" t="s">
        <v>183</v>
      </c>
      <c r="C168" s="33" t="s">
        <v>183</v>
      </c>
      <c r="D168" s="36"/>
      <c r="E168" s="19" t="s">
        <v>501</v>
      </c>
    </row>
    <row r="169" spans="1:5">
      <c r="A169" s="103"/>
      <c r="B169" s="3" t="s">
        <v>184</v>
      </c>
      <c r="C169" s="33" t="s">
        <v>178</v>
      </c>
      <c r="D169" s="18"/>
      <c r="E169" s="19" t="s">
        <v>502</v>
      </c>
    </row>
    <row r="170" spans="1:5">
      <c r="A170" s="103"/>
      <c r="B170" s="3" t="s">
        <v>185</v>
      </c>
      <c r="C170" s="33" t="s">
        <v>185</v>
      </c>
      <c r="D170" s="18"/>
      <c r="E170" s="19" t="s">
        <v>503</v>
      </c>
    </row>
    <row r="171" spans="1:5">
      <c r="A171" s="29" t="s">
        <v>505</v>
      </c>
      <c r="C171" s="33" t="s">
        <v>504</v>
      </c>
      <c r="D171" s="18"/>
      <c r="E171" s="19" t="s">
        <v>505</v>
      </c>
    </row>
    <row r="172" spans="1:5">
      <c r="A172" s="103" t="s">
        <v>17</v>
      </c>
      <c r="B172" s="3" t="s">
        <v>186</v>
      </c>
      <c r="C172" s="33" t="s">
        <v>193</v>
      </c>
      <c r="D172" s="18"/>
      <c r="E172" s="19" t="s">
        <v>506</v>
      </c>
    </row>
    <row r="173" spans="1:5">
      <c r="A173" s="103"/>
      <c r="B173" s="3" t="s">
        <v>187</v>
      </c>
      <c r="C173" s="33" t="s">
        <v>195</v>
      </c>
      <c r="D173" s="18"/>
      <c r="E173" s="19" t="s">
        <v>507</v>
      </c>
    </row>
    <row r="174" spans="1:5">
      <c r="A174" s="103"/>
      <c r="B174" s="3" t="s">
        <v>188</v>
      </c>
      <c r="C174" s="33" t="s">
        <v>197</v>
      </c>
      <c r="D174" s="18"/>
      <c r="E174" s="19" t="s">
        <v>508</v>
      </c>
    </row>
    <row r="175" spans="1:5">
      <c r="A175" s="103"/>
      <c r="B175" s="3" t="s">
        <v>189</v>
      </c>
      <c r="C175" s="33" t="s">
        <v>188</v>
      </c>
      <c r="D175" s="18"/>
      <c r="E175" s="19" t="s">
        <v>509</v>
      </c>
    </row>
    <row r="176" spans="1:5">
      <c r="A176" s="103"/>
      <c r="B176" s="3" t="s">
        <v>190</v>
      </c>
      <c r="C176" s="33" t="s">
        <v>194</v>
      </c>
      <c r="D176" s="18"/>
      <c r="E176" s="19" t="s">
        <v>510</v>
      </c>
    </row>
    <row r="177" spans="1:7">
      <c r="A177" s="103"/>
      <c r="B177" s="3" t="s">
        <v>191</v>
      </c>
      <c r="C177" s="33" t="s">
        <v>196</v>
      </c>
      <c r="D177" s="18"/>
      <c r="E177" s="19" t="s">
        <v>511</v>
      </c>
    </row>
    <row r="178" spans="1:7">
      <c r="A178" s="103"/>
      <c r="B178" s="3" t="s">
        <v>192</v>
      </c>
      <c r="C178" s="33" t="s">
        <v>190</v>
      </c>
      <c r="D178" s="18"/>
      <c r="E178" s="19" t="s">
        <v>512</v>
      </c>
    </row>
    <row r="179" spans="1:7">
      <c r="A179" s="103"/>
      <c r="B179" s="3" t="s">
        <v>193</v>
      </c>
      <c r="C179" s="33" t="s">
        <v>189</v>
      </c>
      <c r="D179" s="18"/>
      <c r="E179" s="19" t="s">
        <v>513</v>
      </c>
    </row>
    <row r="180" spans="1:7">
      <c r="A180" s="103"/>
      <c r="B180" s="3" t="s">
        <v>194</v>
      </c>
      <c r="C180" s="33" t="s">
        <v>186</v>
      </c>
      <c r="D180" s="18"/>
      <c r="E180" s="19" t="s">
        <v>514</v>
      </c>
    </row>
    <row r="181" spans="1:7">
      <c r="A181" s="103"/>
      <c r="B181" s="3" t="s">
        <v>195</v>
      </c>
      <c r="C181" s="33" t="s">
        <v>187</v>
      </c>
      <c r="D181" s="36"/>
      <c r="E181" s="19" t="s">
        <v>515</v>
      </c>
    </row>
    <row r="182" spans="1:7">
      <c r="A182" s="103"/>
      <c r="B182" s="3" t="s">
        <v>196</v>
      </c>
      <c r="C182" s="33" t="s">
        <v>191</v>
      </c>
      <c r="D182" s="36"/>
      <c r="E182" s="19" t="s">
        <v>516</v>
      </c>
    </row>
    <row r="183" spans="1:7">
      <c r="A183" s="103"/>
      <c r="B183" s="3" t="s">
        <v>197</v>
      </c>
      <c r="C183" s="33" t="s">
        <v>192</v>
      </c>
      <c r="D183" s="36"/>
      <c r="E183" s="19" t="s">
        <v>517</v>
      </c>
    </row>
    <row r="184" spans="1:7">
      <c r="A184" s="103" t="s">
        <v>18</v>
      </c>
      <c r="B184" s="3" t="s">
        <v>198</v>
      </c>
      <c r="C184" s="33" t="s">
        <v>206</v>
      </c>
      <c r="D184" s="18"/>
      <c r="E184" s="19" t="s">
        <v>518</v>
      </c>
    </row>
    <row r="185" spans="1:7">
      <c r="A185" s="103"/>
      <c r="B185" s="3" t="s">
        <v>199</v>
      </c>
      <c r="C185" s="33" t="s">
        <v>204</v>
      </c>
      <c r="D185" s="18"/>
      <c r="E185" s="19" t="s">
        <v>519</v>
      </c>
    </row>
    <row r="186" spans="1:7">
      <c r="A186" s="103"/>
      <c r="B186" s="3" t="s">
        <v>200</v>
      </c>
      <c r="C186" s="33" t="s">
        <v>203</v>
      </c>
      <c r="D186" s="18"/>
      <c r="E186" s="19" t="s">
        <v>520</v>
      </c>
    </row>
    <row r="187" spans="1:7">
      <c r="A187" s="103"/>
      <c r="B187" s="3" t="s">
        <v>201</v>
      </c>
      <c r="C187" s="33" t="s">
        <v>205</v>
      </c>
      <c r="D187" s="18"/>
      <c r="E187" s="19" t="s">
        <v>521</v>
      </c>
    </row>
    <row r="188" spans="1:7" ht="29.25">
      <c r="A188" s="103"/>
      <c r="B188" s="3" t="s">
        <v>202</v>
      </c>
      <c r="C188" s="33" t="s">
        <v>200</v>
      </c>
      <c r="D188" s="18" t="s">
        <v>807</v>
      </c>
      <c r="E188" s="19" t="s">
        <v>522</v>
      </c>
      <c r="F188" s="3">
        <f>180+300</f>
        <v>480</v>
      </c>
      <c r="G188" s="9">
        <v>1</v>
      </c>
    </row>
    <row r="189" spans="1:7">
      <c r="A189" s="103"/>
      <c r="B189" s="3" t="s">
        <v>203</v>
      </c>
      <c r="C189" s="33" t="s">
        <v>202</v>
      </c>
      <c r="D189" s="18"/>
      <c r="E189" s="19" t="s">
        <v>523</v>
      </c>
    </row>
    <row r="190" spans="1:7">
      <c r="A190" s="103"/>
      <c r="B190" s="3" t="s">
        <v>204</v>
      </c>
      <c r="C190" s="33" t="s">
        <v>201</v>
      </c>
      <c r="D190" s="18"/>
      <c r="E190" s="19" t="s">
        <v>524</v>
      </c>
    </row>
    <row r="191" spans="1:7">
      <c r="A191" s="103"/>
      <c r="B191" s="3" t="s">
        <v>205</v>
      </c>
      <c r="C191" s="33" t="s">
        <v>199</v>
      </c>
      <c r="D191" s="18"/>
      <c r="E191" s="19" t="s">
        <v>525</v>
      </c>
    </row>
    <row r="192" spans="1:7">
      <c r="A192" s="103"/>
      <c r="B192" s="3" t="s">
        <v>206</v>
      </c>
      <c r="C192" s="33" t="s">
        <v>198</v>
      </c>
      <c r="D192" s="18"/>
      <c r="E192" s="19" t="s">
        <v>526</v>
      </c>
    </row>
    <row r="193" spans="1:7">
      <c r="A193" s="103" t="s">
        <v>19</v>
      </c>
      <c r="B193" s="3" t="s">
        <v>207</v>
      </c>
      <c r="C193" s="33" t="s">
        <v>219</v>
      </c>
      <c r="D193" s="18"/>
      <c r="E193" s="19" t="s">
        <v>527</v>
      </c>
    </row>
    <row r="194" spans="1:7">
      <c r="A194" s="103"/>
      <c r="B194" s="3" t="s">
        <v>208</v>
      </c>
      <c r="C194" s="33" t="s">
        <v>210</v>
      </c>
      <c r="D194" s="18"/>
      <c r="E194" s="19" t="s">
        <v>528</v>
      </c>
    </row>
    <row r="195" spans="1:7">
      <c r="A195" s="103"/>
      <c r="B195" s="3" t="s">
        <v>209</v>
      </c>
      <c r="C195" s="33" t="s">
        <v>221</v>
      </c>
      <c r="D195" s="18"/>
      <c r="E195" s="19" t="s">
        <v>529</v>
      </c>
    </row>
    <row r="196" spans="1:7">
      <c r="A196" s="103"/>
      <c r="B196" s="3" t="s">
        <v>210</v>
      </c>
      <c r="C196" s="33" t="s">
        <v>207</v>
      </c>
      <c r="D196" s="18"/>
      <c r="E196" s="19" t="s">
        <v>530</v>
      </c>
    </row>
    <row r="197" spans="1:7">
      <c r="A197" s="103"/>
      <c r="B197" s="3" t="s">
        <v>211</v>
      </c>
      <c r="C197" s="33" t="s">
        <v>216</v>
      </c>
      <c r="D197" s="18"/>
      <c r="E197" s="19" t="s">
        <v>531</v>
      </c>
    </row>
    <row r="198" spans="1:7">
      <c r="A198" s="103"/>
      <c r="B198" s="3" t="s">
        <v>212</v>
      </c>
      <c r="C198" s="33" t="s">
        <v>218</v>
      </c>
      <c r="D198" s="18"/>
      <c r="E198" s="19" t="s">
        <v>532</v>
      </c>
    </row>
    <row r="199" spans="1:7">
      <c r="A199" s="103"/>
      <c r="B199" s="3" t="s">
        <v>213</v>
      </c>
      <c r="C199" s="33" t="s">
        <v>213</v>
      </c>
      <c r="D199" s="18"/>
      <c r="E199" s="19" t="s">
        <v>533</v>
      </c>
    </row>
    <row r="200" spans="1:7">
      <c r="A200" s="103"/>
      <c r="B200" s="3" t="s">
        <v>214</v>
      </c>
      <c r="C200" s="33" t="s">
        <v>220</v>
      </c>
      <c r="D200" s="18"/>
      <c r="E200" s="19" t="s">
        <v>534</v>
      </c>
    </row>
    <row r="201" spans="1:7">
      <c r="A201" s="103"/>
      <c r="B201" s="3" t="s">
        <v>215</v>
      </c>
      <c r="C201" s="33" t="s">
        <v>208</v>
      </c>
      <c r="D201" s="18"/>
      <c r="E201" s="19" t="s">
        <v>535</v>
      </c>
    </row>
    <row r="202" spans="1:7">
      <c r="A202" s="103"/>
      <c r="B202" s="3" t="s">
        <v>216</v>
      </c>
      <c r="C202" s="33" t="s">
        <v>211</v>
      </c>
      <c r="D202" s="18"/>
      <c r="E202" s="19" t="s">
        <v>536</v>
      </c>
    </row>
    <row r="203" spans="1:7">
      <c r="A203" s="103"/>
      <c r="B203" s="3" t="s">
        <v>217</v>
      </c>
      <c r="C203" s="33" t="s">
        <v>223</v>
      </c>
      <c r="D203" s="18"/>
      <c r="E203" s="19" t="s">
        <v>537</v>
      </c>
    </row>
    <row r="204" spans="1:7">
      <c r="A204" s="103"/>
      <c r="B204" s="3" t="s">
        <v>218</v>
      </c>
      <c r="C204" s="33" t="s">
        <v>222</v>
      </c>
      <c r="D204" s="18"/>
      <c r="E204" s="19" t="s">
        <v>538</v>
      </c>
    </row>
    <row r="205" spans="1:7">
      <c r="A205" s="103"/>
      <c r="B205" s="3" t="s">
        <v>219</v>
      </c>
      <c r="C205" s="33" t="s">
        <v>217</v>
      </c>
      <c r="D205" s="18"/>
      <c r="E205" s="19" t="s">
        <v>539</v>
      </c>
    </row>
    <row r="206" spans="1:7">
      <c r="A206" s="103"/>
      <c r="B206" s="3" t="s">
        <v>220</v>
      </c>
      <c r="C206" s="33" t="s">
        <v>209</v>
      </c>
      <c r="D206" s="18" t="s">
        <v>824</v>
      </c>
      <c r="E206" s="19" t="s">
        <v>540</v>
      </c>
      <c r="F206" s="3">
        <v>240</v>
      </c>
      <c r="G206" s="9">
        <v>1</v>
      </c>
    </row>
    <row r="207" spans="1:7">
      <c r="A207" s="103"/>
      <c r="B207" s="3" t="s">
        <v>221</v>
      </c>
      <c r="C207" s="33" t="s">
        <v>212</v>
      </c>
      <c r="D207" s="18"/>
      <c r="E207" s="19" t="s">
        <v>541</v>
      </c>
    </row>
    <row r="208" spans="1:7">
      <c r="A208" s="103"/>
      <c r="B208" s="3" t="s">
        <v>222</v>
      </c>
      <c r="C208" s="33" t="s">
        <v>214</v>
      </c>
      <c r="D208" s="18"/>
      <c r="E208" s="19" t="s">
        <v>542</v>
      </c>
    </row>
    <row r="209" spans="1:5">
      <c r="A209" s="103"/>
      <c r="B209" s="3" t="s">
        <v>223</v>
      </c>
      <c r="C209" s="33" t="s">
        <v>215</v>
      </c>
      <c r="D209" s="36"/>
      <c r="E209" s="19" t="s">
        <v>543</v>
      </c>
    </row>
    <row r="210" spans="1:5">
      <c r="A210" s="103" t="s">
        <v>20</v>
      </c>
      <c r="B210" s="3" t="s">
        <v>224</v>
      </c>
      <c r="C210" s="33" t="s">
        <v>226</v>
      </c>
      <c r="D210" s="18"/>
      <c r="E210" s="19" t="s">
        <v>544</v>
      </c>
    </row>
    <row r="211" spans="1:5">
      <c r="A211" s="103"/>
      <c r="B211" s="3" t="s">
        <v>225</v>
      </c>
      <c r="C211" s="33" t="s">
        <v>225</v>
      </c>
      <c r="D211" s="18"/>
      <c r="E211" s="19" t="s">
        <v>545</v>
      </c>
    </row>
    <row r="212" spans="1:5">
      <c r="A212" s="103"/>
      <c r="B212" s="3" t="s">
        <v>226</v>
      </c>
      <c r="C212" s="33" t="s">
        <v>228</v>
      </c>
      <c r="D212" s="18"/>
      <c r="E212" s="19" t="s">
        <v>546</v>
      </c>
    </row>
    <row r="213" spans="1:5">
      <c r="A213" s="103"/>
      <c r="B213" s="3" t="s">
        <v>227</v>
      </c>
      <c r="C213" s="33" t="s">
        <v>224</v>
      </c>
      <c r="D213" s="18"/>
      <c r="E213" s="19" t="s">
        <v>547</v>
      </c>
    </row>
    <row r="214" spans="1:5">
      <c r="A214" s="103"/>
      <c r="B214" s="3" t="s">
        <v>228</v>
      </c>
      <c r="C214" s="33" t="s">
        <v>227</v>
      </c>
      <c r="D214" s="36"/>
      <c r="E214" s="19" t="s">
        <v>548</v>
      </c>
    </row>
    <row r="215" spans="1:5">
      <c r="A215" s="103"/>
      <c r="C215" s="33" t="s">
        <v>549</v>
      </c>
      <c r="D215" s="18"/>
      <c r="E215" s="19" t="s">
        <v>550</v>
      </c>
    </row>
    <row r="216" spans="1:5">
      <c r="A216" s="103"/>
      <c r="C216" s="33" t="s">
        <v>551</v>
      </c>
      <c r="D216" s="18"/>
      <c r="E216" s="19" t="s">
        <v>552</v>
      </c>
    </row>
    <row r="217" spans="1:5">
      <c r="A217" s="103" t="s">
        <v>21</v>
      </c>
      <c r="B217" s="3" t="s">
        <v>229</v>
      </c>
      <c r="C217" s="33" t="s">
        <v>231</v>
      </c>
      <c r="D217" s="18"/>
      <c r="E217" s="19" t="s">
        <v>553</v>
      </c>
    </row>
    <row r="218" spans="1:5">
      <c r="A218" s="103"/>
      <c r="B218" s="3" t="s">
        <v>230</v>
      </c>
      <c r="C218" s="33" t="s">
        <v>236</v>
      </c>
      <c r="D218" s="18"/>
      <c r="E218" s="19" t="s">
        <v>554</v>
      </c>
    </row>
    <row r="219" spans="1:5">
      <c r="A219" s="103"/>
      <c r="B219" s="3" t="s">
        <v>231</v>
      </c>
      <c r="C219" s="33" t="s">
        <v>232</v>
      </c>
      <c r="D219" s="18"/>
      <c r="E219" s="19" t="s">
        <v>555</v>
      </c>
    </row>
    <row r="220" spans="1:5">
      <c r="A220" s="103"/>
      <c r="B220" s="3" t="s">
        <v>232</v>
      </c>
      <c r="C220" s="33" t="s">
        <v>230</v>
      </c>
      <c r="D220" s="18"/>
      <c r="E220" s="19" t="s">
        <v>556</v>
      </c>
    </row>
    <row r="221" spans="1:5">
      <c r="A221" s="103"/>
      <c r="B221" s="3" t="s">
        <v>233</v>
      </c>
      <c r="C221" s="33" t="s">
        <v>234</v>
      </c>
      <c r="D221" s="18"/>
      <c r="E221" s="19" t="s">
        <v>557</v>
      </c>
    </row>
    <row r="222" spans="1:5">
      <c r="A222" s="103"/>
      <c r="B222" s="3" t="s">
        <v>234</v>
      </c>
      <c r="C222" s="33" t="s">
        <v>233</v>
      </c>
      <c r="D222" s="18"/>
      <c r="E222" s="19" t="s">
        <v>558</v>
      </c>
    </row>
    <row r="223" spans="1:5">
      <c r="A223" s="103"/>
      <c r="B223" s="3" t="s">
        <v>235</v>
      </c>
      <c r="C223" s="33" t="s">
        <v>229</v>
      </c>
      <c r="D223" s="18"/>
      <c r="E223" s="19" t="s">
        <v>559</v>
      </c>
    </row>
    <row r="224" spans="1:5">
      <c r="A224" s="103"/>
      <c r="B224" s="3" t="s">
        <v>236</v>
      </c>
      <c r="C224" s="33" t="s">
        <v>235</v>
      </c>
      <c r="D224" s="18"/>
      <c r="E224" s="19" t="s">
        <v>560</v>
      </c>
    </row>
    <row r="225" spans="1:7">
      <c r="A225" s="103" t="s">
        <v>22</v>
      </c>
      <c r="B225" s="3" t="s">
        <v>237</v>
      </c>
      <c r="C225" s="33" t="s">
        <v>237</v>
      </c>
      <c r="D225" s="18"/>
      <c r="E225" s="19" t="s">
        <v>561</v>
      </c>
    </row>
    <row r="226" spans="1:7" ht="29.25">
      <c r="A226" s="103"/>
      <c r="B226" s="3" t="s">
        <v>238</v>
      </c>
      <c r="C226" s="33" t="s">
        <v>238</v>
      </c>
      <c r="D226" s="18" t="s">
        <v>825</v>
      </c>
      <c r="E226" s="19" t="s">
        <v>562</v>
      </c>
      <c r="F226" s="3">
        <f>500+140</f>
        <v>640</v>
      </c>
      <c r="G226" s="9">
        <v>1</v>
      </c>
    </row>
    <row r="227" spans="1:7">
      <c r="A227" s="103" t="s">
        <v>23</v>
      </c>
      <c r="B227" s="3" t="s">
        <v>239</v>
      </c>
      <c r="C227" s="33" t="s">
        <v>241</v>
      </c>
      <c r="D227" s="18"/>
      <c r="E227" s="19" t="s">
        <v>563</v>
      </c>
    </row>
    <row r="228" spans="1:7">
      <c r="A228" s="103"/>
      <c r="B228" s="3" t="s">
        <v>240</v>
      </c>
      <c r="C228" s="33" t="s">
        <v>239</v>
      </c>
      <c r="D228" s="18"/>
      <c r="E228" s="19" t="s">
        <v>564</v>
      </c>
    </row>
    <row r="229" spans="1:7">
      <c r="A229" s="103"/>
      <c r="B229" s="3" t="s">
        <v>241</v>
      </c>
      <c r="C229" s="33" t="s">
        <v>242</v>
      </c>
      <c r="D229" s="18"/>
      <c r="E229" s="19" t="s">
        <v>565</v>
      </c>
    </row>
    <row r="230" spans="1:7">
      <c r="A230" s="103"/>
      <c r="B230" s="3" t="s">
        <v>242</v>
      </c>
      <c r="C230" s="33" t="s">
        <v>240</v>
      </c>
      <c r="D230" s="18"/>
      <c r="E230" s="19" t="s">
        <v>566</v>
      </c>
    </row>
    <row r="231" spans="1:7">
      <c r="A231" s="103" t="s">
        <v>24</v>
      </c>
      <c r="B231" s="3" t="s">
        <v>243</v>
      </c>
      <c r="C231" s="33" t="s">
        <v>243</v>
      </c>
      <c r="D231" s="18"/>
      <c r="E231" s="19" t="s">
        <v>567</v>
      </c>
    </row>
    <row r="232" spans="1:7">
      <c r="A232" s="103"/>
      <c r="B232" s="3" t="s">
        <v>244</v>
      </c>
      <c r="C232" s="33" t="s">
        <v>245</v>
      </c>
      <c r="D232" s="18"/>
      <c r="E232" s="19" t="s">
        <v>568</v>
      </c>
    </row>
    <row r="233" spans="1:7">
      <c r="A233" s="103"/>
      <c r="B233" s="3" t="s">
        <v>245</v>
      </c>
      <c r="C233" s="33" t="s">
        <v>244</v>
      </c>
      <c r="D233" s="18"/>
      <c r="E233" s="19" t="s">
        <v>569</v>
      </c>
    </row>
    <row r="234" spans="1:7">
      <c r="A234" s="103"/>
      <c r="B234" s="3" t="s">
        <v>246</v>
      </c>
      <c r="C234" s="33" t="s">
        <v>246</v>
      </c>
      <c r="D234" s="18" t="s">
        <v>810</v>
      </c>
      <c r="E234" s="19" t="s">
        <v>570</v>
      </c>
      <c r="F234" s="3">
        <v>1300</v>
      </c>
      <c r="G234" s="9">
        <v>1</v>
      </c>
    </row>
    <row r="235" spans="1:7">
      <c r="A235" s="103"/>
      <c r="C235" s="33" t="s">
        <v>571</v>
      </c>
      <c r="D235" s="18"/>
      <c r="E235" s="19" t="s">
        <v>572</v>
      </c>
    </row>
    <row r="236" spans="1:7">
      <c r="A236" s="103" t="s">
        <v>25</v>
      </c>
      <c r="B236" s="3" t="s">
        <v>247</v>
      </c>
      <c r="C236" s="33" t="s">
        <v>247</v>
      </c>
      <c r="D236" s="18"/>
      <c r="E236" s="19" t="s">
        <v>573</v>
      </c>
    </row>
    <row r="237" spans="1:7">
      <c r="A237" s="103"/>
      <c r="B237" s="3" t="s">
        <v>248</v>
      </c>
      <c r="C237" s="33" t="s">
        <v>248</v>
      </c>
      <c r="D237" s="18"/>
      <c r="E237" s="19" t="s">
        <v>574</v>
      </c>
    </row>
    <row r="238" spans="1:7">
      <c r="A238" s="103"/>
      <c r="B238" s="3" t="s">
        <v>249</v>
      </c>
      <c r="C238" s="33" t="s">
        <v>252</v>
      </c>
      <c r="D238" s="18"/>
      <c r="E238" s="19" t="s">
        <v>575</v>
      </c>
    </row>
    <row r="239" spans="1:7">
      <c r="A239" s="103"/>
      <c r="B239" s="3" t="s">
        <v>250</v>
      </c>
      <c r="C239" s="33" t="s">
        <v>254</v>
      </c>
      <c r="D239" s="18"/>
      <c r="E239" s="19" t="s">
        <v>576</v>
      </c>
    </row>
    <row r="240" spans="1:7">
      <c r="A240" s="103"/>
      <c r="B240" s="3" t="s">
        <v>251</v>
      </c>
      <c r="C240" s="33" t="s">
        <v>251</v>
      </c>
      <c r="D240" s="36"/>
      <c r="E240" s="19" t="s">
        <v>577</v>
      </c>
    </row>
    <row r="241" spans="1:7" ht="29.25">
      <c r="A241" s="103"/>
      <c r="B241" s="3" t="s">
        <v>252</v>
      </c>
      <c r="C241" s="33" t="s">
        <v>253</v>
      </c>
      <c r="D241" s="18" t="s">
        <v>829</v>
      </c>
      <c r="E241" s="19" t="s">
        <v>578</v>
      </c>
      <c r="F241" s="3">
        <f>500+200</f>
        <v>700</v>
      </c>
      <c r="G241" s="9">
        <v>1</v>
      </c>
    </row>
    <row r="242" spans="1:7">
      <c r="A242" s="103"/>
      <c r="B242" s="3" t="s">
        <v>253</v>
      </c>
      <c r="C242" s="33" t="s">
        <v>250</v>
      </c>
      <c r="D242" s="18"/>
      <c r="E242" s="19" t="s">
        <v>579</v>
      </c>
    </row>
    <row r="243" spans="1:7">
      <c r="A243" s="103"/>
      <c r="B243" s="3" t="s">
        <v>254</v>
      </c>
      <c r="C243" s="33" t="s">
        <v>249</v>
      </c>
      <c r="D243" s="18"/>
      <c r="E243" s="19" t="s">
        <v>580</v>
      </c>
    </row>
    <row r="244" spans="1:7">
      <c r="A244" s="103" t="s">
        <v>26</v>
      </c>
      <c r="B244" s="3" t="s">
        <v>255</v>
      </c>
      <c r="C244" s="33" t="s">
        <v>294</v>
      </c>
      <c r="D244" s="36"/>
      <c r="E244" s="19" t="s">
        <v>581</v>
      </c>
    </row>
    <row r="245" spans="1:7" ht="29.25">
      <c r="A245" s="103"/>
      <c r="B245" s="3" t="s">
        <v>256</v>
      </c>
      <c r="C245" s="33" t="s">
        <v>268</v>
      </c>
      <c r="D245" s="18"/>
      <c r="E245" s="19" t="s">
        <v>582</v>
      </c>
    </row>
    <row r="246" spans="1:7">
      <c r="A246" s="103"/>
      <c r="B246" s="3" t="s">
        <v>257</v>
      </c>
      <c r="C246" s="33" t="s">
        <v>280</v>
      </c>
      <c r="D246" s="18"/>
      <c r="E246" s="19" t="s">
        <v>583</v>
      </c>
    </row>
    <row r="247" spans="1:7">
      <c r="A247" s="103"/>
      <c r="B247" s="3" t="s">
        <v>258</v>
      </c>
      <c r="C247" s="33" t="s">
        <v>270</v>
      </c>
      <c r="D247" s="18"/>
      <c r="E247" s="19" t="s">
        <v>584</v>
      </c>
    </row>
    <row r="248" spans="1:7">
      <c r="A248" s="103"/>
      <c r="B248" s="3" t="s">
        <v>259</v>
      </c>
      <c r="C248" s="33" t="s">
        <v>285</v>
      </c>
      <c r="D248" s="18"/>
      <c r="E248" s="19" t="s">
        <v>585</v>
      </c>
    </row>
    <row r="249" spans="1:7">
      <c r="A249" s="103"/>
      <c r="B249" s="3" t="s">
        <v>260</v>
      </c>
      <c r="C249" s="33" t="s">
        <v>264</v>
      </c>
      <c r="D249" s="18"/>
      <c r="E249" s="19" t="s">
        <v>586</v>
      </c>
    </row>
    <row r="250" spans="1:7">
      <c r="A250" s="103"/>
      <c r="B250" s="3" t="s">
        <v>261</v>
      </c>
      <c r="C250" s="33" t="s">
        <v>269</v>
      </c>
      <c r="D250" s="18"/>
      <c r="E250" s="19" t="s">
        <v>587</v>
      </c>
    </row>
    <row r="251" spans="1:7" ht="29.25">
      <c r="A251" s="103"/>
      <c r="B251" s="3" t="s">
        <v>262</v>
      </c>
      <c r="C251" s="33" t="s">
        <v>277</v>
      </c>
      <c r="D251" s="18"/>
      <c r="E251" s="19" t="s">
        <v>588</v>
      </c>
    </row>
    <row r="252" spans="1:7">
      <c r="A252" s="103"/>
      <c r="B252" s="3" t="s">
        <v>263</v>
      </c>
      <c r="C252" s="33" t="s">
        <v>295</v>
      </c>
      <c r="D252" s="18"/>
      <c r="E252" s="19" t="s">
        <v>589</v>
      </c>
    </row>
    <row r="253" spans="1:7" ht="43.5">
      <c r="A253" s="103"/>
      <c r="B253" s="3" t="s">
        <v>264</v>
      </c>
      <c r="C253" s="33" t="s">
        <v>266</v>
      </c>
      <c r="D253" s="18" t="s">
        <v>830</v>
      </c>
      <c r="E253" s="19" t="s">
        <v>590</v>
      </c>
      <c r="F253" s="3">
        <f>1220+150+500</f>
        <v>1870</v>
      </c>
      <c r="G253" s="9">
        <v>1</v>
      </c>
    </row>
    <row r="254" spans="1:7">
      <c r="A254" s="103"/>
      <c r="B254" s="3" t="s">
        <v>265</v>
      </c>
      <c r="C254" s="33" t="s">
        <v>263</v>
      </c>
      <c r="E254" s="19" t="s">
        <v>591</v>
      </c>
    </row>
    <row r="255" spans="1:7">
      <c r="A255" s="103"/>
      <c r="B255" s="3" t="s">
        <v>266</v>
      </c>
      <c r="C255" s="33" t="s">
        <v>279</v>
      </c>
      <c r="D255" s="18"/>
      <c r="E255" s="19" t="s">
        <v>592</v>
      </c>
    </row>
    <row r="256" spans="1:7" ht="29.25">
      <c r="A256" s="103"/>
      <c r="B256" s="3" t="s">
        <v>267</v>
      </c>
      <c r="C256" s="33" t="s">
        <v>272</v>
      </c>
      <c r="D256" s="18"/>
      <c r="E256" s="19" t="s">
        <v>593</v>
      </c>
    </row>
    <row r="257" spans="1:5">
      <c r="A257" s="103"/>
      <c r="B257" s="3" t="s">
        <v>268</v>
      </c>
      <c r="C257" s="33" t="s">
        <v>271</v>
      </c>
      <c r="D257" s="18"/>
      <c r="E257" s="19" t="s">
        <v>594</v>
      </c>
    </row>
    <row r="258" spans="1:5" ht="29.25">
      <c r="A258" s="103"/>
      <c r="B258" s="3" t="s">
        <v>269</v>
      </c>
      <c r="C258" s="33" t="s">
        <v>275</v>
      </c>
      <c r="D258" s="18"/>
      <c r="E258" s="19" t="s">
        <v>595</v>
      </c>
    </row>
    <row r="259" spans="1:5">
      <c r="A259" s="103"/>
      <c r="B259" s="3" t="s">
        <v>270</v>
      </c>
      <c r="C259" s="33" t="s">
        <v>267</v>
      </c>
      <c r="D259" s="18"/>
      <c r="E259" s="19" t="s">
        <v>596</v>
      </c>
    </row>
    <row r="260" spans="1:5">
      <c r="A260" s="103"/>
      <c r="B260" s="3" t="s">
        <v>271</v>
      </c>
      <c r="C260" s="33" t="s">
        <v>274</v>
      </c>
      <c r="D260" s="18"/>
      <c r="E260" s="19" t="s">
        <v>597</v>
      </c>
    </row>
    <row r="261" spans="1:5">
      <c r="A261" s="103"/>
      <c r="B261" s="3" t="s">
        <v>272</v>
      </c>
      <c r="C261" s="33" t="s">
        <v>282</v>
      </c>
      <c r="D261" s="18"/>
      <c r="E261" s="19" t="s">
        <v>598</v>
      </c>
    </row>
    <row r="262" spans="1:5">
      <c r="A262" s="103"/>
      <c r="B262" s="3" t="s">
        <v>273</v>
      </c>
      <c r="C262" s="33" t="s">
        <v>287</v>
      </c>
      <c r="D262" s="18"/>
      <c r="E262" s="19" t="s">
        <v>599</v>
      </c>
    </row>
    <row r="263" spans="1:5">
      <c r="A263" s="103"/>
      <c r="B263" s="3" t="s">
        <v>274</v>
      </c>
      <c r="C263" s="33" t="s">
        <v>265</v>
      </c>
      <c r="D263" s="18"/>
      <c r="E263" s="19" t="s">
        <v>600</v>
      </c>
    </row>
    <row r="264" spans="1:5">
      <c r="A264" s="103"/>
      <c r="B264" s="3" t="s">
        <v>275</v>
      </c>
      <c r="C264" s="33" t="s">
        <v>293</v>
      </c>
      <c r="D264" s="18"/>
      <c r="E264" s="19" t="s">
        <v>601</v>
      </c>
    </row>
    <row r="265" spans="1:5">
      <c r="A265" s="103"/>
      <c r="B265" s="3" t="s">
        <v>276</v>
      </c>
      <c r="C265" s="33" t="s">
        <v>292</v>
      </c>
      <c r="D265" s="18"/>
      <c r="E265" s="19" t="s">
        <v>602</v>
      </c>
    </row>
    <row r="266" spans="1:5" ht="29.25">
      <c r="A266" s="103"/>
      <c r="B266" s="3" t="s">
        <v>277</v>
      </c>
      <c r="C266" s="33" t="s">
        <v>291</v>
      </c>
      <c r="D266" s="18"/>
      <c r="E266" s="19" t="s">
        <v>603</v>
      </c>
    </row>
    <row r="267" spans="1:5">
      <c r="A267" s="103"/>
      <c r="B267" s="3" t="s">
        <v>278</v>
      </c>
      <c r="C267" s="33" t="s">
        <v>290</v>
      </c>
      <c r="D267" s="18"/>
      <c r="E267" s="19" t="s">
        <v>604</v>
      </c>
    </row>
    <row r="268" spans="1:5" ht="29.25">
      <c r="A268" s="103"/>
      <c r="B268" s="3" t="s">
        <v>279</v>
      </c>
      <c r="C268" s="33" t="s">
        <v>289</v>
      </c>
      <c r="D268" s="18"/>
      <c r="E268" s="19" t="s">
        <v>605</v>
      </c>
    </row>
    <row r="269" spans="1:5" ht="29.25">
      <c r="A269" s="103"/>
      <c r="B269" s="3" t="s">
        <v>280</v>
      </c>
      <c r="C269" s="33" t="s">
        <v>286</v>
      </c>
      <c r="D269" s="18"/>
      <c r="E269" s="19" t="s">
        <v>606</v>
      </c>
    </row>
    <row r="270" spans="1:5">
      <c r="A270" s="103"/>
      <c r="B270" s="3" t="s">
        <v>281</v>
      </c>
      <c r="C270" s="33" t="s">
        <v>283</v>
      </c>
      <c r="D270" s="18"/>
      <c r="E270" s="19" t="s">
        <v>607</v>
      </c>
    </row>
    <row r="271" spans="1:5">
      <c r="A271" s="103"/>
      <c r="B271" s="3" t="s">
        <v>282</v>
      </c>
      <c r="C271" s="33" t="s">
        <v>276</v>
      </c>
      <c r="D271" s="18"/>
      <c r="E271" s="19" t="s">
        <v>608</v>
      </c>
    </row>
    <row r="272" spans="1:5">
      <c r="A272" s="103"/>
      <c r="B272" s="3" t="s">
        <v>283</v>
      </c>
      <c r="C272" s="33" t="s">
        <v>273</v>
      </c>
      <c r="D272" s="18"/>
      <c r="E272" s="19" t="s">
        <v>609</v>
      </c>
    </row>
    <row r="273" spans="1:5" ht="29.25">
      <c r="A273" s="103"/>
      <c r="B273" s="3" t="s">
        <v>284</v>
      </c>
      <c r="C273" s="33" t="s">
        <v>288</v>
      </c>
      <c r="D273" s="18"/>
      <c r="E273" s="19" t="s">
        <v>610</v>
      </c>
    </row>
    <row r="274" spans="1:5">
      <c r="A274" s="103"/>
      <c r="B274" s="3" t="s">
        <v>285</v>
      </c>
      <c r="C274" s="33" t="s">
        <v>284</v>
      </c>
      <c r="D274" s="18"/>
      <c r="E274" s="19" t="s">
        <v>611</v>
      </c>
    </row>
    <row r="275" spans="1:5">
      <c r="A275" s="103"/>
      <c r="B275" s="3" t="s">
        <v>286</v>
      </c>
      <c r="C275" s="33" t="s">
        <v>281</v>
      </c>
      <c r="D275" s="18"/>
      <c r="E275" s="19" t="s">
        <v>612</v>
      </c>
    </row>
    <row r="276" spans="1:5">
      <c r="A276" s="103"/>
      <c r="B276" s="3" t="s">
        <v>287</v>
      </c>
      <c r="C276" s="33" t="s">
        <v>278</v>
      </c>
      <c r="D276" s="18"/>
      <c r="E276" s="19" t="s">
        <v>613</v>
      </c>
    </row>
    <row r="277" spans="1:5">
      <c r="A277" s="103"/>
      <c r="B277" s="3" t="s">
        <v>288</v>
      </c>
      <c r="C277" s="33" t="s">
        <v>255</v>
      </c>
      <c r="D277" s="18"/>
      <c r="E277" s="19" t="s">
        <v>614</v>
      </c>
    </row>
    <row r="278" spans="1:5">
      <c r="A278" s="103"/>
      <c r="B278" s="3" t="s">
        <v>289</v>
      </c>
      <c r="C278" s="33" t="s">
        <v>256</v>
      </c>
      <c r="D278" s="18"/>
      <c r="E278" s="19" t="s">
        <v>615</v>
      </c>
    </row>
    <row r="279" spans="1:5">
      <c r="A279" s="103"/>
      <c r="B279" s="3" t="s">
        <v>290</v>
      </c>
      <c r="C279" s="33" t="s">
        <v>261</v>
      </c>
      <c r="D279" s="18"/>
      <c r="E279" s="19" t="s">
        <v>616</v>
      </c>
    </row>
    <row r="280" spans="1:5">
      <c r="A280" s="103"/>
      <c r="B280" s="3" t="s">
        <v>291</v>
      </c>
      <c r="C280" s="33" t="s">
        <v>259</v>
      </c>
      <c r="D280" s="18"/>
      <c r="E280" s="19" t="s">
        <v>617</v>
      </c>
    </row>
    <row r="281" spans="1:5">
      <c r="A281" s="103"/>
      <c r="B281" s="3" t="s">
        <v>292</v>
      </c>
      <c r="C281" s="33" t="s">
        <v>260</v>
      </c>
      <c r="D281" s="35"/>
      <c r="E281" s="19" t="s">
        <v>618</v>
      </c>
    </row>
    <row r="282" spans="1:5">
      <c r="A282" s="103"/>
      <c r="B282" s="3" t="s">
        <v>293</v>
      </c>
      <c r="C282" s="33" t="s">
        <v>258</v>
      </c>
      <c r="D282" s="18"/>
      <c r="E282" s="19" t="s">
        <v>619</v>
      </c>
    </row>
    <row r="283" spans="1:5">
      <c r="A283" s="103"/>
      <c r="B283" s="3" t="s">
        <v>294</v>
      </c>
      <c r="C283" s="33" t="s">
        <v>257</v>
      </c>
      <c r="D283" s="18"/>
      <c r="E283" s="19" t="s">
        <v>620</v>
      </c>
    </row>
    <row r="284" spans="1:5">
      <c r="A284" s="103"/>
      <c r="B284" s="3" t="s">
        <v>295</v>
      </c>
      <c r="C284" s="33" t="s">
        <v>262</v>
      </c>
      <c r="D284" s="18"/>
      <c r="E284" s="19" t="s">
        <v>621</v>
      </c>
    </row>
    <row r="285" spans="1:5">
      <c r="A285" s="103" t="s">
        <v>27</v>
      </c>
      <c r="B285" s="3" t="s">
        <v>296</v>
      </c>
      <c r="C285" s="24" t="s">
        <v>298</v>
      </c>
      <c r="E285" s="22" t="s">
        <v>630</v>
      </c>
    </row>
    <row r="286" spans="1:5">
      <c r="A286" s="103"/>
      <c r="B286" s="3" t="s">
        <v>297</v>
      </c>
      <c r="C286" s="22" t="s">
        <v>297</v>
      </c>
      <c r="E286" s="22" t="s">
        <v>631</v>
      </c>
    </row>
    <row r="287" spans="1:5">
      <c r="A287" s="103"/>
      <c r="B287" s="3" t="s">
        <v>298</v>
      </c>
      <c r="C287" s="22" t="s">
        <v>299</v>
      </c>
      <c r="E287" s="22" t="s">
        <v>632</v>
      </c>
    </row>
    <row r="288" spans="1:5">
      <c r="A288" s="103"/>
      <c r="B288" s="3" t="s">
        <v>299</v>
      </c>
      <c r="C288" s="33" t="s">
        <v>626</v>
      </c>
      <c r="E288" s="22" t="s">
        <v>633</v>
      </c>
    </row>
    <row r="289" spans="1:5">
      <c r="A289" s="103"/>
      <c r="B289" s="3" t="s">
        <v>300</v>
      </c>
      <c r="C289" s="24" t="s">
        <v>627</v>
      </c>
      <c r="E289" s="22" t="s">
        <v>634</v>
      </c>
    </row>
    <row r="290" spans="1:5">
      <c r="A290" s="103"/>
      <c r="B290" s="3" t="s">
        <v>301</v>
      </c>
      <c r="C290" s="24" t="s">
        <v>628</v>
      </c>
      <c r="E290" s="22" t="s">
        <v>635</v>
      </c>
    </row>
    <row r="291" spans="1:5">
      <c r="A291" s="103"/>
      <c r="B291" s="3" t="s">
        <v>302</v>
      </c>
      <c r="C291" s="24" t="s">
        <v>629</v>
      </c>
      <c r="E291" s="22" t="s">
        <v>636</v>
      </c>
    </row>
    <row r="292" spans="1:5">
      <c r="A292" s="103" t="s">
        <v>637</v>
      </c>
      <c r="B292" s="3" t="s">
        <v>303</v>
      </c>
      <c r="C292" s="24" t="s">
        <v>305</v>
      </c>
      <c r="D292" s="23"/>
      <c r="E292" s="24" t="s">
        <v>638</v>
      </c>
    </row>
    <row r="293" spans="1:5">
      <c r="A293" s="103"/>
      <c r="B293" s="3" t="s">
        <v>304</v>
      </c>
      <c r="C293" s="24" t="s">
        <v>307</v>
      </c>
      <c r="D293" s="23"/>
      <c r="E293" s="24" t="s">
        <v>639</v>
      </c>
    </row>
    <row r="294" spans="1:5">
      <c r="A294" s="103"/>
      <c r="B294" s="3" t="s">
        <v>305</v>
      </c>
      <c r="C294" s="24" t="s">
        <v>309</v>
      </c>
      <c r="D294" s="23"/>
      <c r="E294" s="24" t="s">
        <v>640</v>
      </c>
    </row>
    <row r="295" spans="1:5">
      <c r="A295" s="103"/>
      <c r="B295" s="3" t="s">
        <v>306</v>
      </c>
      <c r="C295" s="24" t="s">
        <v>303</v>
      </c>
      <c r="D295" s="23"/>
      <c r="E295" s="24" t="s">
        <v>641</v>
      </c>
    </row>
    <row r="296" spans="1:5">
      <c r="A296" s="103"/>
      <c r="B296" s="3" t="s">
        <v>307</v>
      </c>
      <c r="C296" s="24" t="s">
        <v>308</v>
      </c>
      <c r="D296" s="23"/>
      <c r="E296" s="24" t="s">
        <v>642</v>
      </c>
    </row>
    <row r="297" spans="1:5">
      <c r="A297" s="103"/>
      <c r="B297" s="3" t="s">
        <v>308</v>
      </c>
      <c r="C297" s="24" t="s">
        <v>304</v>
      </c>
      <c r="D297" s="23"/>
      <c r="E297" s="24" t="s">
        <v>643</v>
      </c>
    </row>
    <row r="298" spans="1:5">
      <c r="A298" s="103"/>
      <c r="B298" s="3" t="s">
        <v>309</v>
      </c>
      <c r="C298" s="24" t="s">
        <v>306</v>
      </c>
      <c r="D298" s="23"/>
      <c r="E298" s="24" t="s">
        <v>644</v>
      </c>
    </row>
    <row r="299" spans="1:5">
      <c r="A299" s="29" t="s">
        <v>28</v>
      </c>
      <c r="B299" s="3" t="s">
        <v>310</v>
      </c>
      <c r="C299" s="37" t="s">
        <v>310</v>
      </c>
      <c r="D299" s="38"/>
      <c r="E299" s="37" t="s">
        <v>645</v>
      </c>
    </row>
    <row r="300" spans="1:5">
      <c r="A300" s="27" t="s">
        <v>29</v>
      </c>
      <c r="B300" s="3" t="s">
        <v>311</v>
      </c>
      <c r="C300" s="22" t="s">
        <v>311</v>
      </c>
      <c r="D300" s="19"/>
      <c r="E300" s="19" t="s">
        <v>646</v>
      </c>
    </row>
    <row r="301" spans="1:5">
      <c r="A301" s="103" t="s">
        <v>30</v>
      </c>
      <c r="B301" s="3" t="s">
        <v>35</v>
      </c>
      <c r="C301" s="22" t="s">
        <v>33</v>
      </c>
      <c r="D301" s="19"/>
      <c r="E301" s="22" t="s">
        <v>647</v>
      </c>
    </row>
    <row r="302" spans="1:5">
      <c r="A302" s="103"/>
      <c r="B302" s="3" t="s">
        <v>34</v>
      </c>
      <c r="C302" s="22" t="s">
        <v>34</v>
      </c>
      <c r="D302" s="19"/>
      <c r="E302" s="22" t="s">
        <v>648</v>
      </c>
    </row>
    <row r="303" spans="1:5">
      <c r="A303" s="103"/>
      <c r="B303" s="3" t="s">
        <v>33</v>
      </c>
      <c r="C303" s="22" t="s">
        <v>35</v>
      </c>
      <c r="D303" s="19"/>
      <c r="E303" s="22" t="s">
        <v>649</v>
      </c>
    </row>
    <row r="304" spans="1:5">
      <c r="A304" s="103" t="s">
        <v>31</v>
      </c>
      <c r="B304" s="3" t="s">
        <v>312</v>
      </c>
      <c r="C304" s="22" t="s">
        <v>315</v>
      </c>
      <c r="D304" s="19"/>
      <c r="E304" s="22" t="s">
        <v>650</v>
      </c>
    </row>
    <row r="305" spans="1:5">
      <c r="A305" s="103"/>
      <c r="B305" s="3" t="s">
        <v>313</v>
      </c>
      <c r="C305" s="22" t="s">
        <v>314</v>
      </c>
      <c r="D305" s="19"/>
      <c r="E305" s="22" t="s">
        <v>651</v>
      </c>
    </row>
    <row r="306" spans="1:5" ht="29.25">
      <c r="A306" s="103"/>
      <c r="B306" s="3" t="s">
        <v>314</v>
      </c>
      <c r="C306" s="22" t="s">
        <v>313</v>
      </c>
      <c r="D306" s="19"/>
      <c r="E306" s="19" t="s">
        <v>652</v>
      </c>
    </row>
    <row r="307" spans="1:5">
      <c r="A307" s="103"/>
      <c r="B307" s="3" t="s">
        <v>315</v>
      </c>
      <c r="C307" s="22" t="s">
        <v>312</v>
      </c>
      <c r="D307" s="19"/>
      <c r="E307" s="19" t="s">
        <v>653</v>
      </c>
    </row>
    <row r="308" spans="1:5">
      <c r="A308" s="29" t="s">
        <v>32</v>
      </c>
      <c r="B308" s="3" t="s">
        <v>316</v>
      </c>
      <c r="C308" s="39" t="s">
        <v>656</v>
      </c>
    </row>
    <row r="309" spans="1:5">
      <c r="A309" s="29" t="s">
        <v>655</v>
      </c>
      <c r="B309" s="3" t="s">
        <v>658</v>
      </c>
      <c r="C309" s="39" t="s">
        <v>658</v>
      </c>
      <c r="E309" s="3" t="s">
        <v>655</v>
      </c>
    </row>
    <row r="310" spans="1:5">
      <c r="A310" s="29" t="s">
        <v>654</v>
      </c>
      <c r="C310" s="39" t="s">
        <v>657</v>
      </c>
      <c r="E310" s="3" t="s">
        <v>654</v>
      </c>
    </row>
  </sheetData>
  <mergeCells count="27">
    <mergeCell ref="A71:A73"/>
    <mergeCell ref="A2:A12"/>
    <mergeCell ref="A13:A18"/>
    <mergeCell ref="A19:A26"/>
    <mergeCell ref="A27:A31"/>
    <mergeCell ref="A32:A69"/>
    <mergeCell ref="A217:A224"/>
    <mergeCell ref="A74:A86"/>
    <mergeCell ref="A87:A105"/>
    <mergeCell ref="A106:A132"/>
    <mergeCell ref="A133:A136"/>
    <mergeCell ref="A137:A157"/>
    <mergeCell ref="A160:A161"/>
    <mergeCell ref="A163:A170"/>
    <mergeCell ref="A172:A183"/>
    <mergeCell ref="A184:A192"/>
    <mergeCell ref="A193:A209"/>
    <mergeCell ref="A210:A216"/>
    <mergeCell ref="A292:A298"/>
    <mergeCell ref="A301:A303"/>
    <mergeCell ref="A304:A307"/>
    <mergeCell ref="A225:A226"/>
    <mergeCell ref="A227:A230"/>
    <mergeCell ref="A231:A235"/>
    <mergeCell ref="A236:A243"/>
    <mergeCell ref="A244:A284"/>
    <mergeCell ref="A285:A2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3"/>
  <sheetViews>
    <sheetView zoomScale="85" zoomScaleNormal="85" workbookViewId="0">
      <selection activeCell="F13" sqref="F13"/>
    </sheetView>
  </sheetViews>
  <sheetFormatPr baseColWidth="10" defaultColWidth="10.875" defaultRowHeight="15"/>
  <cols>
    <col min="1" max="1" width="19" style="3" bestFit="1" customWidth="1"/>
    <col min="2" max="2" width="13.5" style="3" hidden="1" customWidth="1"/>
    <col min="3" max="3" width="6.125" style="3" bestFit="1" customWidth="1"/>
    <col min="4" max="4" width="18.375" style="3" customWidth="1"/>
    <col min="5" max="5" width="29.875" style="3" bestFit="1" customWidth="1"/>
    <col min="6" max="6" width="23" style="3" customWidth="1"/>
    <col min="7" max="7" width="10.625" style="9" customWidth="1"/>
    <col min="8" max="8" width="23" style="3" bestFit="1" customWidth="1"/>
    <col min="9" max="9" width="16.875" style="3" bestFit="1" customWidth="1"/>
    <col min="10" max="10" width="20.625" style="3" bestFit="1" customWidth="1"/>
    <col min="11" max="16384" width="10.875" style="3"/>
  </cols>
  <sheetData>
    <row r="1" spans="1:15">
      <c r="A1" s="25" t="s">
        <v>0</v>
      </c>
      <c r="B1" s="25" t="s">
        <v>659</v>
      </c>
      <c r="C1" s="25" t="s">
        <v>1</v>
      </c>
      <c r="D1" s="25" t="s">
        <v>2</v>
      </c>
      <c r="E1" s="25" t="s">
        <v>660</v>
      </c>
      <c r="F1" s="25" t="s">
        <v>736</v>
      </c>
      <c r="G1" s="26" t="s">
        <v>956</v>
      </c>
      <c r="H1" s="25" t="s">
        <v>940</v>
      </c>
      <c r="I1" s="26" t="s">
        <v>955</v>
      </c>
      <c r="J1" s="1"/>
      <c r="L1" s="4"/>
      <c r="M1" s="4"/>
      <c r="N1" s="4"/>
      <c r="O1" s="4"/>
    </row>
    <row r="2" spans="1:15" ht="29.25">
      <c r="A2" s="103" t="s">
        <v>3</v>
      </c>
      <c r="B2" s="3" t="s">
        <v>37</v>
      </c>
      <c r="C2" s="33" t="s">
        <v>36</v>
      </c>
      <c r="D2" s="18"/>
      <c r="E2" s="19" t="s">
        <v>622</v>
      </c>
      <c r="I2" s="4"/>
      <c r="J2" s="4"/>
      <c r="K2" s="16"/>
      <c r="L2" s="4"/>
    </row>
    <row r="3" spans="1:15">
      <c r="A3" s="103"/>
      <c r="B3" s="3" t="s">
        <v>38</v>
      </c>
      <c r="C3" s="33" t="s">
        <v>46</v>
      </c>
      <c r="D3" s="18"/>
      <c r="E3" s="19" t="s">
        <v>317</v>
      </c>
      <c r="I3" s="20"/>
      <c r="J3" s="4"/>
      <c r="K3" s="16"/>
      <c r="L3" s="4"/>
    </row>
    <row r="4" spans="1:15">
      <c r="A4" s="103"/>
      <c r="B4" s="3" t="s">
        <v>39</v>
      </c>
      <c r="C4" s="33" t="s">
        <v>40</v>
      </c>
      <c r="D4" s="18"/>
      <c r="E4" s="19" t="s">
        <v>318</v>
      </c>
      <c r="I4" s="4"/>
      <c r="J4" s="4"/>
      <c r="K4" s="16"/>
      <c r="L4" s="4"/>
    </row>
    <row r="5" spans="1:15">
      <c r="A5" s="103"/>
      <c r="B5" s="3" t="s">
        <v>40</v>
      </c>
      <c r="C5" s="33" t="s">
        <v>44</v>
      </c>
      <c r="D5" s="18"/>
      <c r="E5" s="19" t="s">
        <v>319</v>
      </c>
      <c r="I5" s="4"/>
      <c r="J5" s="4"/>
      <c r="K5" s="16"/>
      <c r="L5" s="4"/>
    </row>
    <row r="6" spans="1:15">
      <c r="A6" s="103"/>
      <c r="B6" s="3" t="s">
        <v>41</v>
      </c>
      <c r="C6" s="33" t="s">
        <v>45</v>
      </c>
      <c r="D6" s="18"/>
      <c r="E6" s="19" t="s">
        <v>320</v>
      </c>
      <c r="I6" s="4"/>
      <c r="J6" s="4"/>
      <c r="K6" s="16"/>
      <c r="L6" s="4"/>
    </row>
    <row r="7" spans="1:15">
      <c r="A7" s="103"/>
      <c r="B7" s="3" t="s">
        <v>42</v>
      </c>
      <c r="C7" s="33" t="s">
        <v>37</v>
      </c>
      <c r="D7" s="18"/>
      <c r="E7" s="19" t="s">
        <v>321</v>
      </c>
      <c r="I7" s="4"/>
      <c r="J7" s="4"/>
      <c r="K7" s="16"/>
      <c r="L7" s="4"/>
    </row>
    <row r="8" spans="1:15">
      <c r="A8" s="103"/>
      <c r="B8" s="3" t="s">
        <v>43</v>
      </c>
      <c r="C8" s="33" t="s">
        <v>43</v>
      </c>
      <c r="D8" s="18"/>
      <c r="E8" s="19" t="s">
        <v>322</v>
      </c>
      <c r="I8" s="4"/>
      <c r="J8" s="4"/>
      <c r="K8" s="16"/>
      <c r="L8" s="4"/>
    </row>
    <row r="9" spans="1:15">
      <c r="A9" s="103"/>
      <c r="B9" s="3" t="s">
        <v>44</v>
      </c>
      <c r="C9" s="33" t="s">
        <v>42</v>
      </c>
      <c r="D9" s="18"/>
      <c r="E9" s="19" t="s">
        <v>323</v>
      </c>
      <c r="I9" s="4"/>
      <c r="J9" s="4"/>
      <c r="K9" s="16"/>
      <c r="L9" s="4"/>
    </row>
    <row r="10" spans="1:15">
      <c r="A10" s="103"/>
      <c r="B10" s="3" t="s">
        <v>45</v>
      </c>
      <c r="C10" s="33" t="s">
        <v>41</v>
      </c>
      <c r="D10" s="18"/>
      <c r="E10" s="19" t="s">
        <v>324</v>
      </c>
      <c r="I10" s="4"/>
      <c r="J10" s="4"/>
      <c r="K10" s="16"/>
      <c r="L10" s="4"/>
    </row>
    <row r="11" spans="1:15">
      <c r="A11" s="103"/>
      <c r="B11" s="3" t="s">
        <v>36</v>
      </c>
      <c r="C11" s="33" t="s">
        <v>39</v>
      </c>
      <c r="D11" s="18"/>
      <c r="E11" s="19" t="s">
        <v>325</v>
      </c>
      <c r="I11" s="4"/>
      <c r="J11" s="4"/>
      <c r="K11" s="16"/>
      <c r="L11" s="4"/>
    </row>
    <row r="12" spans="1:15">
      <c r="A12" s="103"/>
      <c r="B12" s="3" t="s">
        <v>46</v>
      </c>
      <c r="C12" s="33" t="s">
        <v>38</v>
      </c>
      <c r="D12" s="18"/>
      <c r="E12" s="19" t="s">
        <v>326</v>
      </c>
      <c r="I12" s="4"/>
      <c r="J12" s="4"/>
      <c r="K12" s="16"/>
      <c r="L12" s="4"/>
    </row>
    <row r="13" spans="1:15">
      <c r="A13" s="103" t="s">
        <v>4</v>
      </c>
      <c r="B13" s="3" t="s">
        <v>47</v>
      </c>
      <c r="C13" s="33" t="s">
        <v>47</v>
      </c>
      <c r="D13" s="18"/>
      <c r="E13" s="19" t="s">
        <v>327</v>
      </c>
      <c r="I13" s="4"/>
      <c r="J13" s="4"/>
      <c r="K13" s="16"/>
      <c r="L13" s="4"/>
    </row>
    <row r="14" spans="1:15">
      <c r="A14" s="103"/>
      <c r="B14" s="3" t="s">
        <v>48</v>
      </c>
      <c r="C14" s="33" t="s">
        <v>49</v>
      </c>
      <c r="D14" s="18"/>
      <c r="E14" s="19" t="s">
        <v>328</v>
      </c>
      <c r="I14" s="4"/>
      <c r="J14" s="4"/>
      <c r="K14" s="16"/>
      <c r="L14" s="4"/>
    </row>
    <row r="15" spans="1:15">
      <c r="A15" s="103"/>
      <c r="B15" s="3" t="s">
        <v>49</v>
      </c>
      <c r="C15" s="33" t="s">
        <v>50</v>
      </c>
      <c r="D15" s="18"/>
      <c r="E15" s="19" t="s">
        <v>329</v>
      </c>
      <c r="I15" s="4"/>
      <c r="J15" s="4"/>
      <c r="K15" s="16"/>
      <c r="L15" s="4"/>
    </row>
    <row r="16" spans="1:15">
      <c r="A16" s="103"/>
      <c r="B16" s="3" t="s">
        <v>50</v>
      </c>
      <c r="C16" s="33" t="s">
        <v>51</v>
      </c>
      <c r="D16" s="18"/>
      <c r="E16" s="19" t="s">
        <v>330</v>
      </c>
      <c r="I16" s="4"/>
      <c r="J16" s="4"/>
      <c r="K16" s="16"/>
      <c r="L16" s="4"/>
    </row>
    <row r="17" spans="1:12">
      <c r="A17" s="103"/>
      <c r="B17" s="3" t="s">
        <v>51</v>
      </c>
      <c r="C17" s="33" t="s">
        <v>52</v>
      </c>
      <c r="D17" s="18"/>
      <c r="E17" s="19" t="s">
        <v>331</v>
      </c>
      <c r="I17" s="4"/>
      <c r="J17" s="4"/>
      <c r="K17" s="16"/>
      <c r="L17" s="4"/>
    </row>
    <row r="18" spans="1:12">
      <c r="A18" s="103"/>
      <c r="B18" s="3" t="s">
        <v>52</v>
      </c>
      <c r="C18" s="33" t="s">
        <v>48</v>
      </c>
      <c r="D18" s="18"/>
      <c r="E18" s="19" t="s">
        <v>332</v>
      </c>
      <c r="I18" s="4"/>
      <c r="J18" s="4"/>
      <c r="K18" s="16"/>
      <c r="L18" s="4"/>
    </row>
    <row r="19" spans="1:12">
      <c r="A19" s="103" t="s">
        <v>5</v>
      </c>
      <c r="B19" s="3" t="s">
        <v>53</v>
      </c>
      <c r="C19" s="33" t="s">
        <v>54</v>
      </c>
      <c r="D19" s="18"/>
      <c r="E19" s="19" t="s">
        <v>333</v>
      </c>
      <c r="I19" s="4"/>
      <c r="J19" s="4"/>
      <c r="K19" s="16"/>
      <c r="L19" s="4"/>
    </row>
    <row r="20" spans="1:12">
      <c r="A20" s="103"/>
      <c r="B20" s="3" t="s">
        <v>54</v>
      </c>
      <c r="C20" s="33" t="s">
        <v>53</v>
      </c>
      <c r="D20" s="18"/>
      <c r="E20" s="19" t="s">
        <v>334</v>
      </c>
      <c r="I20" s="4"/>
      <c r="J20" s="4"/>
      <c r="K20" s="16"/>
      <c r="L20" s="4"/>
    </row>
    <row r="21" spans="1:12">
      <c r="A21" s="103"/>
      <c r="B21" s="3" t="s">
        <v>55</v>
      </c>
      <c r="C21" s="33" t="s">
        <v>60</v>
      </c>
      <c r="D21" s="18"/>
      <c r="E21" s="19" t="s">
        <v>335</v>
      </c>
      <c r="I21" s="4"/>
      <c r="J21" s="4"/>
      <c r="K21" s="16"/>
      <c r="L21" s="4"/>
    </row>
    <row r="22" spans="1:12">
      <c r="A22" s="103"/>
      <c r="B22" s="3" t="s">
        <v>56</v>
      </c>
      <c r="C22" s="33" t="s">
        <v>58</v>
      </c>
      <c r="D22" s="21"/>
      <c r="E22" s="19" t="s">
        <v>336</v>
      </c>
      <c r="I22" s="4"/>
      <c r="J22" s="4"/>
      <c r="K22" s="16"/>
      <c r="L22" s="4"/>
    </row>
    <row r="23" spans="1:12">
      <c r="A23" s="103"/>
      <c r="B23" s="3" t="s">
        <v>57</v>
      </c>
      <c r="C23" s="33" t="s">
        <v>57</v>
      </c>
      <c r="D23" s="18"/>
      <c r="E23" s="19" t="s">
        <v>337</v>
      </c>
      <c r="I23" s="4"/>
      <c r="J23" s="4"/>
      <c r="K23" s="16"/>
      <c r="L23" s="4"/>
    </row>
    <row r="24" spans="1:12">
      <c r="A24" s="103"/>
      <c r="B24" s="3" t="s">
        <v>58</v>
      </c>
      <c r="C24" s="33" t="s">
        <v>59</v>
      </c>
      <c r="D24" s="18"/>
      <c r="E24" s="19" t="s">
        <v>338</v>
      </c>
      <c r="I24" s="4"/>
      <c r="J24" s="4"/>
      <c r="K24" s="16"/>
      <c r="L24" s="4"/>
    </row>
    <row r="25" spans="1:12">
      <c r="A25" s="103"/>
      <c r="B25" s="3" t="s">
        <v>59</v>
      </c>
      <c r="C25" s="33" t="s">
        <v>55</v>
      </c>
      <c r="D25" s="18"/>
      <c r="E25" s="19" t="s">
        <v>339</v>
      </c>
      <c r="I25" s="4"/>
      <c r="J25" s="4"/>
      <c r="K25" s="16"/>
      <c r="L25" s="4"/>
    </row>
    <row r="26" spans="1:12">
      <c r="A26" s="103"/>
      <c r="B26" s="3" t="s">
        <v>60</v>
      </c>
      <c r="C26" s="33" t="s">
        <v>56</v>
      </c>
      <c r="D26" s="18"/>
      <c r="E26" s="19" t="s">
        <v>340</v>
      </c>
      <c r="I26" s="4"/>
      <c r="J26" s="4"/>
      <c r="K26" s="16"/>
      <c r="L26" s="4"/>
    </row>
    <row r="27" spans="1:12">
      <c r="A27" s="103" t="s">
        <v>6</v>
      </c>
      <c r="B27" s="3" t="s">
        <v>61</v>
      </c>
      <c r="C27" s="33" t="s">
        <v>64</v>
      </c>
      <c r="D27" s="18"/>
      <c r="E27" s="19" t="s">
        <v>341</v>
      </c>
      <c r="I27" s="4"/>
      <c r="J27" s="4"/>
      <c r="K27" s="16"/>
      <c r="L27" s="4"/>
    </row>
    <row r="28" spans="1:12">
      <c r="A28" s="103"/>
      <c r="B28" s="3" t="s">
        <v>62</v>
      </c>
      <c r="C28" s="33" t="s">
        <v>61</v>
      </c>
      <c r="D28" s="18"/>
      <c r="E28" s="19" t="s">
        <v>342</v>
      </c>
      <c r="I28" s="4"/>
      <c r="J28" s="4"/>
      <c r="K28" s="16"/>
      <c r="L28" s="4"/>
    </row>
    <row r="29" spans="1:12">
      <c r="A29" s="103"/>
      <c r="B29" s="3" t="s">
        <v>63</v>
      </c>
      <c r="C29" s="33" t="s">
        <v>63</v>
      </c>
      <c r="D29" s="18"/>
      <c r="E29" s="19" t="s">
        <v>343</v>
      </c>
      <c r="I29" s="4"/>
      <c r="J29" s="4"/>
      <c r="K29" s="16"/>
      <c r="L29" s="4"/>
    </row>
    <row r="30" spans="1:12">
      <c r="A30" s="103"/>
      <c r="B30" s="3" t="s">
        <v>64</v>
      </c>
      <c r="C30" s="33" t="s">
        <v>65</v>
      </c>
      <c r="D30" s="18"/>
      <c r="E30" s="19" t="s">
        <v>344</v>
      </c>
      <c r="I30" s="4"/>
      <c r="J30" s="4"/>
      <c r="K30" s="16"/>
      <c r="L30" s="4"/>
    </row>
    <row r="31" spans="1:12">
      <c r="A31" s="103"/>
      <c r="B31" s="3" t="s">
        <v>65</v>
      </c>
      <c r="C31" s="33" t="s">
        <v>62</v>
      </c>
      <c r="D31" s="18"/>
      <c r="E31" s="19" t="s">
        <v>345</v>
      </c>
      <c r="I31" s="4"/>
      <c r="J31" s="4"/>
      <c r="K31" s="16"/>
      <c r="L31" s="4"/>
    </row>
    <row r="32" spans="1:12" ht="31.5">
      <c r="A32" s="103" t="s">
        <v>7</v>
      </c>
      <c r="B32" s="3" t="s">
        <v>66</v>
      </c>
      <c r="C32" s="33" t="s">
        <v>101</v>
      </c>
      <c r="D32" s="101" t="s">
        <v>951</v>
      </c>
      <c r="E32" s="19" t="s">
        <v>346</v>
      </c>
      <c r="H32" s="3">
        <f>50+50</f>
        <v>100</v>
      </c>
      <c r="I32" s="102">
        <f>H32/SUM($H$32:$H$69)</f>
        <v>2.978850163836759E-2</v>
      </c>
      <c r="J32" s="4"/>
      <c r="K32" s="16"/>
      <c r="L32" s="4"/>
    </row>
    <row r="33" spans="1:12">
      <c r="A33" s="103"/>
      <c r="B33" s="3" t="s">
        <v>67</v>
      </c>
      <c r="C33" s="33" t="s">
        <v>102</v>
      </c>
      <c r="D33" s="18"/>
      <c r="E33" s="19" t="s">
        <v>347</v>
      </c>
      <c r="I33" s="4"/>
      <c r="J33" s="4"/>
      <c r="K33" s="16"/>
      <c r="L33" s="4"/>
    </row>
    <row r="34" spans="1:12" ht="78.75">
      <c r="A34" s="103"/>
      <c r="B34" s="3" t="s">
        <v>68</v>
      </c>
      <c r="C34" s="33" t="s">
        <v>103</v>
      </c>
      <c r="D34" s="101" t="s">
        <v>954</v>
      </c>
      <c r="E34" s="19" t="s">
        <v>348</v>
      </c>
      <c r="H34" s="3">
        <f>8+5+50+75+65</f>
        <v>203</v>
      </c>
      <c r="I34" s="102">
        <f>H34/SUM($H$32:$H$69)</f>
        <v>6.047065832588621E-2</v>
      </c>
      <c r="J34" s="4"/>
      <c r="K34" s="16"/>
      <c r="L34" s="4"/>
    </row>
    <row r="35" spans="1:12" ht="43.5">
      <c r="A35" s="103"/>
      <c r="B35" s="3" t="s">
        <v>69</v>
      </c>
      <c r="C35" s="33" t="s">
        <v>100</v>
      </c>
      <c r="D35" s="18" t="s">
        <v>948</v>
      </c>
      <c r="E35" s="19" t="s">
        <v>349</v>
      </c>
      <c r="H35" s="3">
        <f>23+6+75</f>
        <v>104</v>
      </c>
      <c r="I35" s="102">
        <f>H35/SUM($H$32:$H$69)</f>
        <v>3.0980041703902294E-2</v>
      </c>
      <c r="J35" s="4"/>
      <c r="K35" s="16"/>
      <c r="L35" s="4"/>
    </row>
    <row r="36" spans="1:12" ht="43.5">
      <c r="A36" s="103"/>
      <c r="B36" s="3" t="s">
        <v>70</v>
      </c>
      <c r="C36" s="33" t="s">
        <v>97</v>
      </c>
      <c r="D36" s="35" t="s">
        <v>952</v>
      </c>
      <c r="E36" s="19" t="s">
        <v>350</v>
      </c>
      <c r="H36" s="3">
        <f>4+10+130</f>
        <v>144</v>
      </c>
      <c r="I36" s="102">
        <f>H36/SUM($H$32:$H$69)</f>
        <v>4.2895442359249331E-2</v>
      </c>
      <c r="J36" s="4"/>
      <c r="K36" s="16"/>
      <c r="L36" s="4"/>
    </row>
    <row r="37" spans="1:12" ht="15.75">
      <c r="A37" s="103"/>
      <c r="B37" s="3" t="s">
        <v>71</v>
      </c>
      <c r="C37" s="33" t="s">
        <v>98</v>
      </c>
      <c r="D37" t="s">
        <v>945</v>
      </c>
      <c r="E37" s="19" t="s">
        <v>351</v>
      </c>
      <c r="H37" s="3">
        <v>69</v>
      </c>
      <c r="I37" s="102">
        <f>H37/SUM($H$32:$H$69)</f>
        <v>2.0554066130473638E-2</v>
      </c>
      <c r="J37" s="4"/>
      <c r="K37" s="16"/>
      <c r="L37" s="4"/>
    </row>
    <row r="38" spans="1:12">
      <c r="A38" s="103"/>
      <c r="B38" s="3" t="s">
        <v>72</v>
      </c>
      <c r="C38" s="33" t="s">
        <v>95</v>
      </c>
      <c r="D38" s="18"/>
      <c r="E38" s="19" t="s">
        <v>352</v>
      </c>
      <c r="I38" s="4"/>
      <c r="J38" s="4"/>
      <c r="K38" s="16"/>
      <c r="L38" s="4"/>
    </row>
    <row r="39" spans="1:12">
      <c r="A39" s="103"/>
      <c r="B39" s="3" t="s">
        <v>73</v>
      </c>
      <c r="C39" s="33" t="s">
        <v>96</v>
      </c>
      <c r="D39" s="18"/>
      <c r="E39" s="19" t="s">
        <v>353</v>
      </c>
      <c r="I39" s="4"/>
      <c r="J39" s="4"/>
      <c r="K39" s="16"/>
      <c r="L39" s="4"/>
    </row>
    <row r="40" spans="1:12">
      <c r="A40" s="103"/>
      <c r="B40" s="3" t="s">
        <v>74</v>
      </c>
      <c r="C40" s="33" t="s">
        <v>99</v>
      </c>
      <c r="D40" s="18"/>
      <c r="E40" s="19" t="s">
        <v>354</v>
      </c>
      <c r="I40" s="4"/>
      <c r="J40" s="4"/>
      <c r="K40" s="16"/>
      <c r="L40" s="4"/>
    </row>
    <row r="41" spans="1:12">
      <c r="A41" s="103"/>
      <c r="B41" s="3" t="s">
        <v>75</v>
      </c>
      <c r="C41" s="33" t="s">
        <v>93</v>
      </c>
      <c r="D41" s="18"/>
      <c r="E41" s="19" t="s">
        <v>355</v>
      </c>
      <c r="I41" s="4"/>
      <c r="J41" s="4"/>
      <c r="K41" s="16"/>
      <c r="L41" s="4"/>
    </row>
    <row r="42" spans="1:12" ht="47.25">
      <c r="A42" s="103"/>
      <c r="B42" s="3" t="s">
        <v>76</v>
      </c>
      <c r="C42" s="33" t="s">
        <v>94</v>
      </c>
      <c r="D42" s="101" t="s">
        <v>953</v>
      </c>
      <c r="E42" s="19" t="s">
        <v>356</v>
      </c>
      <c r="H42" s="3">
        <f>61+60+122</f>
        <v>243</v>
      </c>
      <c r="I42" s="102">
        <f>H42/SUM($H$32:$H$69)</f>
        <v>7.2386058981233251E-2</v>
      </c>
      <c r="J42" s="4"/>
      <c r="K42" s="16"/>
      <c r="L42" s="4"/>
    </row>
    <row r="43" spans="1:12">
      <c r="A43" s="103"/>
      <c r="B43" s="3" t="s">
        <v>77</v>
      </c>
      <c r="C43" s="33" t="s">
        <v>92</v>
      </c>
      <c r="D43" s="18" t="s">
        <v>357</v>
      </c>
      <c r="E43" s="19" t="s">
        <v>357</v>
      </c>
      <c r="H43" s="3">
        <v>90</v>
      </c>
      <c r="I43" s="102">
        <f>H43/SUM($H$32:$H$69)</f>
        <v>2.6809651474530832E-2</v>
      </c>
      <c r="J43" s="4"/>
      <c r="K43" s="16"/>
      <c r="L43" s="4"/>
    </row>
    <row r="44" spans="1:12">
      <c r="A44" s="103"/>
      <c r="B44" s="3" t="s">
        <v>78</v>
      </c>
      <c r="C44" s="33" t="s">
        <v>91</v>
      </c>
      <c r="D44" s="18"/>
      <c r="E44" s="19" t="s">
        <v>358</v>
      </c>
      <c r="I44" s="102"/>
      <c r="K44" s="17"/>
    </row>
    <row r="45" spans="1:12">
      <c r="A45" s="103"/>
      <c r="B45" s="3" t="s">
        <v>79</v>
      </c>
      <c r="C45" s="33" t="s">
        <v>90</v>
      </c>
      <c r="D45" s="18"/>
      <c r="E45" s="19" t="s">
        <v>359</v>
      </c>
      <c r="K45" s="17"/>
    </row>
    <row r="46" spans="1:12" ht="30">
      <c r="A46" s="103"/>
      <c r="B46" s="3" t="s">
        <v>80</v>
      </c>
      <c r="C46" s="33" t="s">
        <v>89</v>
      </c>
      <c r="D46" s="99" t="s">
        <v>944</v>
      </c>
      <c r="E46" s="19" t="s">
        <v>360</v>
      </c>
      <c r="F46" s="3">
        <v>135</v>
      </c>
      <c r="G46" s="9">
        <f>F46/(F46+F55)</f>
        <v>0.21394611727416799</v>
      </c>
      <c r="H46" s="3">
        <v>190</v>
      </c>
      <c r="I46" s="102">
        <f>H46/SUM($H$32:$H$69)</f>
        <v>5.6598153112898418E-2</v>
      </c>
      <c r="K46" s="17"/>
    </row>
    <row r="47" spans="1:12">
      <c r="A47" s="103"/>
      <c r="B47" s="3" t="s">
        <v>81</v>
      </c>
      <c r="C47" s="33" t="s">
        <v>88</v>
      </c>
      <c r="D47" s="18"/>
      <c r="E47" s="19" t="s">
        <v>361</v>
      </c>
      <c r="K47" s="17"/>
    </row>
    <row r="48" spans="1:12">
      <c r="A48" s="103"/>
      <c r="B48" s="3" t="s">
        <v>82</v>
      </c>
      <c r="C48" s="33" t="s">
        <v>87</v>
      </c>
      <c r="D48" s="18"/>
      <c r="E48" s="19" t="s">
        <v>362</v>
      </c>
      <c r="K48" s="17"/>
    </row>
    <row r="49" spans="1:11" ht="15.75">
      <c r="A49" s="103"/>
      <c r="B49" s="3" t="s">
        <v>83</v>
      </c>
      <c r="C49" s="33" t="s">
        <v>86</v>
      </c>
      <c r="D49" t="s">
        <v>941</v>
      </c>
      <c r="E49" s="19" t="s">
        <v>363</v>
      </c>
      <c r="H49" s="3">
        <v>60</v>
      </c>
      <c r="I49" s="102">
        <f>H49/SUM($H$32:$H$69)</f>
        <v>1.7873100983020553E-2</v>
      </c>
      <c r="K49" s="17"/>
    </row>
    <row r="50" spans="1:11">
      <c r="A50" s="103"/>
      <c r="B50" s="3" t="s">
        <v>84</v>
      </c>
      <c r="C50" s="33" t="s">
        <v>85</v>
      </c>
      <c r="D50" s="18"/>
      <c r="E50" s="19" t="s">
        <v>364</v>
      </c>
      <c r="K50" s="17"/>
    </row>
    <row r="51" spans="1:11" ht="15.75">
      <c r="A51" s="103"/>
      <c r="B51" s="3" t="s">
        <v>85</v>
      </c>
      <c r="C51" s="33" t="s">
        <v>84</v>
      </c>
      <c r="D51" s="101" t="s">
        <v>943</v>
      </c>
      <c r="E51" s="19" t="s">
        <v>365</v>
      </c>
      <c r="H51" s="3">
        <f>60</f>
        <v>60</v>
      </c>
      <c r="I51" s="102">
        <f>H51/SUM($H$32:$H$69)</f>
        <v>1.7873100983020553E-2</v>
      </c>
      <c r="K51" s="17"/>
    </row>
    <row r="52" spans="1:11" ht="15.75">
      <c r="A52" s="103"/>
      <c r="B52" s="3" t="s">
        <v>86</v>
      </c>
      <c r="C52" s="33" t="s">
        <v>83</v>
      </c>
      <c r="D52" t="s">
        <v>366</v>
      </c>
      <c r="E52" s="19" t="s">
        <v>366</v>
      </c>
      <c r="H52" s="3">
        <v>107</v>
      </c>
      <c r="I52" s="102">
        <f>H52/SUM($H$32:$H$69)</f>
        <v>3.1873696753053321E-2</v>
      </c>
      <c r="K52" s="17"/>
    </row>
    <row r="53" spans="1:11">
      <c r="A53" s="103"/>
      <c r="B53" s="3" t="s">
        <v>87</v>
      </c>
      <c r="C53" s="33" t="s">
        <v>82</v>
      </c>
      <c r="D53" s="18"/>
      <c r="E53" s="19" t="s">
        <v>367</v>
      </c>
      <c r="K53" s="17"/>
    </row>
    <row r="54" spans="1:11">
      <c r="A54" s="103"/>
      <c r="B54" s="3" t="s">
        <v>88</v>
      </c>
      <c r="C54" s="33" t="s">
        <v>81</v>
      </c>
      <c r="D54" s="18"/>
      <c r="E54" s="19" t="s">
        <v>368</v>
      </c>
      <c r="K54" s="17"/>
    </row>
    <row r="55" spans="1:11" ht="131.25">
      <c r="A55" s="103"/>
      <c r="B55" s="3" t="s">
        <v>89</v>
      </c>
      <c r="C55" s="33" t="s">
        <v>78</v>
      </c>
      <c r="D55" s="100" t="s">
        <v>949</v>
      </c>
      <c r="E55" s="19" t="s">
        <v>369</v>
      </c>
      <c r="F55" s="3">
        <f>230+170+96</f>
        <v>496</v>
      </c>
      <c r="G55" s="9">
        <f>F55/(F55+F46)</f>
        <v>0.78605388272583199</v>
      </c>
      <c r="H55" s="3">
        <f>50+160+25+8+22+230+50+400</f>
        <v>945</v>
      </c>
      <c r="I55" s="102">
        <f>H55/SUM($H$32:$H$69)</f>
        <v>0.28150134048257375</v>
      </c>
      <c r="K55" s="17"/>
    </row>
    <row r="56" spans="1:11">
      <c r="A56" s="103"/>
      <c r="B56" s="3" t="s">
        <v>90</v>
      </c>
      <c r="C56" s="33" t="s">
        <v>77</v>
      </c>
      <c r="D56" s="35"/>
      <c r="E56" s="19" t="s">
        <v>370</v>
      </c>
      <c r="K56" s="17"/>
    </row>
    <row r="57" spans="1:11" ht="15.75">
      <c r="A57" s="103"/>
      <c r="B57" s="3" t="s">
        <v>91</v>
      </c>
      <c r="C57" s="33" t="s">
        <v>76</v>
      </c>
      <c r="D57" t="s">
        <v>688</v>
      </c>
      <c r="E57" s="19" t="s">
        <v>371</v>
      </c>
      <c r="H57" s="3">
        <v>110</v>
      </c>
      <c r="I57" s="102">
        <f>H57/SUM($H$32:$H$69)</f>
        <v>3.2767351802204352E-2</v>
      </c>
      <c r="K57" s="17"/>
    </row>
    <row r="58" spans="1:11">
      <c r="A58" s="103"/>
      <c r="B58" s="3" t="s">
        <v>92</v>
      </c>
      <c r="C58" s="33" t="s">
        <v>79</v>
      </c>
      <c r="D58" s="18"/>
      <c r="E58" s="19" t="s">
        <v>372</v>
      </c>
      <c r="K58" s="17"/>
    </row>
    <row r="59" spans="1:11" ht="63">
      <c r="A59" s="103"/>
      <c r="B59" s="3" t="s">
        <v>93</v>
      </c>
      <c r="C59" s="33" t="s">
        <v>80</v>
      </c>
      <c r="D59" s="101" t="s">
        <v>946</v>
      </c>
      <c r="E59" s="19" t="s">
        <v>373</v>
      </c>
      <c r="H59" s="3">
        <f>28+13+30+50+80</f>
        <v>201</v>
      </c>
      <c r="I59" s="102">
        <f>H59/SUM($H$32:$H$69)</f>
        <v>5.9874888293118857E-2</v>
      </c>
      <c r="K59" s="17"/>
    </row>
    <row r="60" spans="1:11">
      <c r="A60" s="103"/>
      <c r="B60" s="3" t="s">
        <v>94</v>
      </c>
      <c r="C60" s="33" t="s">
        <v>75</v>
      </c>
      <c r="D60" s="18"/>
      <c r="E60" s="19" t="s">
        <v>374</v>
      </c>
      <c r="K60" s="17"/>
    </row>
    <row r="61" spans="1:11">
      <c r="A61" s="103"/>
      <c r="B61" s="3" t="s">
        <v>95</v>
      </c>
      <c r="C61" s="33" t="s">
        <v>73</v>
      </c>
      <c r="D61" s="18"/>
      <c r="E61" s="19" t="s">
        <v>375</v>
      </c>
      <c r="K61" s="17"/>
    </row>
    <row r="62" spans="1:11">
      <c r="A62" s="103"/>
      <c r="B62" s="3" t="s">
        <v>96</v>
      </c>
      <c r="C62" s="33" t="s">
        <v>74</v>
      </c>
      <c r="D62" s="36"/>
      <c r="E62" s="19" t="s">
        <v>376</v>
      </c>
      <c r="K62" s="17"/>
    </row>
    <row r="63" spans="1:11">
      <c r="A63" s="103"/>
      <c r="B63" s="3" t="s">
        <v>97</v>
      </c>
      <c r="C63" s="33" t="s">
        <v>72</v>
      </c>
      <c r="D63" s="18"/>
      <c r="E63" s="19" t="s">
        <v>377</v>
      </c>
      <c r="K63" s="17"/>
    </row>
    <row r="64" spans="1:11">
      <c r="A64" s="103"/>
      <c r="B64" s="3" t="s">
        <v>98</v>
      </c>
      <c r="C64" s="33" t="s">
        <v>69</v>
      </c>
      <c r="D64" s="18"/>
      <c r="E64" s="19" t="s">
        <v>378</v>
      </c>
      <c r="K64" s="17"/>
    </row>
    <row r="65" spans="1:11">
      <c r="A65" s="103"/>
      <c r="B65" s="3" t="s">
        <v>99</v>
      </c>
      <c r="C65" s="33" t="s">
        <v>70</v>
      </c>
      <c r="D65" s="18" t="s">
        <v>942</v>
      </c>
      <c r="E65" s="19" t="s">
        <v>379</v>
      </c>
      <c r="K65" s="17"/>
    </row>
    <row r="66" spans="1:11">
      <c r="A66" s="103"/>
      <c r="B66" s="3" t="s">
        <v>100</v>
      </c>
      <c r="C66" s="33" t="s">
        <v>68</v>
      </c>
      <c r="D66" s="36" t="s">
        <v>950</v>
      </c>
      <c r="E66" s="19" t="s">
        <v>380</v>
      </c>
      <c r="H66" s="3">
        <v>100</v>
      </c>
      <c r="I66" s="102">
        <f>H66/SUM($H$32:$H$69)</f>
        <v>2.978850163836759E-2</v>
      </c>
      <c r="K66" s="17"/>
    </row>
    <row r="67" spans="1:11" ht="57.75">
      <c r="A67" s="103"/>
      <c r="B67" s="3" t="s">
        <v>101</v>
      </c>
      <c r="C67" s="33" t="s">
        <v>71</v>
      </c>
      <c r="D67" s="18" t="s">
        <v>947</v>
      </c>
      <c r="E67" s="19" t="s">
        <v>381</v>
      </c>
      <c r="H67" s="3">
        <f>130+65+36+400</f>
        <v>631</v>
      </c>
      <c r="I67" s="102">
        <f>H67/SUM($H$32:$H$69)</f>
        <v>0.1879654453380995</v>
      </c>
      <c r="K67" s="17"/>
    </row>
    <row r="68" spans="1:11">
      <c r="A68" s="103"/>
      <c r="B68" s="3" t="s">
        <v>102</v>
      </c>
      <c r="C68" s="33" t="s">
        <v>67</v>
      </c>
      <c r="D68" s="36"/>
      <c r="E68" s="19" t="s">
        <v>382</v>
      </c>
      <c r="K68" s="17"/>
    </row>
    <row r="69" spans="1:11">
      <c r="A69" s="103"/>
      <c r="B69" s="3" t="s">
        <v>103</v>
      </c>
      <c r="C69" s="33" t="s">
        <v>66</v>
      </c>
      <c r="D69" s="18"/>
      <c r="E69" s="19" t="s">
        <v>383</v>
      </c>
      <c r="K69" s="17"/>
    </row>
    <row r="70" spans="1:11">
      <c r="A70" s="27" t="s">
        <v>623</v>
      </c>
      <c r="B70" s="3" t="s">
        <v>384</v>
      </c>
      <c r="C70" s="33" t="s">
        <v>384</v>
      </c>
      <c r="D70" s="18"/>
      <c r="E70" s="19" t="s">
        <v>385</v>
      </c>
      <c r="K70" s="17"/>
    </row>
    <row r="71" spans="1:11">
      <c r="A71" s="103" t="s">
        <v>8</v>
      </c>
      <c r="B71" s="3" t="s">
        <v>104</v>
      </c>
      <c r="C71" s="33" t="s">
        <v>106</v>
      </c>
      <c r="D71" s="18"/>
      <c r="E71" s="19" t="s">
        <v>386</v>
      </c>
      <c r="K71" s="17"/>
    </row>
    <row r="72" spans="1:11">
      <c r="A72" s="103"/>
      <c r="B72" s="3" t="s">
        <v>105</v>
      </c>
      <c r="C72" s="33" t="s">
        <v>105</v>
      </c>
      <c r="D72" s="18"/>
      <c r="E72" s="19" t="s">
        <v>387</v>
      </c>
      <c r="K72" s="17"/>
    </row>
    <row r="73" spans="1:11">
      <c r="A73" s="103"/>
      <c r="B73" s="3" t="s">
        <v>106</v>
      </c>
      <c r="C73" s="33" t="s">
        <v>104</v>
      </c>
      <c r="D73" s="18"/>
      <c r="E73" s="19" t="s">
        <v>388</v>
      </c>
      <c r="K73" s="17"/>
    </row>
    <row r="74" spans="1:11">
      <c r="A74" s="103" t="s">
        <v>9</v>
      </c>
      <c r="B74" s="3" t="s">
        <v>107</v>
      </c>
      <c r="C74" s="33" t="s">
        <v>114</v>
      </c>
      <c r="D74" s="18"/>
      <c r="E74" s="19" t="s">
        <v>389</v>
      </c>
      <c r="K74" s="17"/>
    </row>
    <row r="75" spans="1:11">
      <c r="A75" s="103"/>
      <c r="B75" s="3" t="s">
        <v>108</v>
      </c>
      <c r="C75" s="33" t="s">
        <v>390</v>
      </c>
      <c r="D75" s="18"/>
      <c r="E75" s="19" t="s">
        <v>391</v>
      </c>
      <c r="K75" s="17"/>
    </row>
    <row r="76" spans="1:11">
      <c r="A76" s="103"/>
      <c r="B76" s="3" t="s">
        <v>109</v>
      </c>
      <c r="C76" s="33" t="s">
        <v>392</v>
      </c>
      <c r="D76" s="18"/>
      <c r="E76" s="19" t="s">
        <v>393</v>
      </c>
    </row>
    <row r="77" spans="1:11">
      <c r="A77" s="103"/>
      <c r="B77" s="3" t="s">
        <v>110</v>
      </c>
      <c r="C77" s="33" t="s">
        <v>394</v>
      </c>
      <c r="D77" s="18" t="s">
        <v>745</v>
      </c>
      <c r="E77" s="19" t="s">
        <v>395</v>
      </c>
      <c r="F77" s="3">
        <v>190</v>
      </c>
      <c r="G77" s="9">
        <v>1</v>
      </c>
      <c r="H77" s="3">
        <v>190</v>
      </c>
      <c r="I77" s="102"/>
    </row>
    <row r="78" spans="1:11">
      <c r="A78" s="103"/>
      <c r="B78" s="3" t="s">
        <v>111</v>
      </c>
      <c r="C78" s="33" t="s">
        <v>115</v>
      </c>
      <c r="D78" s="18"/>
      <c r="E78" s="19" t="s">
        <v>396</v>
      </c>
    </row>
    <row r="79" spans="1:11">
      <c r="A79" s="103"/>
      <c r="B79" s="3" t="s">
        <v>112</v>
      </c>
      <c r="C79" s="33" t="s">
        <v>110</v>
      </c>
      <c r="D79" s="18"/>
      <c r="E79" s="19" t="s">
        <v>397</v>
      </c>
    </row>
    <row r="80" spans="1:11">
      <c r="A80" s="103"/>
      <c r="B80" s="3" t="s">
        <v>113</v>
      </c>
      <c r="C80" s="33" t="s">
        <v>112</v>
      </c>
      <c r="D80" s="18"/>
      <c r="E80" s="19" t="s">
        <v>398</v>
      </c>
    </row>
    <row r="81" spans="1:8">
      <c r="A81" s="103"/>
      <c r="B81" s="3" t="s">
        <v>114</v>
      </c>
      <c r="C81" s="33" t="s">
        <v>111</v>
      </c>
      <c r="D81" s="18"/>
      <c r="E81" s="19" t="s">
        <v>399</v>
      </c>
    </row>
    <row r="82" spans="1:8">
      <c r="A82" s="103"/>
      <c r="B82" s="3" t="s">
        <v>115</v>
      </c>
      <c r="C82" s="33" t="s">
        <v>107</v>
      </c>
      <c r="D82" s="18"/>
      <c r="E82" s="19" t="s">
        <v>400</v>
      </c>
    </row>
    <row r="83" spans="1:8">
      <c r="A83" s="103"/>
      <c r="C83" s="33" t="s">
        <v>401</v>
      </c>
      <c r="D83" s="18"/>
      <c r="E83" s="19" t="s">
        <v>402</v>
      </c>
    </row>
    <row r="84" spans="1:8">
      <c r="A84" s="103"/>
      <c r="C84" s="33" t="s">
        <v>113</v>
      </c>
      <c r="D84" s="18"/>
      <c r="E84" s="19" t="s">
        <v>403</v>
      </c>
    </row>
    <row r="85" spans="1:8">
      <c r="A85" s="103"/>
      <c r="C85" s="33" t="s">
        <v>108</v>
      </c>
      <c r="D85" s="18"/>
      <c r="E85" s="19" t="s">
        <v>404</v>
      </c>
    </row>
    <row r="86" spans="1:8">
      <c r="A86" s="103"/>
      <c r="C86" s="33" t="s">
        <v>109</v>
      </c>
      <c r="D86" s="18"/>
      <c r="E86" s="19" t="s">
        <v>405</v>
      </c>
    </row>
    <row r="87" spans="1:8" ht="29.25">
      <c r="A87" s="103" t="s">
        <v>10</v>
      </c>
      <c r="B87" s="3" t="s">
        <v>116</v>
      </c>
      <c r="C87" s="33" t="s">
        <v>120</v>
      </c>
      <c r="D87" s="18" t="s">
        <v>740</v>
      </c>
      <c r="E87" s="19" t="s">
        <v>406</v>
      </c>
      <c r="F87" s="3">
        <f>250+87</f>
        <v>337</v>
      </c>
      <c r="G87" s="9">
        <f>F87/SUM($F$87:$F$88)</f>
        <v>0.78372093023255818</v>
      </c>
      <c r="H87" s="3">
        <f>250+87</f>
        <v>337</v>
      </c>
    </row>
    <row r="88" spans="1:8">
      <c r="A88" s="103"/>
      <c r="B88" s="3" t="s">
        <v>117</v>
      </c>
      <c r="C88" s="33" t="s">
        <v>117</v>
      </c>
      <c r="D88" s="18" t="s">
        <v>741</v>
      </c>
      <c r="E88" s="19" t="s">
        <v>407</v>
      </c>
      <c r="F88" s="3">
        <v>93</v>
      </c>
      <c r="G88" s="9">
        <f>F88/SUM($F$87:$F$88)</f>
        <v>0.21627906976744185</v>
      </c>
      <c r="H88" s="3">
        <v>93</v>
      </c>
    </row>
    <row r="89" spans="1:8">
      <c r="A89" s="103"/>
      <c r="B89" s="3" t="s">
        <v>118</v>
      </c>
      <c r="C89" s="33" t="s">
        <v>128</v>
      </c>
      <c r="D89" s="18"/>
      <c r="E89" s="19" t="s">
        <v>408</v>
      </c>
    </row>
    <row r="90" spans="1:8">
      <c r="A90" s="103"/>
      <c r="B90" s="3" t="s">
        <v>119</v>
      </c>
      <c r="C90" s="33" t="s">
        <v>118</v>
      </c>
      <c r="D90" s="18"/>
      <c r="E90" s="19" t="s">
        <v>409</v>
      </c>
    </row>
    <row r="91" spans="1:8">
      <c r="A91" s="103"/>
      <c r="B91" s="3" t="s">
        <v>120</v>
      </c>
      <c r="C91" s="33" t="s">
        <v>123</v>
      </c>
      <c r="D91" s="18"/>
      <c r="E91" s="19" t="s">
        <v>410</v>
      </c>
    </row>
    <row r="92" spans="1:8">
      <c r="A92" s="103"/>
      <c r="B92" s="3" t="s">
        <v>121</v>
      </c>
      <c r="C92" s="33" t="s">
        <v>119</v>
      </c>
      <c r="D92" s="18"/>
      <c r="E92" s="19" t="s">
        <v>411</v>
      </c>
    </row>
    <row r="93" spans="1:8">
      <c r="A93" s="103"/>
      <c r="B93" s="3" t="s">
        <v>122</v>
      </c>
      <c r="C93" s="33" t="s">
        <v>129</v>
      </c>
      <c r="D93" s="18"/>
      <c r="E93" s="19" t="s">
        <v>412</v>
      </c>
    </row>
    <row r="94" spans="1:8">
      <c r="A94" s="103"/>
      <c r="B94" s="3" t="s">
        <v>123</v>
      </c>
      <c r="C94" s="33" t="s">
        <v>124</v>
      </c>
      <c r="D94" s="18"/>
      <c r="E94" s="19" t="s">
        <v>413</v>
      </c>
    </row>
    <row r="95" spans="1:8">
      <c r="A95" s="103"/>
      <c r="B95" s="3" t="s">
        <v>124</v>
      </c>
      <c r="C95" s="33" t="s">
        <v>126</v>
      </c>
      <c r="D95" s="18"/>
      <c r="E95" s="19" t="s">
        <v>414</v>
      </c>
    </row>
    <row r="96" spans="1:8">
      <c r="A96" s="103"/>
      <c r="B96" s="3" t="s">
        <v>125</v>
      </c>
      <c r="C96" s="33" t="s">
        <v>127</v>
      </c>
      <c r="D96" s="18"/>
      <c r="E96" s="19" t="s">
        <v>415</v>
      </c>
    </row>
    <row r="97" spans="1:8">
      <c r="A97" s="103"/>
      <c r="B97" s="3" t="s">
        <v>126</v>
      </c>
      <c r="C97" s="33" t="s">
        <v>121</v>
      </c>
      <c r="D97" s="18"/>
      <c r="E97" s="19" t="s">
        <v>416</v>
      </c>
    </row>
    <row r="98" spans="1:8">
      <c r="A98" s="103"/>
      <c r="B98" s="3" t="s">
        <v>127</v>
      </c>
      <c r="C98" s="33" t="s">
        <v>125</v>
      </c>
      <c r="D98" s="18"/>
      <c r="E98" s="19" t="s">
        <v>417</v>
      </c>
    </row>
    <row r="99" spans="1:8">
      <c r="A99" s="103"/>
      <c r="B99" s="3" t="s">
        <v>128</v>
      </c>
      <c r="C99" s="33" t="s">
        <v>122</v>
      </c>
      <c r="D99" s="18"/>
      <c r="E99" s="19" t="s">
        <v>418</v>
      </c>
    </row>
    <row r="100" spans="1:8">
      <c r="A100" s="103"/>
      <c r="B100" s="3" t="s">
        <v>129</v>
      </c>
      <c r="C100" s="33" t="s">
        <v>419</v>
      </c>
      <c r="D100" s="18"/>
      <c r="E100" s="19" t="s">
        <v>420</v>
      </c>
    </row>
    <row r="101" spans="1:8">
      <c r="A101" s="103"/>
      <c r="B101" s="3" t="s">
        <v>130</v>
      </c>
      <c r="C101" s="33" t="s">
        <v>130</v>
      </c>
      <c r="D101" s="18"/>
      <c r="E101" s="19" t="s">
        <v>421</v>
      </c>
    </row>
    <row r="102" spans="1:8">
      <c r="A102" s="103"/>
      <c r="C102" s="33" t="s">
        <v>116</v>
      </c>
      <c r="D102" s="18"/>
      <c r="E102" s="19" t="s">
        <v>422</v>
      </c>
    </row>
    <row r="103" spans="1:8">
      <c r="A103" s="103"/>
      <c r="C103" s="33" t="s">
        <v>423</v>
      </c>
      <c r="D103" s="18"/>
      <c r="E103" s="19" t="s">
        <v>424</v>
      </c>
    </row>
    <row r="104" spans="1:8">
      <c r="A104" s="103"/>
      <c r="C104" s="33" t="s">
        <v>425</v>
      </c>
      <c r="D104" s="18"/>
      <c r="E104" s="19" t="s">
        <v>426</v>
      </c>
    </row>
    <row r="105" spans="1:8">
      <c r="A105" s="103"/>
      <c r="C105" s="33" t="s">
        <v>427</v>
      </c>
      <c r="D105" s="18"/>
      <c r="E105" s="19" t="s">
        <v>428</v>
      </c>
    </row>
    <row r="106" spans="1:8">
      <c r="A106" s="103" t="s">
        <v>11</v>
      </c>
      <c r="B106" s="3" t="s">
        <v>131</v>
      </c>
      <c r="C106" s="33" t="s">
        <v>132</v>
      </c>
      <c r="D106" s="18"/>
      <c r="E106" s="19" t="s">
        <v>429</v>
      </c>
    </row>
    <row r="107" spans="1:8">
      <c r="A107" s="103"/>
      <c r="B107" s="3" t="s">
        <v>132</v>
      </c>
      <c r="C107" s="33" t="s">
        <v>143</v>
      </c>
      <c r="D107" s="18"/>
      <c r="E107" s="19" t="s">
        <v>430</v>
      </c>
    </row>
    <row r="108" spans="1:8">
      <c r="A108" s="103"/>
      <c r="B108" s="3" t="s">
        <v>133</v>
      </c>
      <c r="C108" s="33" t="s">
        <v>141</v>
      </c>
      <c r="D108" s="18"/>
      <c r="E108" s="19" t="s">
        <v>431</v>
      </c>
    </row>
    <row r="109" spans="1:8">
      <c r="A109" s="103"/>
      <c r="B109" s="3" t="s">
        <v>134</v>
      </c>
      <c r="C109" s="33" t="s">
        <v>138</v>
      </c>
      <c r="D109" s="18"/>
      <c r="E109" s="19" t="s">
        <v>432</v>
      </c>
    </row>
    <row r="110" spans="1:8">
      <c r="A110" s="103"/>
      <c r="B110" s="3" t="s">
        <v>135</v>
      </c>
      <c r="C110" s="34" t="s">
        <v>145</v>
      </c>
      <c r="D110" s="19"/>
      <c r="E110" s="22" t="s">
        <v>433</v>
      </c>
    </row>
    <row r="111" spans="1:8">
      <c r="A111" s="103"/>
      <c r="B111" s="3" t="s">
        <v>136</v>
      </c>
      <c r="C111" s="34" t="s">
        <v>137</v>
      </c>
      <c r="D111" s="35"/>
      <c r="E111" s="22" t="s">
        <v>434</v>
      </c>
    </row>
    <row r="112" spans="1:8">
      <c r="A112" s="103"/>
      <c r="B112" s="3" t="s">
        <v>137</v>
      </c>
      <c r="C112" s="33" t="s">
        <v>134</v>
      </c>
      <c r="D112" s="36" t="s">
        <v>668</v>
      </c>
      <c r="E112" s="19" t="s">
        <v>435</v>
      </c>
      <c r="F112" s="3">
        <v>285</v>
      </c>
      <c r="G112" s="9">
        <f>F112/(F112+F125)</f>
        <v>0.66279069767441856</v>
      </c>
      <c r="H112" s="3">
        <v>285</v>
      </c>
    </row>
    <row r="113" spans="1:8">
      <c r="A113" s="103"/>
      <c r="B113" s="3" t="s">
        <v>138</v>
      </c>
      <c r="C113" s="33" t="s">
        <v>151</v>
      </c>
      <c r="D113" s="18"/>
      <c r="E113" s="19" t="s">
        <v>436</v>
      </c>
    </row>
    <row r="114" spans="1:8">
      <c r="A114" s="103"/>
      <c r="B114" s="3" t="s">
        <v>139</v>
      </c>
      <c r="C114" s="33" t="s">
        <v>133</v>
      </c>
      <c r="D114" s="18"/>
      <c r="E114" s="19" t="s">
        <v>437</v>
      </c>
    </row>
    <row r="115" spans="1:8">
      <c r="A115" s="103"/>
      <c r="B115" s="3" t="s">
        <v>140</v>
      </c>
      <c r="C115" s="33" t="s">
        <v>148</v>
      </c>
      <c r="D115" s="18"/>
      <c r="E115" s="19" t="s">
        <v>438</v>
      </c>
    </row>
    <row r="116" spans="1:8">
      <c r="A116" s="103"/>
      <c r="B116" s="3" t="s">
        <v>141</v>
      </c>
      <c r="C116" s="33" t="s">
        <v>135</v>
      </c>
      <c r="D116" s="18"/>
      <c r="E116" s="19" t="s">
        <v>439</v>
      </c>
    </row>
    <row r="117" spans="1:8">
      <c r="A117" s="103"/>
      <c r="B117" s="3" t="s">
        <v>142</v>
      </c>
      <c r="C117" s="33" t="s">
        <v>136</v>
      </c>
      <c r="D117" s="18"/>
      <c r="E117" s="19" t="s">
        <v>440</v>
      </c>
    </row>
    <row r="118" spans="1:8">
      <c r="A118" s="103"/>
      <c r="B118" s="3" t="s">
        <v>143</v>
      </c>
      <c r="C118" s="33" t="s">
        <v>140</v>
      </c>
      <c r="D118" s="18"/>
      <c r="E118" s="19" t="s">
        <v>441</v>
      </c>
    </row>
    <row r="119" spans="1:8">
      <c r="A119" s="103"/>
      <c r="B119" s="3" t="s">
        <v>144</v>
      </c>
      <c r="C119" s="33" t="s">
        <v>139</v>
      </c>
      <c r="D119" s="18"/>
      <c r="E119" s="19" t="s">
        <v>442</v>
      </c>
    </row>
    <row r="120" spans="1:8">
      <c r="A120" s="103"/>
      <c r="B120" s="3" t="s">
        <v>145</v>
      </c>
      <c r="C120" s="33" t="s">
        <v>142</v>
      </c>
      <c r="D120" s="18"/>
      <c r="E120" s="19" t="s">
        <v>443</v>
      </c>
    </row>
    <row r="121" spans="1:8">
      <c r="A121" s="103"/>
      <c r="B121" s="3" t="s">
        <v>146</v>
      </c>
      <c r="C121" s="33" t="s">
        <v>144</v>
      </c>
      <c r="D121" s="18"/>
      <c r="E121" s="19" t="s">
        <v>444</v>
      </c>
    </row>
    <row r="122" spans="1:8">
      <c r="A122" s="103"/>
      <c r="B122" s="3" t="s">
        <v>147</v>
      </c>
      <c r="C122" s="33" t="s">
        <v>146</v>
      </c>
      <c r="D122" s="18"/>
      <c r="E122" s="19" t="s">
        <v>445</v>
      </c>
    </row>
    <row r="123" spans="1:8">
      <c r="A123" s="103"/>
      <c r="B123" s="3" t="s">
        <v>148</v>
      </c>
      <c r="C123" s="33" t="s">
        <v>147</v>
      </c>
      <c r="D123" s="18"/>
      <c r="E123" s="19" t="s">
        <v>446</v>
      </c>
    </row>
    <row r="124" spans="1:8">
      <c r="A124" s="103"/>
      <c r="B124" s="3" t="s">
        <v>149</v>
      </c>
      <c r="C124" s="33" t="s">
        <v>150</v>
      </c>
      <c r="D124" s="18"/>
      <c r="E124" s="19" t="s">
        <v>447</v>
      </c>
    </row>
    <row r="125" spans="1:8" ht="29.25">
      <c r="A125" s="103"/>
      <c r="B125" s="3" t="s">
        <v>150</v>
      </c>
      <c r="C125" s="33" t="s">
        <v>152</v>
      </c>
      <c r="D125" s="18" t="s">
        <v>742</v>
      </c>
      <c r="E125" s="19" t="s">
        <v>448</v>
      </c>
      <c r="F125" s="3">
        <v>145</v>
      </c>
      <c r="G125" s="9">
        <f>F125/(F112+F125)</f>
        <v>0.33720930232558138</v>
      </c>
      <c r="H125" s="3">
        <v>145</v>
      </c>
    </row>
    <row r="126" spans="1:8">
      <c r="A126" s="103"/>
      <c r="B126" s="3" t="s">
        <v>151</v>
      </c>
      <c r="C126" s="33" t="s">
        <v>149</v>
      </c>
      <c r="D126" s="18"/>
      <c r="E126" s="19" t="s">
        <v>449</v>
      </c>
    </row>
    <row r="127" spans="1:8">
      <c r="A127" s="103"/>
      <c r="B127" s="3" t="s">
        <v>152</v>
      </c>
      <c r="C127" s="33" t="s">
        <v>131</v>
      </c>
      <c r="D127" s="18"/>
      <c r="E127" s="19" t="s">
        <v>450</v>
      </c>
    </row>
    <row r="128" spans="1:8">
      <c r="A128" s="103"/>
      <c r="C128" s="33" t="s">
        <v>451</v>
      </c>
      <c r="D128" s="18"/>
      <c r="E128" s="19" t="s">
        <v>452</v>
      </c>
    </row>
    <row r="129" spans="1:5">
      <c r="A129" s="103"/>
      <c r="C129" s="33" t="s">
        <v>453</v>
      </c>
      <c r="D129" s="18"/>
      <c r="E129" s="19" t="s">
        <v>454</v>
      </c>
    </row>
    <row r="130" spans="1:5">
      <c r="A130" s="103"/>
      <c r="C130" s="33" t="s">
        <v>455</v>
      </c>
      <c r="D130" s="18"/>
      <c r="E130" s="19" t="s">
        <v>456</v>
      </c>
    </row>
    <row r="131" spans="1:5">
      <c r="A131" s="103"/>
      <c r="C131" s="33" t="s">
        <v>457</v>
      </c>
      <c r="D131" s="18"/>
      <c r="E131" s="19" t="s">
        <v>458</v>
      </c>
    </row>
    <row r="132" spans="1:5">
      <c r="A132" s="103"/>
      <c r="C132" s="33" t="s">
        <v>459</v>
      </c>
      <c r="D132" s="18"/>
      <c r="E132" s="19" t="s">
        <v>460</v>
      </c>
    </row>
    <row r="133" spans="1:5">
      <c r="A133" s="103" t="s">
        <v>12</v>
      </c>
      <c r="B133" s="3" t="s">
        <v>153</v>
      </c>
      <c r="C133" s="22" t="s">
        <v>461</v>
      </c>
      <c r="D133" s="19"/>
      <c r="E133" s="22" t="s">
        <v>462</v>
      </c>
    </row>
    <row r="134" spans="1:5">
      <c r="A134" s="103"/>
      <c r="B134" s="3" t="s">
        <v>154</v>
      </c>
      <c r="C134" s="33" t="s">
        <v>154</v>
      </c>
      <c r="D134" s="18"/>
      <c r="E134" s="19" t="s">
        <v>463</v>
      </c>
    </row>
    <row r="135" spans="1:5">
      <c r="A135" s="103"/>
      <c r="C135" s="33" t="s">
        <v>464</v>
      </c>
      <c r="D135" s="18"/>
      <c r="E135" s="19" t="s">
        <v>465</v>
      </c>
    </row>
    <row r="136" spans="1:5">
      <c r="A136" s="103"/>
      <c r="C136" s="33" t="s">
        <v>466</v>
      </c>
      <c r="D136" s="18"/>
      <c r="E136" s="19" t="s">
        <v>467</v>
      </c>
    </row>
    <row r="137" spans="1:5">
      <c r="A137" s="103" t="s">
        <v>13</v>
      </c>
      <c r="B137" s="3" t="s">
        <v>155</v>
      </c>
      <c r="C137" s="33" t="s">
        <v>163</v>
      </c>
      <c r="D137" s="18"/>
      <c r="E137" s="19" t="s">
        <v>468</v>
      </c>
    </row>
    <row r="138" spans="1:5">
      <c r="A138" s="103"/>
      <c r="B138" s="3" t="s">
        <v>156</v>
      </c>
      <c r="C138" s="33" t="s">
        <v>156</v>
      </c>
      <c r="D138" s="18"/>
      <c r="E138" s="19" t="s">
        <v>469</v>
      </c>
    </row>
    <row r="139" spans="1:5">
      <c r="A139" s="103"/>
      <c r="B139" s="3" t="s">
        <v>157</v>
      </c>
      <c r="C139" s="33" t="s">
        <v>167</v>
      </c>
      <c r="D139" s="18"/>
      <c r="E139" s="19" t="s">
        <v>470</v>
      </c>
    </row>
    <row r="140" spans="1:5">
      <c r="A140" s="103"/>
      <c r="B140" s="3" t="s">
        <v>158</v>
      </c>
      <c r="C140" s="33" t="s">
        <v>166</v>
      </c>
      <c r="D140" s="18"/>
      <c r="E140" s="19" t="s">
        <v>471</v>
      </c>
    </row>
    <row r="141" spans="1:5">
      <c r="A141" s="103"/>
      <c r="B141" s="3" t="s">
        <v>159</v>
      </c>
      <c r="C141" s="33" t="s">
        <v>175</v>
      </c>
      <c r="D141" s="18"/>
      <c r="E141" s="19" t="s">
        <v>472</v>
      </c>
    </row>
    <row r="142" spans="1:5">
      <c r="A142" s="103"/>
      <c r="B142" s="3" t="s">
        <v>160</v>
      </c>
      <c r="C142" s="33" t="s">
        <v>164</v>
      </c>
      <c r="D142" s="18"/>
      <c r="E142" s="19" t="s">
        <v>473</v>
      </c>
    </row>
    <row r="143" spans="1:5">
      <c r="A143" s="103"/>
      <c r="B143" s="3" t="s">
        <v>161</v>
      </c>
      <c r="C143" s="33" t="s">
        <v>171</v>
      </c>
      <c r="D143" s="18"/>
      <c r="E143" s="19" t="s">
        <v>474</v>
      </c>
    </row>
    <row r="144" spans="1:5">
      <c r="A144" s="103"/>
      <c r="B144" s="3" t="s">
        <v>162</v>
      </c>
      <c r="C144" s="33" t="s">
        <v>174</v>
      </c>
      <c r="D144" s="36"/>
      <c r="E144" s="19" t="s">
        <v>475</v>
      </c>
    </row>
    <row r="145" spans="1:5">
      <c r="A145" s="103"/>
      <c r="B145" s="3" t="s">
        <v>163</v>
      </c>
      <c r="C145" s="33" t="s">
        <v>173</v>
      </c>
      <c r="D145" s="18"/>
      <c r="E145" s="19" t="s">
        <v>476</v>
      </c>
    </row>
    <row r="146" spans="1:5">
      <c r="A146" s="103"/>
      <c r="B146" s="3" t="s">
        <v>164</v>
      </c>
      <c r="C146" s="33" t="s">
        <v>172</v>
      </c>
      <c r="D146" s="18"/>
      <c r="E146" s="19" t="s">
        <v>477</v>
      </c>
    </row>
    <row r="147" spans="1:5">
      <c r="A147" s="103"/>
      <c r="B147" s="3" t="s">
        <v>165</v>
      </c>
      <c r="C147" s="33" t="s">
        <v>161</v>
      </c>
      <c r="D147" s="36"/>
      <c r="E147" s="19" t="s">
        <v>478</v>
      </c>
    </row>
    <row r="148" spans="1:5">
      <c r="A148" s="103"/>
      <c r="B148" s="3" t="s">
        <v>166</v>
      </c>
      <c r="C148" s="33" t="s">
        <v>162</v>
      </c>
      <c r="D148" s="18"/>
      <c r="E148" s="19" t="s">
        <v>479</v>
      </c>
    </row>
    <row r="149" spans="1:5" ht="29.25">
      <c r="A149" s="103"/>
      <c r="B149" s="3" t="s">
        <v>167</v>
      </c>
      <c r="C149" s="33" t="s">
        <v>158</v>
      </c>
      <c r="D149" s="18"/>
      <c r="E149" s="19" t="s">
        <v>480</v>
      </c>
    </row>
    <row r="150" spans="1:5">
      <c r="A150" s="103"/>
      <c r="B150" s="3" t="s">
        <v>168</v>
      </c>
      <c r="C150" s="33" t="s">
        <v>159</v>
      </c>
      <c r="D150" s="18"/>
      <c r="E150" s="19" t="s">
        <v>481</v>
      </c>
    </row>
    <row r="151" spans="1:5">
      <c r="A151" s="103"/>
      <c r="B151" s="3" t="s">
        <v>169</v>
      </c>
      <c r="C151" s="33" t="s">
        <v>155</v>
      </c>
      <c r="D151" s="36"/>
      <c r="E151" s="19" t="s">
        <v>482</v>
      </c>
    </row>
    <row r="152" spans="1:5">
      <c r="A152" s="103"/>
      <c r="B152" s="3" t="s">
        <v>170</v>
      </c>
      <c r="C152" s="33" t="s">
        <v>169</v>
      </c>
      <c r="D152" s="18"/>
      <c r="E152" s="19" t="s">
        <v>483</v>
      </c>
    </row>
    <row r="153" spans="1:5">
      <c r="A153" s="103"/>
      <c r="B153" s="3" t="s">
        <v>171</v>
      </c>
      <c r="C153" s="33" t="s">
        <v>170</v>
      </c>
      <c r="D153" s="18"/>
      <c r="E153" s="19" t="s">
        <v>484</v>
      </c>
    </row>
    <row r="154" spans="1:5">
      <c r="A154" s="103"/>
      <c r="B154" s="3" t="s">
        <v>172</v>
      </c>
      <c r="C154" s="33" t="s">
        <v>160</v>
      </c>
      <c r="D154" s="18"/>
      <c r="E154" s="19" t="s">
        <v>485</v>
      </c>
    </row>
    <row r="155" spans="1:5">
      <c r="A155" s="103"/>
      <c r="B155" s="3" t="s">
        <v>173</v>
      </c>
      <c r="C155" s="33" t="s">
        <v>157</v>
      </c>
      <c r="D155" s="18"/>
      <c r="E155" s="19" t="s">
        <v>486</v>
      </c>
    </row>
    <row r="156" spans="1:5">
      <c r="A156" s="103"/>
      <c r="B156" s="3" t="s">
        <v>174</v>
      </c>
      <c r="C156" s="33" t="s">
        <v>165</v>
      </c>
      <c r="D156" s="18"/>
      <c r="E156" s="19" t="s">
        <v>487</v>
      </c>
    </row>
    <row r="157" spans="1:5">
      <c r="A157" s="103"/>
      <c r="B157" s="3" t="s">
        <v>175</v>
      </c>
      <c r="C157" s="33" t="s">
        <v>168</v>
      </c>
      <c r="D157" s="18"/>
      <c r="E157" s="19" t="s">
        <v>488</v>
      </c>
    </row>
    <row r="158" spans="1:5">
      <c r="A158" s="29" t="s">
        <v>625</v>
      </c>
      <c r="C158" s="33" t="s">
        <v>489</v>
      </c>
      <c r="D158" s="18"/>
      <c r="E158" s="19" t="s">
        <v>490</v>
      </c>
    </row>
    <row r="159" spans="1:5">
      <c r="A159" s="29" t="s">
        <v>14</v>
      </c>
      <c r="B159" s="3" t="s">
        <v>176</v>
      </c>
      <c r="C159" s="33" t="s">
        <v>176</v>
      </c>
      <c r="D159" s="18"/>
      <c r="E159" s="19" t="s">
        <v>491</v>
      </c>
    </row>
    <row r="160" spans="1:5">
      <c r="A160" s="103" t="s">
        <v>624</v>
      </c>
      <c r="B160" s="4" t="s">
        <v>492</v>
      </c>
      <c r="C160" s="33" t="s">
        <v>492</v>
      </c>
      <c r="D160" s="18"/>
      <c r="E160" s="19" t="s">
        <v>493</v>
      </c>
    </row>
    <row r="161" spans="1:8">
      <c r="A161" s="103"/>
      <c r="B161" s="4" t="s">
        <v>494</v>
      </c>
      <c r="C161" s="33" t="s">
        <v>494</v>
      </c>
      <c r="D161" s="18"/>
      <c r="E161" s="19" t="s">
        <v>495</v>
      </c>
    </row>
    <row r="162" spans="1:8">
      <c r="A162" s="29" t="s">
        <v>15</v>
      </c>
      <c r="B162" s="3" t="s">
        <v>177</v>
      </c>
      <c r="C162" s="33" t="s">
        <v>177</v>
      </c>
      <c r="D162" s="18"/>
      <c r="E162" s="19" t="s">
        <v>15</v>
      </c>
    </row>
    <row r="163" spans="1:8">
      <c r="A163" s="103" t="s">
        <v>16</v>
      </c>
      <c r="B163" s="3" t="s">
        <v>178</v>
      </c>
      <c r="C163" s="33" t="s">
        <v>182</v>
      </c>
      <c r="D163" s="18"/>
      <c r="E163" s="19" t="s">
        <v>496</v>
      </c>
    </row>
    <row r="164" spans="1:8">
      <c r="A164" s="103"/>
      <c r="B164" s="3" t="s">
        <v>179</v>
      </c>
      <c r="C164" s="33" t="s">
        <v>181</v>
      </c>
      <c r="D164" s="18"/>
      <c r="E164" s="19" t="s">
        <v>497</v>
      </c>
    </row>
    <row r="165" spans="1:8">
      <c r="A165" s="103"/>
      <c r="B165" s="3" t="s">
        <v>180</v>
      </c>
      <c r="C165" s="33" t="s">
        <v>180</v>
      </c>
      <c r="D165" s="18"/>
      <c r="E165" s="19" t="s">
        <v>498</v>
      </c>
    </row>
    <row r="166" spans="1:8">
      <c r="A166" s="103"/>
      <c r="B166" s="3" t="s">
        <v>181</v>
      </c>
      <c r="C166" s="33" t="s">
        <v>179</v>
      </c>
      <c r="D166" s="18"/>
      <c r="E166" s="19" t="s">
        <v>499</v>
      </c>
    </row>
    <row r="167" spans="1:8">
      <c r="A167" s="103"/>
      <c r="B167" s="3" t="s">
        <v>182</v>
      </c>
      <c r="C167" s="33" t="s">
        <v>184</v>
      </c>
      <c r="D167" s="18"/>
      <c r="E167" s="19" t="s">
        <v>500</v>
      </c>
    </row>
    <row r="168" spans="1:8">
      <c r="A168" s="103"/>
      <c r="B168" s="3" t="s">
        <v>183</v>
      </c>
      <c r="C168" s="33" t="s">
        <v>183</v>
      </c>
      <c r="D168" s="36"/>
      <c r="E168" s="19" t="s">
        <v>501</v>
      </c>
    </row>
    <row r="169" spans="1:8">
      <c r="A169" s="103"/>
      <c r="B169" s="3" t="s">
        <v>184</v>
      </c>
      <c r="C169" s="33" t="s">
        <v>178</v>
      </c>
      <c r="D169" s="18"/>
      <c r="E169" s="19" t="s">
        <v>502</v>
      </c>
    </row>
    <row r="170" spans="1:8">
      <c r="A170" s="103"/>
      <c r="B170" s="3" t="s">
        <v>185</v>
      </c>
      <c r="C170" s="33" t="s">
        <v>185</v>
      </c>
      <c r="D170" s="18"/>
      <c r="E170" s="19" t="s">
        <v>503</v>
      </c>
    </row>
    <row r="171" spans="1:8">
      <c r="A171" s="29" t="s">
        <v>505</v>
      </c>
      <c r="C171" s="33" t="s">
        <v>504</v>
      </c>
      <c r="D171" s="18"/>
      <c r="E171" s="19" t="s">
        <v>505</v>
      </c>
    </row>
    <row r="172" spans="1:8">
      <c r="A172" s="103" t="s">
        <v>17</v>
      </c>
      <c r="B172" s="3" t="s">
        <v>186</v>
      </c>
      <c r="C172" s="33" t="s">
        <v>193</v>
      </c>
      <c r="D172" s="46" t="s">
        <v>730</v>
      </c>
      <c r="E172" s="19" t="s">
        <v>506</v>
      </c>
      <c r="F172" s="3">
        <v>111</v>
      </c>
      <c r="G172" s="9">
        <v>1</v>
      </c>
      <c r="H172" s="3">
        <v>111</v>
      </c>
    </row>
    <row r="173" spans="1:8">
      <c r="A173" s="103"/>
      <c r="B173" s="3" t="s">
        <v>187</v>
      </c>
      <c r="C173" s="33" t="s">
        <v>195</v>
      </c>
      <c r="D173" s="18"/>
      <c r="E173" s="19" t="s">
        <v>507</v>
      </c>
    </row>
    <row r="174" spans="1:8">
      <c r="A174" s="103"/>
      <c r="B174" s="3" t="s">
        <v>188</v>
      </c>
      <c r="C174" s="33" t="s">
        <v>197</v>
      </c>
      <c r="D174" s="18"/>
      <c r="E174" s="19" t="s">
        <v>508</v>
      </c>
    </row>
    <row r="175" spans="1:8">
      <c r="A175" s="103"/>
      <c r="B175" s="3" t="s">
        <v>189</v>
      </c>
      <c r="C175" s="33" t="s">
        <v>188</v>
      </c>
      <c r="D175" s="18"/>
      <c r="E175" s="19" t="s">
        <v>509</v>
      </c>
    </row>
    <row r="176" spans="1:8">
      <c r="A176" s="103"/>
      <c r="B176" s="3" t="s">
        <v>190</v>
      </c>
      <c r="C176" s="33" t="s">
        <v>194</v>
      </c>
      <c r="D176" s="18"/>
      <c r="E176" s="19" t="s">
        <v>510</v>
      </c>
    </row>
    <row r="177" spans="1:5">
      <c r="A177" s="103"/>
      <c r="B177" s="3" t="s">
        <v>191</v>
      </c>
      <c r="C177" s="33" t="s">
        <v>196</v>
      </c>
      <c r="D177" s="18"/>
      <c r="E177" s="19" t="s">
        <v>511</v>
      </c>
    </row>
    <row r="178" spans="1:5">
      <c r="A178" s="103"/>
      <c r="B178" s="3" t="s">
        <v>192</v>
      </c>
      <c r="C178" s="33" t="s">
        <v>190</v>
      </c>
      <c r="D178" s="18"/>
      <c r="E178" s="19" t="s">
        <v>512</v>
      </c>
    </row>
    <row r="179" spans="1:5">
      <c r="A179" s="103"/>
      <c r="B179" s="3" t="s">
        <v>193</v>
      </c>
      <c r="C179" s="33" t="s">
        <v>189</v>
      </c>
      <c r="D179" s="18"/>
      <c r="E179" s="19" t="s">
        <v>513</v>
      </c>
    </row>
    <row r="180" spans="1:5">
      <c r="A180" s="103"/>
      <c r="B180" s="3" t="s">
        <v>194</v>
      </c>
      <c r="C180" s="33" t="s">
        <v>186</v>
      </c>
      <c r="D180" s="18"/>
      <c r="E180" s="19" t="s">
        <v>514</v>
      </c>
    </row>
    <row r="181" spans="1:5">
      <c r="A181" s="103"/>
      <c r="B181" s="3" t="s">
        <v>195</v>
      </c>
      <c r="C181" s="33" t="s">
        <v>187</v>
      </c>
      <c r="D181" s="36"/>
      <c r="E181" s="19" t="s">
        <v>515</v>
      </c>
    </row>
    <row r="182" spans="1:5">
      <c r="A182" s="103"/>
      <c r="B182" s="3" t="s">
        <v>196</v>
      </c>
      <c r="C182" s="33" t="s">
        <v>191</v>
      </c>
      <c r="D182" s="36"/>
      <c r="E182" s="19" t="s">
        <v>516</v>
      </c>
    </row>
    <row r="183" spans="1:5">
      <c r="A183" s="103"/>
      <c r="B183" s="3" t="s">
        <v>197</v>
      </c>
      <c r="C183" s="33" t="s">
        <v>192</v>
      </c>
      <c r="D183" s="36"/>
      <c r="E183" s="19" t="s">
        <v>517</v>
      </c>
    </row>
    <row r="184" spans="1:5">
      <c r="A184" s="103" t="s">
        <v>18</v>
      </c>
      <c r="B184" s="3" t="s">
        <v>198</v>
      </c>
      <c r="C184" s="33" t="s">
        <v>206</v>
      </c>
      <c r="D184" s="18"/>
      <c r="E184" s="19" t="s">
        <v>518</v>
      </c>
    </row>
    <row r="185" spans="1:5">
      <c r="A185" s="103"/>
      <c r="B185" s="3" t="s">
        <v>199</v>
      </c>
      <c r="C185" s="33" t="s">
        <v>204</v>
      </c>
      <c r="D185" s="18"/>
      <c r="E185" s="19" t="s">
        <v>519</v>
      </c>
    </row>
    <row r="186" spans="1:5">
      <c r="A186" s="103"/>
      <c r="B186" s="3" t="s">
        <v>200</v>
      </c>
      <c r="C186" s="33" t="s">
        <v>203</v>
      </c>
      <c r="D186" s="18"/>
      <c r="E186" s="19" t="s">
        <v>520</v>
      </c>
    </row>
    <row r="187" spans="1:5">
      <c r="A187" s="103"/>
      <c r="B187" s="3" t="s">
        <v>201</v>
      </c>
      <c r="C187" s="33" t="s">
        <v>205</v>
      </c>
      <c r="D187" s="18"/>
      <c r="E187" s="19" t="s">
        <v>521</v>
      </c>
    </row>
    <row r="188" spans="1:5">
      <c r="A188" s="103"/>
      <c r="B188" s="3" t="s">
        <v>202</v>
      </c>
      <c r="C188" s="33" t="s">
        <v>200</v>
      </c>
      <c r="D188" s="18"/>
      <c r="E188" s="19" t="s">
        <v>522</v>
      </c>
    </row>
    <row r="189" spans="1:5">
      <c r="A189" s="103"/>
      <c r="B189" s="3" t="s">
        <v>203</v>
      </c>
      <c r="C189" s="33" t="s">
        <v>202</v>
      </c>
      <c r="D189" s="18"/>
      <c r="E189" s="19" t="s">
        <v>523</v>
      </c>
    </row>
    <row r="190" spans="1:5">
      <c r="A190" s="103"/>
      <c r="B190" s="3" t="s">
        <v>204</v>
      </c>
      <c r="C190" s="33" t="s">
        <v>201</v>
      </c>
      <c r="D190" s="18"/>
      <c r="E190" s="19" t="s">
        <v>524</v>
      </c>
    </row>
    <row r="191" spans="1:5">
      <c r="A191" s="103"/>
      <c r="B191" s="3" t="s">
        <v>205</v>
      </c>
      <c r="C191" s="33" t="s">
        <v>199</v>
      </c>
      <c r="D191" s="18"/>
      <c r="E191" s="19" t="s">
        <v>525</v>
      </c>
    </row>
    <row r="192" spans="1:5">
      <c r="A192" s="103"/>
      <c r="B192" s="3" t="s">
        <v>206</v>
      </c>
      <c r="C192" s="33" t="s">
        <v>198</v>
      </c>
      <c r="D192" s="18"/>
      <c r="E192" s="19" t="s">
        <v>526</v>
      </c>
    </row>
    <row r="193" spans="1:5">
      <c r="A193" s="103" t="s">
        <v>19</v>
      </c>
      <c r="B193" s="3" t="s">
        <v>207</v>
      </c>
      <c r="C193" s="33" t="s">
        <v>219</v>
      </c>
      <c r="D193" s="18"/>
      <c r="E193" s="19" t="s">
        <v>527</v>
      </c>
    </row>
    <row r="194" spans="1:5">
      <c r="A194" s="103"/>
      <c r="B194" s="3" t="s">
        <v>208</v>
      </c>
      <c r="C194" s="33" t="s">
        <v>210</v>
      </c>
      <c r="D194" s="18"/>
      <c r="E194" s="19" t="s">
        <v>528</v>
      </c>
    </row>
    <row r="195" spans="1:5">
      <c r="A195" s="103"/>
      <c r="B195" s="3" t="s">
        <v>209</v>
      </c>
      <c r="C195" s="33" t="s">
        <v>221</v>
      </c>
      <c r="D195" s="18"/>
      <c r="E195" s="19" t="s">
        <v>529</v>
      </c>
    </row>
    <row r="196" spans="1:5">
      <c r="A196" s="103"/>
      <c r="B196" s="3" t="s">
        <v>210</v>
      </c>
      <c r="C196" s="33" t="s">
        <v>207</v>
      </c>
      <c r="D196" s="18"/>
      <c r="E196" s="19" t="s">
        <v>530</v>
      </c>
    </row>
    <row r="197" spans="1:5">
      <c r="A197" s="103"/>
      <c r="B197" s="3" t="s">
        <v>211</v>
      </c>
      <c r="C197" s="33" t="s">
        <v>216</v>
      </c>
      <c r="D197" s="18"/>
      <c r="E197" s="19" t="s">
        <v>531</v>
      </c>
    </row>
    <row r="198" spans="1:5">
      <c r="A198" s="103"/>
      <c r="B198" s="3" t="s">
        <v>212</v>
      </c>
      <c r="C198" s="33" t="s">
        <v>218</v>
      </c>
      <c r="D198" s="18"/>
      <c r="E198" s="19" t="s">
        <v>532</v>
      </c>
    </row>
    <row r="199" spans="1:5">
      <c r="A199" s="103"/>
      <c r="B199" s="3" t="s">
        <v>213</v>
      </c>
      <c r="C199" s="33" t="s">
        <v>213</v>
      </c>
      <c r="D199" s="18"/>
      <c r="E199" s="19" t="s">
        <v>533</v>
      </c>
    </row>
    <row r="200" spans="1:5">
      <c r="A200" s="103"/>
      <c r="B200" s="3" t="s">
        <v>214</v>
      </c>
      <c r="C200" s="33" t="s">
        <v>220</v>
      </c>
      <c r="D200" s="18"/>
      <c r="E200" s="19" t="s">
        <v>534</v>
      </c>
    </row>
    <row r="201" spans="1:5">
      <c r="A201" s="103"/>
      <c r="B201" s="3" t="s">
        <v>215</v>
      </c>
      <c r="C201" s="33" t="s">
        <v>208</v>
      </c>
      <c r="D201" s="18"/>
      <c r="E201" s="19" t="s">
        <v>535</v>
      </c>
    </row>
    <row r="202" spans="1:5">
      <c r="A202" s="103"/>
      <c r="B202" s="3" t="s">
        <v>216</v>
      </c>
      <c r="C202" s="33" t="s">
        <v>211</v>
      </c>
      <c r="D202" s="18"/>
      <c r="E202" s="19" t="s">
        <v>536</v>
      </c>
    </row>
    <row r="203" spans="1:5">
      <c r="A203" s="103"/>
      <c r="B203" s="3" t="s">
        <v>217</v>
      </c>
      <c r="C203" s="33" t="s">
        <v>223</v>
      </c>
      <c r="D203" s="18"/>
      <c r="E203" s="19" t="s">
        <v>537</v>
      </c>
    </row>
    <row r="204" spans="1:5">
      <c r="A204" s="103"/>
      <c r="B204" s="3" t="s">
        <v>218</v>
      </c>
      <c r="C204" s="33" t="s">
        <v>222</v>
      </c>
      <c r="D204" s="18"/>
      <c r="E204" s="19" t="s">
        <v>538</v>
      </c>
    </row>
    <row r="205" spans="1:5">
      <c r="A205" s="103"/>
      <c r="B205" s="3" t="s">
        <v>219</v>
      </c>
      <c r="C205" s="33" t="s">
        <v>217</v>
      </c>
      <c r="D205" s="18"/>
      <c r="E205" s="19" t="s">
        <v>539</v>
      </c>
    </row>
    <row r="206" spans="1:5">
      <c r="A206" s="103"/>
      <c r="B206" s="3" t="s">
        <v>220</v>
      </c>
      <c r="C206" s="33" t="s">
        <v>209</v>
      </c>
      <c r="D206" s="18"/>
      <c r="E206" s="19" t="s">
        <v>540</v>
      </c>
    </row>
    <row r="207" spans="1:5">
      <c r="A207" s="103"/>
      <c r="B207" s="3" t="s">
        <v>221</v>
      </c>
      <c r="C207" s="33" t="s">
        <v>212</v>
      </c>
      <c r="D207" s="18"/>
      <c r="E207" s="19" t="s">
        <v>541</v>
      </c>
    </row>
    <row r="208" spans="1:5">
      <c r="A208" s="103"/>
      <c r="B208" s="3" t="s">
        <v>222</v>
      </c>
      <c r="C208" s="33" t="s">
        <v>214</v>
      </c>
      <c r="D208" s="18"/>
      <c r="E208" s="19" t="s">
        <v>542</v>
      </c>
    </row>
    <row r="209" spans="1:8">
      <c r="A209" s="103"/>
      <c r="B209" s="3" t="s">
        <v>223</v>
      </c>
      <c r="C209" s="33" t="s">
        <v>215</v>
      </c>
      <c r="D209" s="36"/>
      <c r="E209" s="19" t="s">
        <v>543</v>
      </c>
    </row>
    <row r="210" spans="1:8">
      <c r="A210" s="103" t="s">
        <v>20</v>
      </c>
      <c r="B210" s="3" t="s">
        <v>224</v>
      </c>
      <c r="C210" s="33" t="s">
        <v>226</v>
      </c>
      <c r="D210" s="18"/>
      <c r="E210" s="19" t="s">
        <v>544</v>
      </c>
    </row>
    <row r="211" spans="1:8">
      <c r="A211" s="103"/>
      <c r="B211" s="3" t="s">
        <v>225</v>
      </c>
      <c r="C211" s="33" t="s">
        <v>225</v>
      </c>
      <c r="D211" s="18"/>
      <c r="E211" s="19" t="s">
        <v>545</v>
      </c>
    </row>
    <row r="212" spans="1:8">
      <c r="A212" s="103"/>
      <c r="B212" s="3" t="s">
        <v>226</v>
      </c>
      <c r="C212" s="33" t="s">
        <v>228</v>
      </c>
      <c r="D212" s="18"/>
      <c r="E212" s="19" t="s">
        <v>546</v>
      </c>
    </row>
    <row r="213" spans="1:8">
      <c r="A213" s="103"/>
      <c r="B213" s="3" t="s">
        <v>227</v>
      </c>
      <c r="C213" s="33" t="s">
        <v>224</v>
      </c>
      <c r="D213" s="18"/>
      <c r="E213" s="19" t="s">
        <v>547</v>
      </c>
    </row>
    <row r="214" spans="1:8">
      <c r="A214" s="103"/>
      <c r="B214" s="3" t="s">
        <v>228</v>
      </c>
      <c r="C214" s="33" t="s">
        <v>227</v>
      </c>
      <c r="D214" s="36"/>
      <c r="E214" s="19" t="s">
        <v>548</v>
      </c>
    </row>
    <row r="215" spans="1:8">
      <c r="A215" s="103"/>
      <c r="C215" s="33" t="s">
        <v>549</v>
      </c>
      <c r="D215" s="18"/>
      <c r="E215" s="19" t="s">
        <v>550</v>
      </c>
    </row>
    <row r="216" spans="1:8">
      <c r="A216" s="103"/>
      <c r="C216" s="33" t="s">
        <v>551</v>
      </c>
      <c r="D216" s="18"/>
      <c r="E216" s="19" t="s">
        <v>552</v>
      </c>
    </row>
    <row r="217" spans="1:8">
      <c r="A217" s="103" t="s">
        <v>21</v>
      </c>
      <c r="B217" s="3" t="s">
        <v>229</v>
      </c>
      <c r="C217" s="33" t="s">
        <v>231</v>
      </c>
      <c r="D217" s="18"/>
      <c r="E217" s="19" t="s">
        <v>553</v>
      </c>
    </row>
    <row r="218" spans="1:8">
      <c r="A218" s="103"/>
      <c r="B218" s="3" t="s">
        <v>230</v>
      </c>
      <c r="C218" s="33" t="s">
        <v>236</v>
      </c>
      <c r="D218" s="18"/>
      <c r="E218" s="19" t="s">
        <v>554</v>
      </c>
    </row>
    <row r="219" spans="1:8">
      <c r="A219" s="103"/>
      <c r="B219" s="3" t="s">
        <v>231</v>
      </c>
      <c r="C219" s="33" t="s">
        <v>232</v>
      </c>
      <c r="D219" s="18"/>
      <c r="E219" s="19" t="s">
        <v>555</v>
      </c>
    </row>
    <row r="220" spans="1:8">
      <c r="A220" s="103"/>
      <c r="B220" s="3" t="s">
        <v>232</v>
      </c>
      <c r="C220" s="33" t="s">
        <v>230</v>
      </c>
      <c r="D220" s="18"/>
      <c r="E220" s="19" t="s">
        <v>556</v>
      </c>
    </row>
    <row r="221" spans="1:8">
      <c r="A221" s="103"/>
      <c r="B221" s="3" t="s">
        <v>233</v>
      </c>
      <c r="C221" s="33" t="s">
        <v>234</v>
      </c>
      <c r="D221" s="18"/>
      <c r="E221" s="19" t="s">
        <v>557</v>
      </c>
    </row>
    <row r="222" spans="1:8">
      <c r="A222" s="103"/>
      <c r="B222" s="3" t="s">
        <v>234</v>
      </c>
      <c r="C222" s="33" t="s">
        <v>233</v>
      </c>
      <c r="D222" s="18"/>
      <c r="E222" s="19" t="s">
        <v>558</v>
      </c>
    </row>
    <row r="223" spans="1:8">
      <c r="A223" s="103"/>
      <c r="B223" s="3" t="s">
        <v>235</v>
      </c>
      <c r="C223" s="33" t="s">
        <v>229</v>
      </c>
      <c r="D223" s="18" t="s">
        <v>739</v>
      </c>
      <c r="E223" s="19" t="s">
        <v>559</v>
      </c>
      <c r="F223" s="3">
        <v>282</v>
      </c>
      <c r="G223" s="9">
        <v>1</v>
      </c>
      <c r="H223" s="3">
        <v>282</v>
      </c>
    </row>
    <row r="224" spans="1:8">
      <c r="A224" s="103"/>
      <c r="B224" s="3" t="s">
        <v>236</v>
      </c>
      <c r="C224" s="33" t="s">
        <v>235</v>
      </c>
      <c r="D224" s="18"/>
      <c r="E224" s="19" t="s">
        <v>560</v>
      </c>
    </row>
    <row r="225" spans="1:8">
      <c r="A225" s="103" t="s">
        <v>22</v>
      </c>
      <c r="B225" s="3" t="s">
        <v>237</v>
      </c>
      <c r="C225" s="33" t="s">
        <v>237</v>
      </c>
      <c r="D225" s="18" t="s">
        <v>747</v>
      </c>
      <c r="E225" s="19" t="s">
        <v>561</v>
      </c>
      <c r="F225" s="3">
        <v>85</v>
      </c>
      <c r="G225" s="9">
        <v>1</v>
      </c>
      <c r="H225" s="3">
        <v>85</v>
      </c>
    </row>
    <row r="226" spans="1:8">
      <c r="A226" s="103"/>
      <c r="B226" s="3" t="s">
        <v>238</v>
      </c>
      <c r="C226" s="33" t="s">
        <v>238</v>
      </c>
      <c r="D226" s="18"/>
      <c r="E226" s="19" t="s">
        <v>562</v>
      </c>
    </row>
    <row r="227" spans="1:8">
      <c r="A227" s="103" t="s">
        <v>23</v>
      </c>
      <c r="B227" s="3" t="s">
        <v>239</v>
      </c>
      <c r="C227" s="33" t="s">
        <v>241</v>
      </c>
      <c r="D227" s="18"/>
      <c r="E227" s="19" t="s">
        <v>563</v>
      </c>
    </row>
    <row r="228" spans="1:8">
      <c r="A228" s="103"/>
      <c r="B228" s="3" t="s">
        <v>240</v>
      </c>
      <c r="C228" s="33" t="s">
        <v>239</v>
      </c>
      <c r="D228" s="18"/>
      <c r="E228" s="19" t="s">
        <v>564</v>
      </c>
    </row>
    <row r="229" spans="1:8">
      <c r="A229" s="103"/>
      <c r="B229" s="3" t="s">
        <v>241</v>
      </c>
      <c r="C229" s="33" t="s">
        <v>242</v>
      </c>
      <c r="D229" s="18" t="s">
        <v>744</v>
      </c>
      <c r="E229" s="19" t="s">
        <v>565</v>
      </c>
      <c r="F229" s="3">
        <v>175</v>
      </c>
      <c r="G229" s="9">
        <v>1</v>
      </c>
      <c r="H229" s="3">
        <v>175</v>
      </c>
    </row>
    <row r="230" spans="1:8">
      <c r="A230" s="103"/>
      <c r="B230" s="3" t="s">
        <v>242</v>
      </c>
      <c r="C230" s="33" t="s">
        <v>240</v>
      </c>
      <c r="D230" s="18"/>
      <c r="E230" s="19" t="s">
        <v>566</v>
      </c>
    </row>
    <row r="231" spans="1:8">
      <c r="A231" s="103" t="s">
        <v>24</v>
      </c>
      <c r="B231" s="3" t="s">
        <v>243</v>
      </c>
      <c r="C231" s="33" t="s">
        <v>243</v>
      </c>
      <c r="D231" s="18"/>
      <c r="E231" s="19" t="s">
        <v>567</v>
      </c>
    </row>
    <row r="232" spans="1:8">
      <c r="A232" s="103"/>
      <c r="B232" s="3" t="s">
        <v>244</v>
      </c>
      <c r="C232" s="33" t="s">
        <v>245</v>
      </c>
      <c r="D232" s="18"/>
      <c r="E232" s="19" t="s">
        <v>568</v>
      </c>
    </row>
    <row r="233" spans="1:8">
      <c r="A233" s="103"/>
      <c r="B233" s="3" t="s">
        <v>245</v>
      </c>
      <c r="C233" s="33" t="s">
        <v>244</v>
      </c>
      <c r="D233" s="18"/>
      <c r="E233" s="19" t="s">
        <v>569</v>
      </c>
    </row>
    <row r="234" spans="1:8">
      <c r="A234" s="103"/>
      <c r="B234" s="3" t="s">
        <v>246</v>
      </c>
      <c r="C234" s="33" t="s">
        <v>246</v>
      </c>
      <c r="D234" s="18"/>
      <c r="E234" s="19" t="s">
        <v>570</v>
      </c>
    </row>
    <row r="235" spans="1:8">
      <c r="A235" s="103"/>
      <c r="C235" s="33" t="s">
        <v>571</v>
      </c>
      <c r="D235" s="18"/>
      <c r="E235" s="19" t="s">
        <v>572</v>
      </c>
    </row>
    <row r="236" spans="1:8">
      <c r="A236" s="103" t="s">
        <v>25</v>
      </c>
      <c r="B236" s="3" t="s">
        <v>247</v>
      </c>
      <c r="C236" s="33" t="s">
        <v>247</v>
      </c>
      <c r="D236" s="18"/>
      <c r="E236" s="19" t="s">
        <v>573</v>
      </c>
    </row>
    <row r="237" spans="1:8">
      <c r="A237" s="103"/>
      <c r="B237" s="3" t="s">
        <v>248</v>
      </c>
      <c r="C237" s="33" t="s">
        <v>248</v>
      </c>
      <c r="D237" s="18"/>
      <c r="E237" s="19" t="s">
        <v>574</v>
      </c>
    </row>
    <row r="238" spans="1:8">
      <c r="A238" s="103"/>
      <c r="B238" s="3" t="s">
        <v>249</v>
      </c>
      <c r="C238" s="33" t="s">
        <v>252</v>
      </c>
      <c r="D238" s="18"/>
      <c r="E238" s="19" t="s">
        <v>575</v>
      </c>
    </row>
    <row r="239" spans="1:8">
      <c r="A239" s="103"/>
      <c r="B239" s="3" t="s">
        <v>250</v>
      </c>
      <c r="C239" s="33" t="s">
        <v>254</v>
      </c>
      <c r="D239" s="18"/>
      <c r="E239" s="19" t="s">
        <v>576</v>
      </c>
    </row>
    <row r="240" spans="1:8">
      <c r="A240" s="103"/>
      <c r="B240" s="3" t="s">
        <v>251</v>
      </c>
      <c r="C240" s="33" t="s">
        <v>251</v>
      </c>
      <c r="D240" s="36"/>
      <c r="E240" s="19" t="s">
        <v>577</v>
      </c>
    </row>
    <row r="241" spans="1:8">
      <c r="A241" s="103"/>
      <c r="B241" s="3" t="s">
        <v>252</v>
      </c>
      <c r="C241" s="33" t="s">
        <v>253</v>
      </c>
      <c r="D241" s="18"/>
      <c r="E241" s="19" t="s">
        <v>578</v>
      </c>
    </row>
    <row r="242" spans="1:8">
      <c r="A242" s="103"/>
      <c r="B242" s="3" t="s">
        <v>253</v>
      </c>
      <c r="C242" s="33" t="s">
        <v>250</v>
      </c>
      <c r="D242" s="18" t="s">
        <v>746</v>
      </c>
      <c r="E242" s="19" t="s">
        <v>579</v>
      </c>
      <c r="F242" s="3">
        <v>130</v>
      </c>
      <c r="G242" s="9">
        <v>1</v>
      </c>
      <c r="H242" s="3">
        <v>130</v>
      </c>
    </row>
    <row r="243" spans="1:8">
      <c r="A243" s="103"/>
      <c r="B243" s="3" t="s">
        <v>254</v>
      </c>
      <c r="C243" s="33" t="s">
        <v>249</v>
      </c>
      <c r="D243" s="18"/>
      <c r="E243" s="19" t="s">
        <v>580</v>
      </c>
    </row>
    <row r="244" spans="1:8">
      <c r="A244" s="103" t="s">
        <v>26</v>
      </c>
      <c r="B244" s="3" t="s">
        <v>255</v>
      </c>
      <c r="C244" s="33" t="s">
        <v>294</v>
      </c>
      <c r="D244" s="36"/>
      <c r="E244" s="19" t="s">
        <v>581</v>
      </c>
    </row>
    <row r="245" spans="1:8" ht="29.25">
      <c r="A245" s="103"/>
      <c r="B245" s="3" t="s">
        <v>256</v>
      </c>
      <c r="C245" s="33" t="s">
        <v>268</v>
      </c>
      <c r="D245" s="18"/>
      <c r="E245" s="19" t="s">
        <v>582</v>
      </c>
    </row>
    <row r="246" spans="1:8">
      <c r="A246" s="103"/>
      <c r="B246" s="3" t="s">
        <v>257</v>
      </c>
      <c r="C246" s="33" t="s">
        <v>280</v>
      </c>
      <c r="D246" s="18"/>
      <c r="E246" s="19" t="s">
        <v>583</v>
      </c>
    </row>
    <row r="247" spans="1:8">
      <c r="A247" s="103"/>
      <c r="B247" s="3" t="s">
        <v>258</v>
      </c>
      <c r="C247" s="33" t="s">
        <v>270</v>
      </c>
      <c r="D247" s="18"/>
      <c r="E247" s="19" t="s">
        <v>584</v>
      </c>
    </row>
    <row r="248" spans="1:8">
      <c r="A248" s="103"/>
      <c r="B248" s="3" t="s">
        <v>259</v>
      </c>
      <c r="C248" s="33" t="s">
        <v>285</v>
      </c>
      <c r="D248" s="18"/>
      <c r="E248" s="19" t="s">
        <v>585</v>
      </c>
    </row>
    <row r="249" spans="1:8">
      <c r="A249" s="103"/>
      <c r="B249" s="3" t="s">
        <v>260</v>
      </c>
      <c r="C249" s="33" t="s">
        <v>264</v>
      </c>
      <c r="D249" s="18"/>
      <c r="E249" s="19" t="s">
        <v>586</v>
      </c>
    </row>
    <row r="250" spans="1:8">
      <c r="A250" s="103"/>
      <c r="B250" s="3" t="s">
        <v>261</v>
      </c>
      <c r="C250" s="33" t="s">
        <v>269</v>
      </c>
      <c r="D250" s="18"/>
      <c r="E250" s="19" t="s">
        <v>587</v>
      </c>
    </row>
    <row r="251" spans="1:8" ht="29.25">
      <c r="A251" s="103"/>
      <c r="B251" s="3" t="s">
        <v>262</v>
      </c>
      <c r="C251" s="33" t="s">
        <v>277</v>
      </c>
      <c r="D251" s="18"/>
      <c r="E251" s="19" t="s">
        <v>588</v>
      </c>
    </row>
    <row r="252" spans="1:8">
      <c r="A252" s="103"/>
      <c r="B252" s="3" t="s">
        <v>263</v>
      </c>
      <c r="C252" s="33" t="s">
        <v>295</v>
      </c>
      <c r="D252" s="18"/>
      <c r="E252" s="19" t="s">
        <v>589</v>
      </c>
    </row>
    <row r="253" spans="1:8">
      <c r="A253" s="103"/>
      <c r="B253" s="3" t="s">
        <v>264</v>
      </c>
      <c r="C253" s="33" t="s">
        <v>266</v>
      </c>
      <c r="D253" s="18"/>
      <c r="E253" s="19" t="s">
        <v>590</v>
      </c>
    </row>
    <row r="254" spans="1:8">
      <c r="A254" s="103"/>
      <c r="B254" s="3" t="s">
        <v>265</v>
      </c>
      <c r="C254" s="33" t="s">
        <v>263</v>
      </c>
      <c r="D254" s="18"/>
      <c r="E254" s="19" t="s">
        <v>591</v>
      </c>
    </row>
    <row r="255" spans="1:8">
      <c r="A255" s="103"/>
      <c r="B255" s="3" t="s">
        <v>266</v>
      </c>
      <c r="C255" s="33" t="s">
        <v>279</v>
      </c>
      <c r="D255" s="18"/>
      <c r="E255" s="19" t="s">
        <v>592</v>
      </c>
    </row>
    <row r="256" spans="1:8" ht="29.25">
      <c r="A256" s="103"/>
      <c r="B256" s="3" t="s">
        <v>267</v>
      </c>
      <c r="C256" s="33" t="s">
        <v>272</v>
      </c>
      <c r="D256" s="18"/>
      <c r="E256" s="19" t="s">
        <v>593</v>
      </c>
    </row>
    <row r="257" spans="1:5">
      <c r="A257" s="103"/>
      <c r="B257" s="3" t="s">
        <v>268</v>
      </c>
      <c r="C257" s="33" t="s">
        <v>271</v>
      </c>
      <c r="D257" s="18"/>
      <c r="E257" s="19" t="s">
        <v>594</v>
      </c>
    </row>
    <row r="258" spans="1:5" ht="29.25">
      <c r="A258" s="103"/>
      <c r="B258" s="3" t="s">
        <v>269</v>
      </c>
      <c r="C258" s="33" t="s">
        <v>275</v>
      </c>
      <c r="D258" s="18"/>
      <c r="E258" s="19" t="s">
        <v>595</v>
      </c>
    </row>
    <row r="259" spans="1:5">
      <c r="A259" s="103"/>
      <c r="B259" s="3" t="s">
        <v>270</v>
      </c>
      <c r="C259" s="33" t="s">
        <v>267</v>
      </c>
      <c r="D259" s="18"/>
      <c r="E259" s="19" t="s">
        <v>596</v>
      </c>
    </row>
    <row r="260" spans="1:5">
      <c r="A260" s="103"/>
      <c r="B260" s="3" t="s">
        <v>271</v>
      </c>
      <c r="C260" s="33" t="s">
        <v>274</v>
      </c>
      <c r="D260" s="18"/>
      <c r="E260" s="19" t="s">
        <v>597</v>
      </c>
    </row>
    <row r="261" spans="1:5">
      <c r="A261" s="103"/>
      <c r="B261" s="3" t="s">
        <v>272</v>
      </c>
      <c r="C261" s="33" t="s">
        <v>282</v>
      </c>
      <c r="D261" s="18"/>
      <c r="E261" s="19" t="s">
        <v>598</v>
      </c>
    </row>
    <row r="262" spans="1:5">
      <c r="A262" s="103"/>
      <c r="B262" s="3" t="s">
        <v>273</v>
      </c>
      <c r="C262" s="33" t="s">
        <v>287</v>
      </c>
      <c r="D262" s="18"/>
      <c r="E262" s="19" t="s">
        <v>599</v>
      </c>
    </row>
    <row r="263" spans="1:5">
      <c r="A263" s="103"/>
      <c r="B263" s="3" t="s">
        <v>274</v>
      </c>
      <c r="C263" s="33" t="s">
        <v>265</v>
      </c>
      <c r="D263" s="18"/>
      <c r="E263" s="19" t="s">
        <v>600</v>
      </c>
    </row>
    <row r="264" spans="1:5">
      <c r="A264" s="103"/>
      <c r="B264" s="3" t="s">
        <v>275</v>
      </c>
      <c r="C264" s="33" t="s">
        <v>293</v>
      </c>
      <c r="D264" s="18"/>
      <c r="E264" s="19" t="s">
        <v>601</v>
      </c>
    </row>
    <row r="265" spans="1:5">
      <c r="A265" s="103"/>
      <c r="B265" s="3" t="s">
        <v>276</v>
      </c>
      <c r="C265" s="33" t="s">
        <v>292</v>
      </c>
      <c r="D265" s="18"/>
      <c r="E265" s="19" t="s">
        <v>602</v>
      </c>
    </row>
    <row r="266" spans="1:5" ht="29.25">
      <c r="A266" s="103"/>
      <c r="B266" s="3" t="s">
        <v>277</v>
      </c>
      <c r="C266" s="33" t="s">
        <v>291</v>
      </c>
      <c r="D266" s="18"/>
      <c r="E266" s="19" t="s">
        <v>603</v>
      </c>
    </row>
    <row r="267" spans="1:5">
      <c r="A267" s="103"/>
      <c r="B267" s="3" t="s">
        <v>278</v>
      </c>
      <c r="C267" s="33" t="s">
        <v>290</v>
      </c>
      <c r="D267" s="18"/>
      <c r="E267" s="19" t="s">
        <v>604</v>
      </c>
    </row>
    <row r="268" spans="1:5" ht="29.25">
      <c r="A268" s="103"/>
      <c r="B268" s="3" t="s">
        <v>279</v>
      </c>
      <c r="C268" s="33" t="s">
        <v>289</v>
      </c>
      <c r="D268" s="18"/>
      <c r="E268" s="19" t="s">
        <v>605</v>
      </c>
    </row>
    <row r="269" spans="1:5" ht="29.25">
      <c r="A269" s="103"/>
      <c r="B269" s="3" t="s">
        <v>280</v>
      </c>
      <c r="C269" s="33" t="s">
        <v>286</v>
      </c>
      <c r="D269" s="18"/>
      <c r="E269" s="19" t="s">
        <v>606</v>
      </c>
    </row>
    <row r="270" spans="1:5">
      <c r="A270" s="103"/>
      <c r="B270" s="3" t="s">
        <v>281</v>
      </c>
      <c r="C270" s="33" t="s">
        <v>283</v>
      </c>
      <c r="D270" s="18"/>
      <c r="E270" s="19" t="s">
        <v>607</v>
      </c>
    </row>
    <row r="271" spans="1:5">
      <c r="A271" s="103"/>
      <c r="B271" s="3" t="s">
        <v>282</v>
      </c>
      <c r="C271" s="33" t="s">
        <v>276</v>
      </c>
      <c r="D271" s="18"/>
      <c r="E271" s="19" t="s">
        <v>608</v>
      </c>
    </row>
    <row r="272" spans="1:5">
      <c r="A272" s="103"/>
      <c r="B272" s="3" t="s">
        <v>283</v>
      </c>
      <c r="C272" s="33" t="s">
        <v>273</v>
      </c>
      <c r="D272" s="18"/>
      <c r="E272" s="19" t="s">
        <v>609</v>
      </c>
    </row>
    <row r="273" spans="1:8" ht="29.25">
      <c r="A273" s="103"/>
      <c r="B273" s="3" t="s">
        <v>284</v>
      </c>
      <c r="C273" s="33" t="s">
        <v>288</v>
      </c>
      <c r="D273" s="18"/>
      <c r="E273" s="19" t="s">
        <v>610</v>
      </c>
    </row>
    <row r="274" spans="1:8">
      <c r="A274" s="103"/>
      <c r="B274" s="3" t="s">
        <v>285</v>
      </c>
      <c r="C274" s="33" t="s">
        <v>284</v>
      </c>
      <c r="D274" s="18"/>
      <c r="E274" s="19" t="s">
        <v>611</v>
      </c>
    </row>
    <row r="275" spans="1:8">
      <c r="A275" s="103"/>
      <c r="B275" s="3" t="s">
        <v>286</v>
      </c>
      <c r="C275" s="33" t="s">
        <v>281</v>
      </c>
      <c r="D275" s="18"/>
      <c r="E275" s="19" t="s">
        <v>612</v>
      </c>
    </row>
    <row r="276" spans="1:8">
      <c r="A276" s="103"/>
      <c r="B276" s="3" t="s">
        <v>287</v>
      </c>
      <c r="C276" s="33" t="s">
        <v>278</v>
      </c>
      <c r="D276" s="18"/>
      <c r="E276" s="19" t="s">
        <v>613</v>
      </c>
    </row>
    <row r="277" spans="1:8">
      <c r="A277" s="103"/>
      <c r="B277" s="3" t="s">
        <v>288</v>
      </c>
      <c r="C277" s="33" t="s">
        <v>255</v>
      </c>
      <c r="D277" s="18"/>
      <c r="E277" s="19" t="s">
        <v>614</v>
      </c>
    </row>
    <row r="278" spans="1:8">
      <c r="A278" s="103"/>
      <c r="B278" s="3" t="s">
        <v>289</v>
      </c>
      <c r="C278" s="33" t="s">
        <v>256</v>
      </c>
      <c r="D278" s="18"/>
      <c r="E278" s="19" t="s">
        <v>615</v>
      </c>
    </row>
    <row r="279" spans="1:8">
      <c r="A279" s="103"/>
      <c r="B279" s="3" t="s">
        <v>290</v>
      </c>
      <c r="C279" s="33" t="s">
        <v>261</v>
      </c>
      <c r="D279" s="18"/>
      <c r="E279" s="19" t="s">
        <v>616</v>
      </c>
    </row>
    <row r="280" spans="1:8">
      <c r="A280" s="103"/>
      <c r="B280" s="3" t="s">
        <v>291</v>
      </c>
      <c r="C280" s="33" t="s">
        <v>259</v>
      </c>
      <c r="D280" s="18" t="s">
        <v>743</v>
      </c>
      <c r="E280" s="19" t="s">
        <v>617</v>
      </c>
      <c r="F280" s="3">
        <v>42</v>
      </c>
      <c r="G280" s="9">
        <v>1</v>
      </c>
      <c r="H280" s="3">
        <v>42</v>
      </c>
    </row>
    <row r="281" spans="1:8">
      <c r="A281" s="103"/>
      <c r="B281" s="3" t="s">
        <v>292</v>
      </c>
      <c r="C281" s="33" t="s">
        <v>260</v>
      </c>
      <c r="D281" s="35"/>
      <c r="E281" s="19" t="s">
        <v>618</v>
      </c>
    </row>
    <row r="282" spans="1:8">
      <c r="A282" s="103"/>
      <c r="B282" s="3" t="s">
        <v>293</v>
      </c>
      <c r="C282" s="33" t="s">
        <v>258</v>
      </c>
      <c r="D282" s="18"/>
      <c r="E282" s="19" t="s">
        <v>619</v>
      </c>
    </row>
    <row r="283" spans="1:8">
      <c r="A283" s="103"/>
      <c r="B283" s="3" t="s">
        <v>294</v>
      </c>
      <c r="C283" s="33" t="s">
        <v>257</v>
      </c>
      <c r="D283" s="18"/>
      <c r="E283" s="19" t="s">
        <v>620</v>
      </c>
    </row>
    <row r="284" spans="1:8">
      <c r="A284" s="103"/>
      <c r="B284" s="3" t="s">
        <v>295</v>
      </c>
      <c r="C284" s="33" t="s">
        <v>262</v>
      </c>
      <c r="D284" s="18"/>
      <c r="E284" s="19" t="s">
        <v>621</v>
      </c>
    </row>
    <row r="285" spans="1:8">
      <c r="A285" s="103" t="s">
        <v>27</v>
      </c>
      <c r="B285" s="3" t="s">
        <v>296</v>
      </c>
      <c r="C285" s="24" t="s">
        <v>298</v>
      </c>
      <c r="E285" s="22" t="s">
        <v>630</v>
      </c>
    </row>
    <row r="286" spans="1:8">
      <c r="A286" s="103"/>
      <c r="B286" s="3" t="s">
        <v>297</v>
      </c>
      <c r="C286" s="22" t="s">
        <v>297</v>
      </c>
      <c r="E286" s="22" t="s">
        <v>631</v>
      </c>
    </row>
    <row r="287" spans="1:8" ht="15.75">
      <c r="A287" s="103"/>
      <c r="B287" s="3" t="s">
        <v>298</v>
      </c>
      <c r="C287" s="22" t="s">
        <v>299</v>
      </c>
      <c r="D287" t="s">
        <v>750</v>
      </c>
      <c r="E287" s="22" t="s">
        <v>632</v>
      </c>
      <c r="F287" s="3">
        <v>221.5</v>
      </c>
      <c r="G287" s="9">
        <f>F287/SUM($F$287:$F$290)</f>
        <v>0.15631616090331688</v>
      </c>
      <c r="H287" s="3">
        <v>221.5</v>
      </c>
    </row>
    <row r="288" spans="1:8">
      <c r="A288" s="103"/>
      <c r="B288" s="3" t="s">
        <v>299</v>
      </c>
      <c r="C288" s="33" t="s">
        <v>626</v>
      </c>
      <c r="E288" s="22" t="s">
        <v>633</v>
      </c>
    </row>
    <row r="289" spans="1:8">
      <c r="A289" s="103"/>
      <c r="B289" s="3" t="s">
        <v>300</v>
      </c>
      <c r="C289" s="24" t="s">
        <v>627</v>
      </c>
      <c r="D289" s="3" t="s">
        <v>751</v>
      </c>
      <c r="E289" s="22" t="s">
        <v>634</v>
      </c>
      <c r="F289" s="3">
        <v>127.5</v>
      </c>
      <c r="G289" s="9">
        <f t="shared" ref="G289:G290" si="0">F289/SUM($F$287:$F$290)</f>
        <v>8.9978828510938608E-2</v>
      </c>
      <c r="H289" s="3">
        <v>127.5</v>
      </c>
    </row>
    <row r="290" spans="1:8" ht="75">
      <c r="A290" s="103"/>
      <c r="B290" s="3" t="s">
        <v>301</v>
      </c>
      <c r="C290" s="24" t="s">
        <v>628</v>
      </c>
      <c r="D290" s="28" t="s">
        <v>752</v>
      </c>
      <c r="E290" s="22" t="s">
        <v>635</v>
      </c>
      <c r="F290" s="3">
        <f>400+233+190+185+60</f>
        <v>1068</v>
      </c>
      <c r="G290" s="9">
        <f t="shared" si="0"/>
        <v>0.75370501058574457</v>
      </c>
      <c r="H290" s="3">
        <f>400+233+190+185+60</f>
        <v>1068</v>
      </c>
    </row>
    <row r="291" spans="1:8">
      <c r="A291" s="103"/>
      <c r="B291" s="3" t="s">
        <v>302</v>
      </c>
      <c r="C291" s="24" t="s">
        <v>629</v>
      </c>
      <c r="E291" s="22" t="s">
        <v>636</v>
      </c>
    </row>
    <row r="292" spans="1:8">
      <c r="A292" s="103" t="s">
        <v>637</v>
      </c>
      <c r="B292" s="3" t="s">
        <v>303</v>
      </c>
      <c r="C292" s="24" t="s">
        <v>305</v>
      </c>
      <c r="D292" s="23"/>
      <c r="E292" s="24" t="s">
        <v>638</v>
      </c>
    </row>
    <row r="293" spans="1:8">
      <c r="A293" s="103"/>
      <c r="B293" s="3" t="s">
        <v>304</v>
      </c>
      <c r="C293" s="24" t="s">
        <v>307</v>
      </c>
      <c r="D293" s="23"/>
      <c r="E293" s="24" t="s">
        <v>639</v>
      </c>
    </row>
    <row r="294" spans="1:8">
      <c r="A294" s="103"/>
      <c r="B294" s="3" t="s">
        <v>305</v>
      </c>
      <c r="C294" s="24" t="s">
        <v>309</v>
      </c>
      <c r="D294" s="23"/>
      <c r="E294" s="24" t="s">
        <v>640</v>
      </c>
    </row>
    <row r="295" spans="1:8">
      <c r="A295" s="103"/>
      <c r="B295" s="3" t="s">
        <v>306</v>
      </c>
      <c r="C295" s="24" t="s">
        <v>303</v>
      </c>
      <c r="D295" s="23"/>
      <c r="E295" s="24" t="s">
        <v>641</v>
      </c>
    </row>
    <row r="296" spans="1:8">
      <c r="A296" s="103"/>
      <c r="B296" s="3" t="s">
        <v>307</v>
      </c>
      <c r="C296" s="24" t="s">
        <v>308</v>
      </c>
      <c r="D296" s="23"/>
      <c r="E296" s="24" t="s">
        <v>642</v>
      </c>
    </row>
    <row r="297" spans="1:8">
      <c r="A297" s="103"/>
      <c r="B297" s="3" t="s">
        <v>308</v>
      </c>
      <c r="C297" s="24" t="s">
        <v>304</v>
      </c>
      <c r="D297" s="23"/>
      <c r="E297" s="24" t="s">
        <v>643</v>
      </c>
    </row>
    <row r="298" spans="1:8">
      <c r="A298" s="103"/>
      <c r="B298" s="3" t="s">
        <v>309</v>
      </c>
      <c r="C298" s="24" t="s">
        <v>306</v>
      </c>
      <c r="D298" s="23"/>
      <c r="E298" s="24" t="s">
        <v>644</v>
      </c>
    </row>
    <row r="299" spans="1:8">
      <c r="A299" s="29" t="s">
        <v>28</v>
      </c>
      <c r="B299" s="3" t="s">
        <v>310</v>
      </c>
      <c r="C299" s="37" t="s">
        <v>310</v>
      </c>
      <c r="D299" s="38" t="s">
        <v>749</v>
      </c>
      <c r="E299" s="37" t="s">
        <v>645</v>
      </c>
      <c r="F299" s="3">
        <v>120</v>
      </c>
      <c r="G299" s="9">
        <v>1</v>
      </c>
      <c r="H299" s="3">
        <v>120</v>
      </c>
    </row>
    <row r="300" spans="1:8">
      <c r="A300" s="27" t="s">
        <v>29</v>
      </c>
      <c r="B300" s="3" t="s">
        <v>311</v>
      </c>
      <c r="C300" s="22" t="s">
        <v>311</v>
      </c>
      <c r="D300" s="19"/>
      <c r="E300" s="19" t="s">
        <v>646</v>
      </c>
    </row>
    <row r="301" spans="1:8">
      <c r="A301" s="103" t="s">
        <v>30</v>
      </c>
      <c r="B301" s="3" t="s">
        <v>35</v>
      </c>
      <c r="C301" s="22" t="s">
        <v>33</v>
      </c>
      <c r="D301" s="19"/>
      <c r="E301" s="22" t="s">
        <v>647</v>
      </c>
    </row>
    <row r="302" spans="1:8">
      <c r="A302" s="103"/>
      <c r="B302" s="3" t="s">
        <v>34</v>
      </c>
      <c r="C302" s="22" t="s">
        <v>34</v>
      </c>
      <c r="D302" s="19"/>
      <c r="E302" s="22" t="s">
        <v>648</v>
      </c>
    </row>
    <row r="303" spans="1:8">
      <c r="A303" s="103"/>
      <c r="B303" s="3" t="s">
        <v>33</v>
      </c>
      <c r="C303" s="22" t="s">
        <v>35</v>
      </c>
      <c r="D303" s="19"/>
      <c r="E303" s="22" t="s">
        <v>649</v>
      </c>
    </row>
    <row r="304" spans="1:8">
      <c r="A304" s="103" t="s">
        <v>31</v>
      </c>
      <c r="B304" s="3" t="s">
        <v>312</v>
      </c>
      <c r="C304" s="22" t="s">
        <v>315</v>
      </c>
      <c r="D304" s="19"/>
      <c r="E304" s="22" t="s">
        <v>650</v>
      </c>
    </row>
    <row r="305" spans="1:8">
      <c r="A305" s="103"/>
      <c r="B305" s="3" t="s">
        <v>313</v>
      </c>
      <c r="C305" s="22" t="s">
        <v>314</v>
      </c>
      <c r="D305" s="19"/>
      <c r="E305" s="22" t="s">
        <v>651</v>
      </c>
    </row>
    <row r="306" spans="1:8" ht="29.25">
      <c r="A306" s="103"/>
      <c r="B306" s="3" t="s">
        <v>314</v>
      </c>
      <c r="C306" s="22" t="s">
        <v>313</v>
      </c>
      <c r="D306" s="19"/>
      <c r="E306" s="19" t="s">
        <v>652</v>
      </c>
    </row>
    <row r="307" spans="1:8">
      <c r="A307" s="103"/>
      <c r="B307" s="3" t="s">
        <v>315</v>
      </c>
      <c r="C307" s="22" t="s">
        <v>312</v>
      </c>
      <c r="D307" s="19"/>
      <c r="E307" s="19" t="s">
        <v>653</v>
      </c>
    </row>
    <row r="308" spans="1:8">
      <c r="A308" s="29" t="s">
        <v>32</v>
      </c>
      <c r="B308" s="3" t="s">
        <v>316</v>
      </c>
      <c r="C308" s="39" t="s">
        <v>656</v>
      </c>
    </row>
    <row r="309" spans="1:8">
      <c r="A309" s="29" t="s">
        <v>655</v>
      </c>
      <c r="B309" s="3" t="s">
        <v>658</v>
      </c>
      <c r="C309" s="39" t="s">
        <v>658</v>
      </c>
      <c r="E309" s="3" t="s">
        <v>655</v>
      </c>
    </row>
    <row r="310" spans="1:8" ht="15.75">
      <c r="A310" s="29" t="s">
        <v>654</v>
      </c>
      <c r="C310" s="39" t="s">
        <v>657</v>
      </c>
      <c r="D310" t="s">
        <v>748</v>
      </c>
      <c r="E310" s="3" t="s">
        <v>654</v>
      </c>
      <c r="F310" s="3">
        <f>346+312+205+250</f>
        <v>1113</v>
      </c>
      <c r="G310" s="9">
        <v>1</v>
      </c>
      <c r="H310" s="3">
        <f>346+312+205+250</f>
        <v>1113</v>
      </c>
    </row>
    <row r="311" spans="1:8" ht="15.95" customHeight="1">
      <c r="D311" s="47"/>
    </row>
    <row r="312" spans="1:8" ht="15.95" customHeight="1">
      <c r="D312" s="48"/>
    </row>
    <row r="313" spans="1:8" ht="15.95" customHeight="1"/>
  </sheetData>
  <mergeCells count="27">
    <mergeCell ref="A292:A298"/>
    <mergeCell ref="A301:A303"/>
    <mergeCell ref="A304:A307"/>
    <mergeCell ref="A225:A226"/>
    <mergeCell ref="A227:A230"/>
    <mergeCell ref="A231:A235"/>
    <mergeCell ref="A236:A243"/>
    <mergeCell ref="A244:A284"/>
    <mergeCell ref="A285:A291"/>
    <mergeCell ref="A217:A224"/>
    <mergeCell ref="A74:A86"/>
    <mergeCell ref="A87:A105"/>
    <mergeCell ref="A106:A132"/>
    <mergeCell ref="A133:A136"/>
    <mergeCell ref="A137:A157"/>
    <mergeCell ref="A160:A161"/>
    <mergeCell ref="A163:A170"/>
    <mergeCell ref="A172:A183"/>
    <mergeCell ref="A184:A192"/>
    <mergeCell ref="A193:A209"/>
    <mergeCell ref="A210:A216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0"/>
  <sheetViews>
    <sheetView zoomScale="84" workbookViewId="0">
      <selection activeCell="H19" sqref="H19"/>
    </sheetView>
  </sheetViews>
  <sheetFormatPr baseColWidth="10" defaultColWidth="10.875" defaultRowHeight="15"/>
  <cols>
    <col min="1" max="1" width="19" style="3" bestFit="1" customWidth="1"/>
    <col min="2" max="2" width="13.5" style="3" hidden="1" customWidth="1"/>
    <col min="3" max="3" width="6.125" style="3" bestFit="1" customWidth="1"/>
    <col min="4" max="4" width="20.875" style="3" customWidth="1"/>
    <col min="5" max="5" width="29.875" style="3" bestFit="1" customWidth="1"/>
    <col min="6" max="6" width="20.5" style="3" bestFit="1" customWidth="1"/>
    <col min="7" max="7" width="10" style="9" bestFit="1" customWidth="1"/>
    <col min="8" max="8" width="24" style="3" bestFit="1" customWidth="1"/>
    <col min="9" max="9" width="16.875" style="3" bestFit="1" customWidth="1"/>
    <col min="10" max="10" width="20.625" style="3" bestFit="1" customWidth="1"/>
    <col min="11" max="16384" width="10.875" style="3"/>
  </cols>
  <sheetData>
    <row r="1" spans="1:15">
      <c r="A1" s="25" t="s">
        <v>0</v>
      </c>
      <c r="B1" s="25" t="s">
        <v>659</v>
      </c>
      <c r="C1" s="25" t="s">
        <v>1</v>
      </c>
      <c r="D1" s="25" t="s">
        <v>2</v>
      </c>
      <c r="E1" s="25" t="s">
        <v>660</v>
      </c>
      <c r="F1" s="25" t="s">
        <v>737</v>
      </c>
      <c r="G1" s="26" t="s">
        <v>738</v>
      </c>
      <c r="H1" s="2"/>
      <c r="I1" s="2"/>
      <c r="J1" s="2"/>
      <c r="L1" s="4"/>
      <c r="M1" s="4"/>
      <c r="N1" s="4"/>
      <c r="O1" s="4"/>
    </row>
    <row r="2" spans="1:15" ht="30">
      <c r="A2" s="103" t="s">
        <v>3</v>
      </c>
      <c r="B2" s="3" t="s">
        <v>37</v>
      </c>
      <c r="C2" s="6" t="s">
        <v>36</v>
      </c>
      <c r="D2" s="7"/>
      <c r="E2" s="8" t="s">
        <v>622</v>
      </c>
      <c r="I2" s="4"/>
      <c r="J2" s="4"/>
      <c r="K2" s="5"/>
      <c r="L2" s="4"/>
    </row>
    <row r="3" spans="1:15">
      <c r="A3" s="103"/>
      <c r="B3" s="3" t="s">
        <v>38</v>
      </c>
      <c r="C3" s="6" t="s">
        <v>46</v>
      </c>
      <c r="D3" s="7" t="s">
        <v>661</v>
      </c>
      <c r="E3" s="8" t="s">
        <v>317</v>
      </c>
      <c r="F3" s="3">
        <v>460</v>
      </c>
      <c r="G3" s="9">
        <f>F3/SUM($F$3:$F$12)</f>
        <v>0.4448742746615087</v>
      </c>
      <c r="H3" s="10"/>
      <c r="I3" s="11"/>
      <c r="J3" s="4"/>
      <c r="K3" s="5"/>
      <c r="L3" s="4"/>
    </row>
    <row r="4" spans="1:15">
      <c r="A4" s="103"/>
      <c r="B4" s="3" t="s">
        <v>39</v>
      </c>
      <c r="C4" s="6" t="s">
        <v>40</v>
      </c>
      <c r="D4" s="7" t="s">
        <v>805</v>
      </c>
      <c r="E4" s="8" t="s">
        <v>318</v>
      </c>
      <c r="F4" s="3">
        <v>400</v>
      </c>
      <c r="G4" s="9">
        <f t="shared" ref="G4:G12" si="0">F4/SUM($F$3:$F$12)</f>
        <v>0.38684719535783363</v>
      </c>
      <c r="I4" s="4"/>
      <c r="J4" s="4"/>
      <c r="K4" s="5"/>
      <c r="L4" s="4"/>
    </row>
    <row r="5" spans="1:15">
      <c r="A5" s="103"/>
      <c r="B5" s="3" t="s">
        <v>40</v>
      </c>
      <c r="C5" s="6" t="s">
        <v>44</v>
      </c>
      <c r="D5" s="7"/>
      <c r="E5" s="8" t="s">
        <v>319</v>
      </c>
      <c r="I5" s="4"/>
      <c r="J5" s="4"/>
      <c r="K5" s="5"/>
      <c r="L5" s="4"/>
    </row>
    <row r="6" spans="1:15">
      <c r="A6" s="103"/>
      <c r="B6" s="3" t="s">
        <v>41</v>
      </c>
      <c r="C6" s="6" t="s">
        <v>45</v>
      </c>
      <c r="D6" s="7"/>
      <c r="E6" s="8" t="s">
        <v>320</v>
      </c>
      <c r="I6" s="4"/>
      <c r="J6" s="4"/>
      <c r="K6" s="5"/>
      <c r="L6" s="4"/>
    </row>
    <row r="7" spans="1:15">
      <c r="A7" s="103"/>
      <c r="B7" s="3" t="s">
        <v>42</v>
      </c>
      <c r="C7" s="6" t="s">
        <v>37</v>
      </c>
      <c r="D7" s="7"/>
      <c r="E7" s="8" t="s">
        <v>321</v>
      </c>
      <c r="I7" s="4"/>
      <c r="J7" s="4"/>
      <c r="K7" s="5"/>
      <c r="L7" s="4"/>
    </row>
    <row r="8" spans="1:15">
      <c r="A8" s="103"/>
      <c r="B8" s="3" t="s">
        <v>43</v>
      </c>
      <c r="C8" s="6" t="s">
        <v>43</v>
      </c>
      <c r="D8" s="7"/>
      <c r="E8" s="8" t="s">
        <v>322</v>
      </c>
      <c r="I8" s="4"/>
      <c r="J8" s="4"/>
      <c r="K8" s="5"/>
      <c r="L8" s="4"/>
    </row>
    <row r="9" spans="1:15">
      <c r="A9" s="103"/>
      <c r="B9" s="3" t="s">
        <v>44</v>
      </c>
      <c r="C9" s="6" t="s">
        <v>42</v>
      </c>
      <c r="D9" s="7"/>
      <c r="E9" s="8" t="s">
        <v>323</v>
      </c>
      <c r="I9" s="4"/>
      <c r="J9" s="4"/>
      <c r="K9" s="5"/>
      <c r="L9" s="4"/>
    </row>
    <row r="10" spans="1:15">
      <c r="A10" s="103"/>
      <c r="B10" s="3" t="s">
        <v>45</v>
      </c>
      <c r="C10" s="6" t="s">
        <v>41</v>
      </c>
      <c r="D10" s="7"/>
      <c r="E10" s="8" t="s">
        <v>324</v>
      </c>
      <c r="I10" s="4"/>
      <c r="J10" s="4"/>
      <c r="K10" s="5"/>
      <c r="L10" s="4"/>
    </row>
    <row r="11" spans="1:15">
      <c r="A11" s="103"/>
      <c r="B11" s="3" t="s">
        <v>36</v>
      </c>
      <c r="C11" s="6" t="s">
        <v>39</v>
      </c>
      <c r="D11" s="7"/>
      <c r="E11" s="8" t="s">
        <v>325</v>
      </c>
      <c r="I11" s="4"/>
      <c r="J11" s="4"/>
      <c r="K11" s="5"/>
      <c r="L11" s="4"/>
    </row>
    <row r="12" spans="1:15">
      <c r="A12" s="103"/>
      <c r="B12" s="3" t="s">
        <v>46</v>
      </c>
      <c r="C12" s="6" t="s">
        <v>38</v>
      </c>
      <c r="D12" s="7" t="s">
        <v>804</v>
      </c>
      <c r="E12" s="8" t="s">
        <v>326</v>
      </c>
      <c r="F12" s="3">
        <v>174</v>
      </c>
      <c r="G12" s="9">
        <f t="shared" si="0"/>
        <v>0.16827852998065765</v>
      </c>
      <c r="I12" s="4"/>
      <c r="J12" s="4"/>
      <c r="K12" s="5"/>
      <c r="L12" s="4"/>
    </row>
    <row r="13" spans="1:15">
      <c r="A13" s="103" t="s">
        <v>4</v>
      </c>
      <c r="B13" s="3" t="s">
        <v>47</v>
      </c>
      <c r="C13" s="6" t="s">
        <v>47</v>
      </c>
      <c r="D13" s="7"/>
      <c r="E13" s="8" t="s">
        <v>327</v>
      </c>
      <c r="I13" s="4"/>
      <c r="J13" s="4"/>
      <c r="K13" s="5"/>
      <c r="L13" s="4"/>
    </row>
    <row r="14" spans="1:15">
      <c r="A14" s="103"/>
      <c r="B14" s="3" t="s">
        <v>48</v>
      </c>
      <c r="C14" s="6" t="s">
        <v>49</v>
      </c>
      <c r="D14" s="7"/>
      <c r="E14" s="8" t="s">
        <v>328</v>
      </c>
      <c r="I14" s="4"/>
      <c r="J14" s="4"/>
      <c r="K14" s="5"/>
      <c r="L14" s="4"/>
    </row>
    <row r="15" spans="1:15">
      <c r="A15" s="103"/>
      <c r="B15" s="3" t="s">
        <v>49</v>
      </c>
      <c r="C15" s="6" t="s">
        <v>50</v>
      </c>
      <c r="D15" s="7"/>
      <c r="E15" s="8" t="s">
        <v>329</v>
      </c>
      <c r="I15" s="4"/>
      <c r="J15" s="4"/>
      <c r="K15" s="5"/>
      <c r="L15" s="4"/>
    </row>
    <row r="16" spans="1:15">
      <c r="A16" s="103"/>
      <c r="B16" s="3" t="s">
        <v>50</v>
      </c>
      <c r="C16" s="6" t="s">
        <v>51</v>
      </c>
      <c r="D16" s="7"/>
      <c r="E16" s="8" t="s">
        <v>330</v>
      </c>
      <c r="I16" s="4"/>
      <c r="J16" s="4"/>
      <c r="K16" s="5"/>
      <c r="L16" s="4"/>
    </row>
    <row r="17" spans="1:12">
      <c r="A17" s="103"/>
      <c r="B17" s="3" t="s">
        <v>51</v>
      </c>
      <c r="C17" s="6" t="s">
        <v>52</v>
      </c>
      <c r="D17" s="7"/>
      <c r="E17" s="8" t="s">
        <v>331</v>
      </c>
      <c r="I17" s="4"/>
      <c r="J17" s="4"/>
      <c r="K17" s="5"/>
      <c r="L17" s="4"/>
    </row>
    <row r="18" spans="1:12">
      <c r="A18" s="103"/>
      <c r="B18" s="3" t="s">
        <v>52</v>
      </c>
      <c r="C18" s="6" t="s">
        <v>48</v>
      </c>
      <c r="D18" s="7"/>
      <c r="E18" s="8" t="s">
        <v>332</v>
      </c>
      <c r="I18" s="4"/>
      <c r="J18" s="4"/>
      <c r="K18" s="5"/>
      <c r="L18" s="4"/>
    </row>
    <row r="19" spans="1:12">
      <c r="A19" s="103" t="s">
        <v>5</v>
      </c>
      <c r="B19" s="3" t="s">
        <v>53</v>
      </c>
      <c r="C19" s="6" t="s">
        <v>54</v>
      </c>
      <c r="D19" s="7"/>
      <c r="E19" s="8" t="s">
        <v>333</v>
      </c>
      <c r="I19" s="4"/>
      <c r="J19" s="4"/>
      <c r="K19" s="5"/>
      <c r="L19" s="4"/>
    </row>
    <row r="20" spans="1:12">
      <c r="A20" s="103"/>
      <c r="B20" s="3" t="s">
        <v>54</v>
      </c>
      <c r="C20" s="6" t="s">
        <v>53</v>
      </c>
      <c r="D20" s="7" t="s">
        <v>802</v>
      </c>
      <c r="E20" s="8" t="s">
        <v>334</v>
      </c>
      <c r="F20" s="3">
        <v>135</v>
      </c>
      <c r="G20" s="9">
        <f>F20/(F20+F22)</f>
        <v>0.68877551020408168</v>
      </c>
      <c r="I20" s="4"/>
      <c r="J20" s="4"/>
      <c r="K20" s="5"/>
      <c r="L20" s="4"/>
    </row>
    <row r="21" spans="1:12">
      <c r="A21" s="103"/>
      <c r="B21" s="3" t="s">
        <v>55</v>
      </c>
      <c r="C21" s="6" t="s">
        <v>60</v>
      </c>
      <c r="D21" s="7"/>
      <c r="E21" s="8" t="s">
        <v>335</v>
      </c>
      <c r="I21" s="4"/>
      <c r="J21" s="4"/>
      <c r="K21" s="5"/>
      <c r="L21" s="4"/>
    </row>
    <row r="22" spans="1:12">
      <c r="A22" s="103"/>
      <c r="B22" s="3" t="s">
        <v>56</v>
      </c>
      <c r="C22" s="6" t="s">
        <v>58</v>
      </c>
      <c r="D22" s="3" t="s">
        <v>803</v>
      </c>
      <c r="E22" s="8" t="s">
        <v>336</v>
      </c>
      <c r="F22" s="3">
        <v>61</v>
      </c>
      <c r="G22" s="9">
        <f>F22/(F22+F20)</f>
        <v>0.31122448979591838</v>
      </c>
      <c r="I22" s="4"/>
      <c r="J22" s="4"/>
      <c r="K22" s="5"/>
      <c r="L22" s="4"/>
    </row>
    <row r="23" spans="1:12">
      <c r="A23" s="103"/>
      <c r="B23" s="3" t="s">
        <v>57</v>
      </c>
      <c r="C23" s="6" t="s">
        <v>57</v>
      </c>
      <c r="D23" s="7"/>
      <c r="E23" s="8" t="s">
        <v>337</v>
      </c>
      <c r="I23" s="4"/>
      <c r="J23" s="4"/>
      <c r="K23" s="5"/>
      <c r="L23" s="4"/>
    </row>
    <row r="24" spans="1:12">
      <c r="A24" s="103"/>
      <c r="B24" s="3" t="s">
        <v>58</v>
      </c>
      <c r="C24" s="6" t="s">
        <v>59</v>
      </c>
      <c r="D24" s="7"/>
      <c r="E24" s="8" t="s">
        <v>338</v>
      </c>
      <c r="I24" s="4"/>
      <c r="J24" s="4"/>
      <c r="K24" s="5"/>
      <c r="L24" s="4"/>
    </row>
    <row r="25" spans="1:12">
      <c r="A25" s="103"/>
      <c r="B25" s="3" t="s">
        <v>59</v>
      </c>
      <c r="C25" s="6" t="s">
        <v>55</v>
      </c>
      <c r="D25" s="7"/>
      <c r="E25" s="8" t="s">
        <v>339</v>
      </c>
      <c r="I25" s="4"/>
      <c r="J25" s="4"/>
      <c r="K25" s="5"/>
      <c r="L25" s="4"/>
    </row>
    <row r="26" spans="1:12">
      <c r="A26" s="103"/>
      <c r="B26" s="3" t="s">
        <v>60</v>
      </c>
      <c r="C26" s="6" t="s">
        <v>56</v>
      </c>
      <c r="D26" s="7"/>
      <c r="E26" s="8" t="s">
        <v>340</v>
      </c>
      <c r="I26" s="4"/>
      <c r="J26" s="4"/>
      <c r="K26" s="5"/>
      <c r="L26" s="4"/>
    </row>
    <row r="27" spans="1:12">
      <c r="A27" s="103" t="s">
        <v>6</v>
      </c>
      <c r="B27" s="3" t="s">
        <v>61</v>
      </c>
      <c r="C27" s="6" t="s">
        <v>64</v>
      </c>
      <c r="D27" s="7"/>
      <c r="E27" s="8" t="s">
        <v>341</v>
      </c>
      <c r="I27" s="4"/>
      <c r="J27" s="4"/>
      <c r="K27" s="5"/>
      <c r="L27" s="4"/>
    </row>
    <row r="28" spans="1:12">
      <c r="A28" s="103"/>
      <c r="B28" s="3" t="s">
        <v>62</v>
      </c>
      <c r="C28" s="6" t="s">
        <v>61</v>
      </c>
      <c r="D28" s="7"/>
      <c r="E28" s="8" t="s">
        <v>342</v>
      </c>
      <c r="I28" s="4"/>
      <c r="J28" s="4"/>
      <c r="K28" s="5"/>
      <c r="L28" s="4"/>
    </row>
    <row r="29" spans="1:12">
      <c r="A29" s="103"/>
      <c r="B29" s="3" t="s">
        <v>63</v>
      </c>
      <c r="C29" s="6" t="s">
        <v>63</v>
      </c>
      <c r="D29" s="7"/>
      <c r="E29" s="8" t="s">
        <v>343</v>
      </c>
      <c r="I29" s="4"/>
      <c r="J29" s="4"/>
      <c r="K29" s="5"/>
      <c r="L29" s="4"/>
    </row>
    <row r="30" spans="1:12">
      <c r="A30" s="103"/>
      <c r="B30" s="3" t="s">
        <v>64</v>
      </c>
      <c r="C30" s="6" t="s">
        <v>65</v>
      </c>
      <c r="D30" s="7"/>
      <c r="E30" s="8" t="s">
        <v>344</v>
      </c>
      <c r="I30" s="4"/>
      <c r="J30" s="4"/>
      <c r="K30" s="5"/>
      <c r="L30" s="4"/>
    </row>
    <row r="31" spans="1:12">
      <c r="A31" s="103"/>
      <c r="B31" s="3" t="s">
        <v>65</v>
      </c>
      <c r="C31" s="6" t="s">
        <v>62</v>
      </c>
      <c r="D31" s="7"/>
      <c r="E31" s="8" t="s">
        <v>345</v>
      </c>
      <c r="I31" s="4"/>
      <c r="J31" s="4"/>
      <c r="K31" s="5"/>
      <c r="L31" s="4"/>
    </row>
    <row r="32" spans="1:12">
      <c r="A32" s="103" t="s">
        <v>7</v>
      </c>
      <c r="B32" s="3" t="s">
        <v>66</v>
      </c>
      <c r="C32" s="6" t="s">
        <v>101</v>
      </c>
      <c r="D32" s="7"/>
      <c r="E32" s="8" t="s">
        <v>346</v>
      </c>
      <c r="I32" s="4"/>
      <c r="J32" s="4"/>
      <c r="K32" s="5"/>
      <c r="L32" s="4"/>
    </row>
    <row r="33" spans="1:12">
      <c r="A33" s="103"/>
      <c r="B33" s="3" t="s">
        <v>67</v>
      </c>
      <c r="C33" s="6" t="s">
        <v>102</v>
      </c>
      <c r="D33" s="7"/>
      <c r="E33" s="8" t="s">
        <v>347</v>
      </c>
      <c r="I33" s="4"/>
      <c r="J33" s="4"/>
      <c r="K33" s="5"/>
      <c r="L33" s="4"/>
    </row>
    <row r="34" spans="1:12">
      <c r="A34" s="103"/>
      <c r="B34" s="3" t="s">
        <v>68</v>
      </c>
      <c r="C34" s="6" t="s">
        <v>103</v>
      </c>
      <c r="D34" s="7"/>
      <c r="E34" s="8" t="s">
        <v>348</v>
      </c>
      <c r="I34" s="4"/>
      <c r="J34" s="4"/>
      <c r="K34" s="5"/>
      <c r="L34" s="4"/>
    </row>
    <row r="35" spans="1:12">
      <c r="A35" s="103"/>
      <c r="B35" s="3" t="s">
        <v>69</v>
      </c>
      <c r="C35" s="6" t="s">
        <v>100</v>
      </c>
      <c r="D35" s="7"/>
      <c r="E35" s="8" t="s">
        <v>349</v>
      </c>
      <c r="I35" s="4"/>
      <c r="J35" s="4"/>
      <c r="K35" s="5"/>
      <c r="L35" s="4"/>
    </row>
    <row r="36" spans="1:12" ht="30">
      <c r="A36" s="103"/>
      <c r="B36" s="3" t="s">
        <v>70</v>
      </c>
      <c r="C36" s="6" t="s">
        <v>97</v>
      </c>
      <c r="D36" s="28" t="s">
        <v>783</v>
      </c>
      <c r="E36" s="8" t="s">
        <v>350</v>
      </c>
      <c r="F36" s="3">
        <f>50+180</f>
        <v>230</v>
      </c>
      <c r="G36" s="9">
        <f>F36/SUM($F$36:$F$68)</f>
        <v>4.4341623288991709E-2</v>
      </c>
      <c r="I36" s="4"/>
      <c r="J36" s="4"/>
      <c r="K36" s="5"/>
      <c r="L36" s="4"/>
    </row>
    <row r="37" spans="1:12">
      <c r="A37" s="103"/>
      <c r="B37" s="3" t="s">
        <v>71</v>
      </c>
      <c r="C37" s="6" t="s">
        <v>98</v>
      </c>
      <c r="D37" s="7"/>
      <c r="E37" s="8" t="s">
        <v>351</v>
      </c>
      <c r="I37" s="4"/>
      <c r="J37" s="4"/>
      <c r="K37" s="5"/>
      <c r="L37" s="4"/>
    </row>
    <row r="38" spans="1:12">
      <c r="A38" s="103"/>
      <c r="B38" s="3" t="s">
        <v>72</v>
      </c>
      <c r="C38" s="6" t="s">
        <v>95</v>
      </c>
      <c r="D38" s="7"/>
      <c r="E38" s="8" t="s">
        <v>352</v>
      </c>
      <c r="I38" s="4"/>
      <c r="J38" s="4"/>
      <c r="K38" s="5"/>
      <c r="L38" s="4"/>
    </row>
    <row r="39" spans="1:12">
      <c r="A39" s="103"/>
      <c r="B39" s="3" t="s">
        <v>73</v>
      </c>
      <c r="C39" s="6" t="s">
        <v>96</v>
      </c>
      <c r="D39" s="7"/>
      <c r="E39" s="8" t="s">
        <v>353</v>
      </c>
      <c r="I39" s="4"/>
      <c r="J39" s="4"/>
      <c r="K39" s="5"/>
      <c r="L39" s="4"/>
    </row>
    <row r="40" spans="1:12">
      <c r="A40" s="103"/>
      <c r="B40" s="3" t="s">
        <v>74</v>
      </c>
      <c r="C40" s="6" t="s">
        <v>99</v>
      </c>
      <c r="D40" s="7"/>
      <c r="E40" s="8" t="s">
        <v>354</v>
      </c>
      <c r="I40" s="4"/>
      <c r="J40" s="4"/>
      <c r="K40" s="5"/>
      <c r="L40" s="4"/>
    </row>
    <row r="41" spans="1:12">
      <c r="A41" s="103"/>
      <c r="B41" s="3" t="s">
        <v>75</v>
      </c>
      <c r="C41" s="6" t="s">
        <v>93</v>
      </c>
      <c r="D41" s="7"/>
      <c r="E41" s="8" t="s">
        <v>355</v>
      </c>
      <c r="I41" s="4"/>
      <c r="J41" s="4"/>
      <c r="K41" s="5"/>
      <c r="L41" s="4"/>
    </row>
    <row r="42" spans="1:12">
      <c r="A42" s="103"/>
      <c r="B42" s="3" t="s">
        <v>76</v>
      </c>
      <c r="C42" s="6" t="s">
        <v>94</v>
      </c>
      <c r="D42" s="7" t="s">
        <v>788</v>
      </c>
      <c r="E42" s="8" t="s">
        <v>356</v>
      </c>
      <c r="F42" s="3">
        <v>45</v>
      </c>
      <c r="G42" s="9">
        <f t="shared" ref="G42:G68" si="1">F42/SUM($F$36:$F$68)</f>
        <v>8.6755349913244656E-3</v>
      </c>
      <c r="I42" s="4"/>
      <c r="J42" s="4"/>
      <c r="K42" s="5"/>
      <c r="L42" s="4"/>
    </row>
    <row r="43" spans="1:12">
      <c r="A43" s="103"/>
      <c r="B43" s="3" t="s">
        <v>77</v>
      </c>
      <c r="C43" s="6" t="s">
        <v>92</v>
      </c>
      <c r="D43" s="7"/>
      <c r="E43" s="8" t="s">
        <v>357</v>
      </c>
      <c r="I43" s="4"/>
      <c r="J43" s="4"/>
      <c r="K43" s="5"/>
      <c r="L43" s="4"/>
    </row>
    <row r="44" spans="1:12">
      <c r="A44" s="103"/>
      <c r="B44" s="3" t="s">
        <v>78</v>
      </c>
      <c r="C44" s="6" t="s">
        <v>91</v>
      </c>
      <c r="D44" s="7"/>
      <c r="E44" s="8" t="s">
        <v>358</v>
      </c>
      <c r="K44" s="10"/>
    </row>
    <row r="45" spans="1:12">
      <c r="A45" s="103"/>
      <c r="B45" s="3" t="s">
        <v>79</v>
      </c>
      <c r="C45" s="6" t="s">
        <v>90</v>
      </c>
      <c r="D45" s="7"/>
      <c r="E45" s="8" t="s">
        <v>359</v>
      </c>
      <c r="K45" s="10"/>
    </row>
    <row r="46" spans="1:12">
      <c r="A46" s="103"/>
      <c r="B46" s="3" t="s">
        <v>80</v>
      </c>
      <c r="C46" s="6" t="s">
        <v>89</v>
      </c>
      <c r="D46" s="7"/>
      <c r="E46" s="8" t="s">
        <v>360</v>
      </c>
      <c r="K46" s="10"/>
    </row>
    <row r="47" spans="1:12">
      <c r="A47" s="103"/>
      <c r="B47" s="3" t="s">
        <v>81</v>
      </c>
      <c r="C47" s="6" t="s">
        <v>88</v>
      </c>
      <c r="D47" s="7" t="s">
        <v>784</v>
      </c>
      <c r="E47" s="8" t="s">
        <v>361</v>
      </c>
      <c r="F47" s="3">
        <v>167</v>
      </c>
      <c r="G47" s="9">
        <f t="shared" si="1"/>
        <v>3.2195874301137462E-2</v>
      </c>
      <c r="K47" s="10"/>
    </row>
    <row r="48" spans="1:12">
      <c r="A48" s="103"/>
      <c r="B48" s="3" t="s">
        <v>82</v>
      </c>
      <c r="C48" s="6" t="s">
        <v>87</v>
      </c>
      <c r="D48" s="7"/>
      <c r="E48" s="8" t="s">
        <v>362</v>
      </c>
      <c r="K48" s="10"/>
    </row>
    <row r="49" spans="1:11">
      <c r="A49" s="103"/>
      <c r="B49" s="3" t="s">
        <v>83</v>
      </c>
      <c r="C49" s="6" t="s">
        <v>86</v>
      </c>
      <c r="D49" s="7"/>
      <c r="E49" s="8" t="s">
        <v>363</v>
      </c>
      <c r="K49" s="10"/>
    </row>
    <row r="50" spans="1:11">
      <c r="A50" s="103"/>
      <c r="B50" s="3" t="s">
        <v>84</v>
      </c>
      <c r="C50" s="6" t="s">
        <v>85</v>
      </c>
      <c r="D50" s="7"/>
      <c r="E50" s="8" t="s">
        <v>364</v>
      </c>
      <c r="K50" s="10"/>
    </row>
    <row r="51" spans="1:11">
      <c r="A51" s="103"/>
      <c r="B51" s="3" t="s">
        <v>85</v>
      </c>
      <c r="C51" s="6" t="s">
        <v>84</v>
      </c>
      <c r="D51" s="7"/>
      <c r="E51" s="8" t="s">
        <v>365</v>
      </c>
      <c r="K51" s="10"/>
    </row>
    <row r="52" spans="1:11">
      <c r="A52" s="103"/>
      <c r="B52" s="3" t="s">
        <v>86</v>
      </c>
      <c r="C52" s="6" t="s">
        <v>83</v>
      </c>
      <c r="D52" s="7"/>
      <c r="E52" s="8" t="s">
        <v>366</v>
      </c>
      <c r="K52" s="10"/>
    </row>
    <row r="53" spans="1:11">
      <c r="A53" s="103"/>
      <c r="B53" s="3" t="s">
        <v>87</v>
      </c>
      <c r="C53" s="6" t="s">
        <v>82</v>
      </c>
      <c r="D53" s="7" t="s">
        <v>787</v>
      </c>
      <c r="E53" s="8" t="s">
        <v>367</v>
      </c>
      <c r="F53" s="3">
        <v>1585</v>
      </c>
      <c r="G53" s="9">
        <f t="shared" si="1"/>
        <v>0.30557162136109506</v>
      </c>
      <c r="K53" s="10"/>
    </row>
    <row r="54" spans="1:11">
      <c r="A54" s="103"/>
      <c r="B54" s="3" t="s">
        <v>88</v>
      </c>
      <c r="C54" s="6" t="s">
        <v>81</v>
      </c>
      <c r="D54" s="7" t="s">
        <v>785</v>
      </c>
      <c r="E54" s="8" t="s">
        <v>368</v>
      </c>
      <c r="F54" s="3">
        <v>149</v>
      </c>
      <c r="G54" s="9">
        <f t="shared" si="1"/>
        <v>2.8725660304607673E-2</v>
      </c>
      <c r="K54" s="10"/>
    </row>
    <row r="55" spans="1:11" ht="45">
      <c r="A55" s="103"/>
      <c r="B55" s="3" t="s">
        <v>89</v>
      </c>
      <c r="C55" s="6" t="s">
        <v>78</v>
      </c>
      <c r="D55" s="28" t="s">
        <v>791</v>
      </c>
      <c r="E55" s="8" t="s">
        <v>369</v>
      </c>
      <c r="F55" s="3">
        <f>480+220+250</f>
        <v>950</v>
      </c>
      <c r="G55" s="9">
        <f t="shared" si="1"/>
        <v>0.18315018315018314</v>
      </c>
      <c r="K55" s="10"/>
    </row>
    <row r="56" spans="1:11" ht="45">
      <c r="A56" s="103"/>
      <c r="B56" s="3" t="s">
        <v>90</v>
      </c>
      <c r="C56" s="6" t="s">
        <v>77</v>
      </c>
      <c r="D56" s="28" t="s">
        <v>792</v>
      </c>
      <c r="E56" s="8" t="s">
        <v>370</v>
      </c>
      <c r="F56" s="3">
        <f>137+250+330</f>
        <v>717</v>
      </c>
      <c r="G56" s="9">
        <f t="shared" si="1"/>
        <v>0.1382301908617698</v>
      </c>
      <c r="K56" s="10"/>
    </row>
    <row r="57" spans="1:11" ht="30">
      <c r="A57" s="103"/>
      <c r="B57" s="3" t="s">
        <v>91</v>
      </c>
      <c r="C57" s="6" t="s">
        <v>76</v>
      </c>
      <c r="D57" s="7" t="s">
        <v>786</v>
      </c>
      <c r="E57" s="8" t="s">
        <v>371</v>
      </c>
      <c r="F57" s="3">
        <f>260+125</f>
        <v>385</v>
      </c>
      <c r="G57" s="9">
        <f t="shared" si="1"/>
        <v>7.4224021592442652E-2</v>
      </c>
      <c r="K57" s="10"/>
    </row>
    <row r="58" spans="1:11">
      <c r="A58" s="103"/>
      <c r="B58" s="3" t="s">
        <v>92</v>
      </c>
      <c r="C58" s="6" t="s">
        <v>79</v>
      </c>
      <c r="D58" s="7"/>
      <c r="E58" s="8" t="s">
        <v>372</v>
      </c>
      <c r="K58" s="10"/>
    </row>
    <row r="59" spans="1:11">
      <c r="A59" s="103"/>
      <c r="B59" s="3" t="s">
        <v>93</v>
      </c>
      <c r="C59" s="6" t="s">
        <v>80</v>
      </c>
      <c r="D59" s="7"/>
      <c r="E59" s="8" t="s">
        <v>373</v>
      </c>
      <c r="K59" s="10"/>
    </row>
    <row r="60" spans="1:11">
      <c r="A60" s="103"/>
      <c r="B60" s="3" t="s">
        <v>94</v>
      </c>
      <c r="C60" s="6" t="s">
        <v>75</v>
      </c>
      <c r="D60" s="7"/>
      <c r="E60" s="8" t="s">
        <v>374</v>
      </c>
      <c r="K60" s="10"/>
    </row>
    <row r="61" spans="1:11">
      <c r="A61" s="103"/>
      <c r="B61" s="3" t="s">
        <v>95</v>
      </c>
      <c r="C61" s="6" t="s">
        <v>73</v>
      </c>
      <c r="D61" s="7"/>
      <c r="E61" s="8" t="s">
        <v>375</v>
      </c>
      <c r="K61" s="10"/>
    </row>
    <row r="62" spans="1:11">
      <c r="A62" s="103"/>
      <c r="B62" s="3" t="s">
        <v>96</v>
      </c>
      <c r="C62" s="6" t="s">
        <v>74</v>
      </c>
      <c r="D62" s="3" t="s">
        <v>690</v>
      </c>
      <c r="E62" s="8" t="s">
        <v>376</v>
      </c>
      <c r="F62" s="3">
        <v>385</v>
      </c>
      <c r="G62" s="9">
        <f t="shared" si="1"/>
        <v>7.4224021592442652E-2</v>
      </c>
      <c r="K62" s="10"/>
    </row>
    <row r="63" spans="1:11">
      <c r="A63" s="103"/>
      <c r="B63" s="3" t="s">
        <v>97</v>
      </c>
      <c r="C63" s="6" t="s">
        <v>72</v>
      </c>
      <c r="D63" s="7"/>
      <c r="E63" s="8" t="s">
        <v>377</v>
      </c>
      <c r="K63" s="10"/>
    </row>
    <row r="64" spans="1:11">
      <c r="A64" s="103"/>
      <c r="B64" s="3" t="s">
        <v>98</v>
      </c>
      <c r="C64" s="6" t="s">
        <v>69</v>
      </c>
      <c r="D64" s="7"/>
      <c r="E64" s="8" t="s">
        <v>378</v>
      </c>
      <c r="K64" s="10"/>
    </row>
    <row r="65" spans="1:11">
      <c r="A65" s="103"/>
      <c r="B65" s="3" t="s">
        <v>99</v>
      </c>
      <c r="C65" s="6" t="s">
        <v>70</v>
      </c>
      <c r="D65" s="7"/>
      <c r="E65" s="8" t="s">
        <v>379</v>
      </c>
      <c r="K65" s="10"/>
    </row>
    <row r="66" spans="1:11">
      <c r="A66" s="103"/>
      <c r="B66" s="3" t="s">
        <v>100</v>
      </c>
      <c r="C66" s="6" t="s">
        <v>68</v>
      </c>
      <c r="E66" s="8" t="s">
        <v>380</v>
      </c>
      <c r="K66" s="10"/>
    </row>
    <row r="67" spans="1:11" ht="45">
      <c r="A67" s="103"/>
      <c r="B67" s="3" t="s">
        <v>101</v>
      </c>
      <c r="C67" s="6" t="s">
        <v>71</v>
      </c>
      <c r="D67" s="7" t="s">
        <v>789</v>
      </c>
      <c r="E67" s="8" t="s">
        <v>381</v>
      </c>
      <c r="F67" s="3">
        <f>15+99+250</f>
        <v>364</v>
      </c>
      <c r="G67" s="9">
        <f t="shared" si="1"/>
        <v>7.0175438596491224E-2</v>
      </c>
      <c r="K67" s="10"/>
    </row>
    <row r="68" spans="1:11">
      <c r="A68" s="103"/>
      <c r="B68" s="3" t="s">
        <v>102</v>
      </c>
      <c r="C68" s="6" t="s">
        <v>67</v>
      </c>
      <c r="D68" s="3" t="s">
        <v>790</v>
      </c>
      <c r="E68" s="8" t="s">
        <v>382</v>
      </c>
      <c r="F68" s="3">
        <v>210</v>
      </c>
      <c r="G68" s="9">
        <f t="shared" si="1"/>
        <v>4.048582995951417E-2</v>
      </c>
      <c r="K68" s="10"/>
    </row>
    <row r="69" spans="1:11">
      <c r="A69" s="103"/>
      <c r="B69" s="3" t="s">
        <v>103</v>
      </c>
      <c r="C69" s="6" t="s">
        <v>66</v>
      </c>
      <c r="D69" s="7"/>
      <c r="E69" s="8" t="s">
        <v>383</v>
      </c>
      <c r="K69" s="10"/>
    </row>
    <row r="70" spans="1:11">
      <c r="A70" s="27" t="s">
        <v>623</v>
      </c>
      <c r="B70" s="3" t="s">
        <v>384</v>
      </c>
      <c r="C70" s="6" t="s">
        <v>384</v>
      </c>
      <c r="D70" s="7"/>
      <c r="E70" s="8" t="s">
        <v>385</v>
      </c>
      <c r="K70" s="10"/>
    </row>
    <row r="71" spans="1:11">
      <c r="A71" s="103" t="s">
        <v>8</v>
      </c>
      <c r="B71" s="3" t="s">
        <v>104</v>
      </c>
      <c r="C71" s="6" t="s">
        <v>106</v>
      </c>
      <c r="D71" s="7"/>
      <c r="E71" s="8" t="s">
        <v>386</v>
      </c>
      <c r="K71" s="10"/>
    </row>
    <row r="72" spans="1:11">
      <c r="A72" s="103"/>
      <c r="B72" s="3" t="s">
        <v>105</v>
      </c>
      <c r="C72" s="6" t="s">
        <v>105</v>
      </c>
      <c r="D72" s="7" t="s">
        <v>778</v>
      </c>
      <c r="E72" s="8" t="s">
        <v>387</v>
      </c>
      <c r="F72" s="3">
        <v>9</v>
      </c>
      <c r="G72" s="9">
        <v>1</v>
      </c>
      <c r="K72" s="10"/>
    </row>
    <row r="73" spans="1:11">
      <c r="A73" s="103"/>
      <c r="B73" s="3" t="s">
        <v>106</v>
      </c>
      <c r="C73" s="6" t="s">
        <v>104</v>
      </c>
      <c r="D73" s="7"/>
      <c r="E73" s="8" t="s">
        <v>388</v>
      </c>
      <c r="K73" s="10"/>
    </row>
    <row r="74" spans="1:11">
      <c r="A74" s="103" t="s">
        <v>9</v>
      </c>
      <c r="B74" s="3" t="s">
        <v>107</v>
      </c>
      <c r="C74" s="6" t="s">
        <v>114</v>
      </c>
      <c r="D74" s="7" t="s">
        <v>782</v>
      </c>
      <c r="E74" s="8" t="s">
        <v>389</v>
      </c>
      <c r="F74" s="3">
        <v>20</v>
      </c>
      <c r="G74" s="9">
        <f>F74/SUM($F$74:$F$85)</f>
        <v>0.3125</v>
      </c>
      <c r="K74" s="10"/>
    </row>
    <row r="75" spans="1:11">
      <c r="A75" s="103"/>
      <c r="B75" s="3" t="s">
        <v>108</v>
      </c>
      <c r="C75" s="6" t="s">
        <v>390</v>
      </c>
      <c r="D75" s="7"/>
      <c r="E75" s="8" t="s">
        <v>391</v>
      </c>
      <c r="K75" s="10"/>
    </row>
    <row r="76" spans="1:11">
      <c r="A76" s="103"/>
      <c r="B76" s="3" t="s">
        <v>109</v>
      </c>
      <c r="C76" s="6" t="s">
        <v>392</v>
      </c>
      <c r="D76" s="7"/>
      <c r="E76" s="8" t="s">
        <v>393</v>
      </c>
    </row>
    <row r="77" spans="1:11">
      <c r="A77" s="103"/>
      <c r="B77" s="3" t="s">
        <v>110</v>
      </c>
      <c r="C77" s="6" t="s">
        <v>394</v>
      </c>
      <c r="D77" s="7"/>
      <c r="E77" s="8" t="s">
        <v>395</v>
      </c>
    </row>
    <row r="78" spans="1:11">
      <c r="A78" s="103"/>
      <c r="B78" s="3" t="s">
        <v>111</v>
      </c>
      <c r="C78" s="6" t="s">
        <v>115</v>
      </c>
      <c r="D78" s="7"/>
      <c r="E78" s="8" t="s">
        <v>396</v>
      </c>
    </row>
    <row r="79" spans="1:11">
      <c r="A79" s="103"/>
      <c r="B79" s="3" t="s">
        <v>112</v>
      </c>
      <c r="C79" s="6" t="s">
        <v>110</v>
      </c>
      <c r="D79" s="7" t="s">
        <v>780</v>
      </c>
      <c r="E79" s="8" t="s">
        <v>397</v>
      </c>
      <c r="F79" s="3">
        <v>40</v>
      </c>
      <c r="G79" s="9">
        <f t="shared" ref="G79:G85" si="2">F79/SUM($F$74:$F$85)</f>
        <v>0.625</v>
      </c>
    </row>
    <row r="80" spans="1:11">
      <c r="A80" s="103"/>
      <c r="B80" s="3" t="s">
        <v>113</v>
      </c>
      <c r="C80" s="6" t="s">
        <v>112</v>
      </c>
      <c r="D80" s="7"/>
      <c r="E80" s="8" t="s">
        <v>398</v>
      </c>
    </row>
    <row r="81" spans="1:7">
      <c r="A81" s="103"/>
      <c r="B81" s="3" t="s">
        <v>114</v>
      </c>
      <c r="C81" s="6" t="s">
        <v>111</v>
      </c>
      <c r="D81" s="7"/>
      <c r="E81" s="8" t="s">
        <v>399</v>
      </c>
    </row>
    <row r="82" spans="1:7">
      <c r="A82" s="103"/>
      <c r="B82" s="3" t="s">
        <v>115</v>
      </c>
      <c r="C82" s="6" t="s">
        <v>107</v>
      </c>
      <c r="D82" s="7"/>
      <c r="E82" s="8" t="s">
        <v>400</v>
      </c>
    </row>
    <row r="83" spans="1:7">
      <c r="A83" s="103"/>
      <c r="C83" s="6" t="s">
        <v>401</v>
      </c>
      <c r="D83" s="7"/>
      <c r="E83" s="8" t="s">
        <v>402</v>
      </c>
    </row>
    <row r="84" spans="1:7">
      <c r="A84" s="103"/>
      <c r="C84" s="6" t="s">
        <v>113</v>
      </c>
      <c r="D84" s="7"/>
      <c r="E84" s="8" t="s">
        <v>403</v>
      </c>
    </row>
    <row r="85" spans="1:7">
      <c r="A85" s="103"/>
      <c r="C85" s="6" t="s">
        <v>108</v>
      </c>
      <c r="D85" s="7" t="s">
        <v>781</v>
      </c>
      <c r="E85" s="8" t="s">
        <v>404</v>
      </c>
      <c r="F85" s="3">
        <v>4</v>
      </c>
      <c r="G85" s="9">
        <f t="shared" si="2"/>
        <v>6.25E-2</v>
      </c>
    </row>
    <row r="86" spans="1:7">
      <c r="A86" s="103"/>
      <c r="C86" s="6" t="s">
        <v>109</v>
      </c>
      <c r="D86" s="7"/>
      <c r="E86" s="8" t="s">
        <v>405</v>
      </c>
    </row>
    <row r="87" spans="1:7">
      <c r="A87" s="103" t="s">
        <v>10</v>
      </c>
      <c r="B87" s="3" t="s">
        <v>116</v>
      </c>
      <c r="C87" s="6" t="s">
        <v>120</v>
      </c>
      <c r="D87" s="7" t="s">
        <v>754</v>
      </c>
      <c r="E87" s="8" t="s">
        <v>406</v>
      </c>
      <c r="F87" s="3">
        <v>34</v>
      </c>
      <c r="G87" s="9">
        <f>F87/SUM($F$87:$F$101)</f>
        <v>4.5698924731182797E-2</v>
      </c>
    </row>
    <row r="88" spans="1:7">
      <c r="A88" s="103"/>
      <c r="B88" s="3" t="s">
        <v>117</v>
      </c>
      <c r="C88" s="6" t="s">
        <v>117</v>
      </c>
      <c r="D88" s="7"/>
      <c r="E88" s="8" t="s">
        <v>407</v>
      </c>
    </row>
    <row r="89" spans="1:7">
      <c r="A89" s="103"/>
      <c r="B89" s="3" t="s">
        <v>118</v>
      </c>
      <c r="C89" s="6" t="s">
        <v>128</v>
      </c>
      <c r="D89" s="7" t="s">
        <v>756</v>
      </c>
      <c r="E89" s="8" t="s">
        <v>408</v>
      </c>
      <c r="F89" s="3">
        <v>63</v>
      </c>
      <c r="G89" s="9">
        <f t="shared" ref="G89:G101" si="3">F89/SUM($F$87:$F$101)</f>
        <v>8.4677419354838704E-2</v>
      </c>
    </row>
    <row r="90" spans="1:7">
      <c r="A90" s="103"/>
      <c r="B90" s="3" t="s">
        <v>119</v>
      </c>
      <c r="C90" s="6" t="s">
        <v>118</v>
      </c>
      <c r="D90" s="7" t="s">
        <v>755</v>
      </c>
      <c r="E90" s="8" t="s">
        <v>409</v>
      </c>
      <c r="F90" s="3">
        <v>15</v>
      </c>
      <c r="G90" s="9">
        <f t="shared" si="3"/>
        <v>2.0161290322580645E-2</v>
      </c>
    </row>
    <row r="91" spans="1:7">
      <c r="A91" s="103"/>
      <c r="B91" s="3" t="s">
        <v>120</v>
      </c>
      <c r="C91" s="6" t="s">
        <v>123</v>
      </c>
      <c r="D91" s="7"/>
      <c r="E91" s="8" t="s">
        <v>410</v>
      </c>
    </row>
    <row r="92" spans="1:7">
      <c r="A92" s="103"/>
      <c r="B92" s="3" t="s">
        <v>121</v>
      </c>
      <c r="C92" s="6" t="s">
        <v>119</v>
      </c>
      <c r="D92" s="7"/>
      <c r="E92" s="8" t="s">
        <v>411</v>
      </c>
    </row>
    <row r="93" spans="1:7">
      <c r="A93" s="103"/>
      <c r="B93" s="3" t="s">
        <v>122</v>
      </c>
      <c r="C93" s="6" t="s">
        <v>129</v>
      </c>
      <c r="D93" s="7" t="s">
        <v>753</v>
      </c>
      <c r="E93" s="8" t="s">
        <v>412</v>
      </c>
      <c r="F93" s="3">
        <v>30</v>
      </c>
      <c r="G93" s="9">
        <f t="shared" si="3"/>
        <v>4.0322580645161289E-2</v>
      </c>
    </row>
    <row r="94" spans="1:7">
      <c r="A94" s="103"/>
      <c r="B94" s="3" t="s">
        <v>123</v>
      </c>
      <c r="C94" s="6" t="s">
        <v>124</v>
      </c>
      <c r="D94" s="7"/>
      <c r="E94" s="8" t="s">
        <v>413</v>
      </c>
    </row>
    <row r="95" spans="1:7">
      <c r="A95" s="103"/>
      <c r="B95" s="3" t="s">
        <v>124</v>
      </c>
      <c r="C95" s="6" t="s">
        <v>126</v>
      </c>
      <c r="D95" s="7"/>
      <c r="E95" s="8" t="s">
        <v>414</v>
      </c>
    </row>
    <row r="96" spans="1:7">
      <c r="A96" s="103"/>
      <c r="B96" s="3" t="s">
        <v>125</v>
      </c>
      <c r="C96" s="6" t="s">
        <v>127</v>
      </c>
      <c r="D96" s="7"/>
      <c r="E96" s="8" t="s">
        <v>415</v>
      </c>
    </row>
    <row r="97" spans="1:7">
      <c r="A97" s="103"/>
      <c r="B97" s="3" t="s">
        <v>126</v>
      </c>
      <c r="C97" s="6" t="s">
        <v>121</v>
      </c>
      <c r="D97" s="7"/>
      <c r="E97" s="8" t="s">
        <v>416</v>
      </c>
    </row>
    <row r="98" spans="1:7" ht="60">
      <c r="A98" s="103"/>
      <c r="B98" s="3" t="s">
        <v>127</v>
      </c>
      <c r="C98" s="6" t="s">
        <v>125</v>
      </c>
      <c r="D98" s="7" t="s">
        <v>757</v>
      </c>
      <c r="E98" s="8" t="s">
        <v>417</v>
      </c>
      <c r="F98" s="3">
        <f>218+190+31+115</f>
        <v>554</v>
      </c>
      <c r="G98" s="9">
        <f t="shared" si="3"/>
        <v>0.7446236559139785</v>
      </c>
    </row>
    <row r="99" spans="1:7">
      <c r="A99" s="103"/>
      <c r="B99" s="3" t="s">
        <v>128</v>
      </c>
      <c r="C99" s="6" t="s">
        <v>122</v>
      </c>
      <c r="D99" s="7"/>
      <c r="E99" s="8" t="s">
        <v>418</v>
      </c>
    </row>
    <row r="100" spans="1:7">
      <c r="A100" s="103"/>
      <c r="B100" s="3" t="s">
        <v>129</v>
      </c>
      <c r="C100" s="6" t="s">
        <v>419</v>
      </c>
      <c r="D100" s="7"/>
      <c r="E100" s="8" t="s">
        <v>420</v>
      </c>
    </row>
    <row r="101" spans="1:7">
      <c r="A101" s="103"/>
      <c r="B101" s="3" t="s">
        <v>130</v>
      </c>
      <c r="C101" s="6" t="s">
        <v>130</v>
      </c>
      <c r="D101" s="7" t="s">
        <v>704</v>
      </c>
      <c r="E101" s="8" t="s">
        <v>421</v>
      </c>
      <c r="F101" s="3">
        <v>48</v>
      </c>
      <c r="G101" s="9">
        <f t="shared" si="3"/>
        <v>6.4516129032258063E-2</v>
      </c>
    </row>
    <row r="102" spans="1:7">
      <c r="A102" s="103"/>
      <c r="C102" s="6" t="s">
        <v>116</v>
      </c>
      <c r="D102" s="7"/>
      <c r="E102" s="8" t="s">
        <v>422</v>
      </c>
    </row>
    <row r="103" spans="1:7">
      <c r="A103" s="103"/>
      <c r="C103" s="6" t="s">
        <v>423</v>
      </c>
      <c r="D103" s="7"/>
      <c r="E103" s="8" t="s">
        <v>424</v>
      </c>
    </row>
    <row r="104" spans="1:7">
      <c r="A104" s="103"/>
      <c r="C104" s="6" t="s">
        <v>425</v>
      </c>
      <c r="D104" s="7"/>
      <c r="E104" s="8" t="s">
        <v>426</v>
      </c>
    </row>
    <row r="105" spans="1:7">
      <c r="A105" s="103"/>
      <c r="C105" s="6" t="s">
        <v>427</v>
      </c>
      <c r="D105" s="7"/>
      <c r="E105" s="8" t="s">
        <v>428</v>
      </c>
    </row>
    <row r="106" spans="1:7">
      <c r="A106" s="103" t="s">
        <v>11</v>
      </c>
      <c r="B106" s="3" t="s">
        <v>131</v>
      </c>
      <c r="C106" s="6" t="s">
        <v>132</v>
      </c>
      <c r="D106" s="7"/>
      <c r="E106" s="8" t="s">
        <v>429</v>
      </c>
    </row>
    <row r="107" spans="1:7">
      <c r="A107" s="103"/>
      <c r="B107" s="3" t="s">
        <v>132</v>
      </c>
      <c r="C107" s="6" t="s">
        <v>143</v>
      </c>
      <c r="D107" s="7"/>
      <c r="E107" s="8" t="s">
        <v>430</v>
      </c>
    </row>
    <row r="108" spans="1:7">
      <c r="A108" s="103"/>
      <c r="B108" s="3" t="s">
        <v>133</v>
      </c>
      <c r="C108" s="6" t="s">
        <v>141</v>
      </c>
      <c r="D108" s="7"/>
      <c r="E108" s="8" t="s">
        <v>431</v>
      </c>
    </row>
    <row r="109" spans="1:7">
      <c r="A109" s="103"/>
      <c r="B109" s="3" t="s">
        <v>134</v>
      </c>
      <c r="C109" s="6" t="s">
        <v>138</v>
      </c>
      <c r="D109" s="7" t="s">
        <v>798</v>
      </c>
      <c r="E109" s="8" t="s">
        <v>432</v>
      </c>
      <c r="F109" s="3">
        <v>360</v>
      </c>
      <c r="G109" s="9">
        <f>F109/SUM($F$109:$F$126)</f>
        <v>0.2536997885835095</v>
      </c>
    </row>
    <row r="110" spans="1:7">
      <c r="A110" s="103"/>
      <c r="B110" s="3" t="s">
        <v>135</v>
      </c>
      <c r="C110" s="12" t="s">
        <v>145</v>
      </c>
      <c r="D110" s="8"/>
      <c r="E110" s="13" t="s">
        <v>433</v>
      </c>
    </row>
    <row r="111" spans="1:7">
      <c r="A111" s="103"/>
      <c r="B111" s="3" t="s">
        <v>136</v>
      </c>
      <c r="C111" s="12" t="s">
        <v>137</v>
      </c>
      <c r="D111" s="28"/>
      <c r="E111" s="13" t="s">
        <v>434</v>
      </c>
    </row>
    <row r="112" spans="1:7">
      <c r="A112" s="103"/>
      <c r="B112" s="3" t="s">
        <v>137</v>
      </c>
      <c r="C112" s="6" t="s">
        <v>134</v>
      </c>
      <c r="D112" s="3" t="s">
        <v>799</v>
      </c>
      <c r="E112" s="8" t="s">
        <v>435</v>
      </c>
      <c r="F112" s="3">
        <v>18</v>
      </c>
      <c r="G112" s="9">
        <f t="shared" ref="G112:G126" si="4">F112/SUM($F$109:$F$126)</f>
        <v>1.2684989429175475E-2</v>
      </c>
    </row>
    <row r="113" spans="1:7">
      <c r="A113" s="103"/>
      <c r="B113" s="3" t="s">
        <v>138</v>
      </c>
      <c r="C113" s="6" t="s">
        <v>151</v>
      </c>
      <c r="D113" s="7" t="s">
        <v>797</v>
      </c>
      <c r="E113" s="8" t="s">
        <v>436</v>
      </c>
      <c r="F113" s="3">
        <v>23</v>
      </c>
      <c r="G113" s="9">
        <f t="shared" si="4"/>
        <v>1.620859760394644E-2</v>
      </c>
    </row>
    <row r="114" spans="1:7">
      <c r="A114" s="103"/>
      <c r="B114" s="3" t="s">
        <v>139</v>
      </c>
      <c r="C114" s="6" t="s">
        <v>133</v>
      </c>
      <c r="D114" s="7" t="s">
        <v>793</v>
      </c>
      <c r="E114" s="8" t="s">
        <v>437</v>
      </c>
      <c r="F114" s="3">
        <v>72</v>
      </c>
      <c r="G114" s="9">
        <f t="shared" si="4"/>
        <v>5.0739957716701901E-2</v>
      </c>
    </row>
    <row r="115" spans="1:7">
      <c r="A115" s="103"/>
      <c r="B115" s="3" t="s">
        <v>140</v>
      </c>
      <c r="C115" s="6" t="s">
        <v>148</v>
      </c>
      <c r="D115" s="7"/>
      <c r="E115" s="8" t="s">
        <v>438</v>
      </c>
    </row>
    <row r="116" spans="1:7">
      <c r="A116" s="103"/>
      <c r="B116" s="3" t="s">
        <v>141</v>
      </c>
      <c r="C116" s="6" t="s">
        <v>135</v>
      </c>
      <c r="D116" s="7"/>
      <c r="E116" s="8" t="s">
        <v>439</v>
      </c>
    </row>
    <row r="117" spans="1:7">
      <c r="A117" s="103"/>
      <c r="B117" s="3" t="s">
        <v>142</v>
      </c>
      <c r="C117" s="6" t="s">
        <v>136</v>
      </c>
      <c r="D117" s="7"/>
      <c r="E117" s="8" t="s">
        <v>440</v>
      </c>
    </row>
    <row r="118" spans="1:7">
      <c r="A118" s="103"/>
      <c r="B118" s="3" t="s">
        <v>143</v>
      </c>
      <c r="C118" s="6" t="s">
        <v>140</v>
      </c>
      <c r="D118" s="7"/>
      <c r="E118" s="8" t="s">
        <v>441</v>
      </c>
    </row>
    <row r="119" spans="1:7">
      <c r="A119" s="103"/>
      <c r="B119" s="3" t="s">
        <v>144</v>
      </c>
      <c r="C119" s="6" t="s">
        <v>139</v>
      </c>
      <c r="D119" s="7"/>
      <c r="E119" s="8" t="s">
        <v>442</v>
      </c>
    </row>
    <row r="120" spans="1:7">
      <c r="A120" s="103"/>
      <c r="B120" s="3" t="s">
        <v>145</v>
      </c>
      <c r="C120" s="6" t="s">
        <v>142</v>
      </c>
      <c r="D120" s="7"/>
      <c r="E120" s="8" t="s">
        <v>443</v>
      </c>
    </row>
    <row r="121" spans="1:7">
      <c r="A121" s="103"/>
      <c r="B121" s="3" t="s">
        <v>146</v>
      </c>
      <c r="C121" s="6" t="s">
        <v>144</v>
      </c>
      <c r="D121" s="7"/>
      <c r="E121" s="8" t="s">
        <v>444</v>
      </c>
    </row>
    <row r="122" spans="1:7">
      <c r="A122" s="103"/>
      <c r="B122" s="3" t="s">
        <v>147</v>
      </c>
      <c r="C122" s="6" t="s">
        <v>146</v>
      </c>
      <c r="D122" s="7"/>
      <c r="E122" s="8" t="s">
        <v>445</v>
      </c>
    </row>
    <row r="123" spans="1:7">
      <c r="A123" s="103"/>
      <c r="B123" s="3" t="s">
        <v>148</v>
      </c>
      <c r="C123" s="6" t="s">
        <v>147</v>
      </c>
      <c r="D123" s="7" t="s">
        <v>794</v>
      </c>
      <c r="E123" s="8" t="s">
        <v>446</v>
      </c>
      <c r="F123" s="3">
        <v>300</v>
      </c>
      <c r="G123" s="9">
        <f t="shared" si="4"/>
        <v>0.21141649048625794</v>
      </c>
    </row>
    <row r="124" spans="1:7">
      <c r="A124" s="103"/>
      <c r="B124" s="3" t="s">
        <v>149</v>
      </c>
      <c r="C124" s="6" t="s">
        <v>150</v>
      </c>
      <c r="D124" s="7"/>
      <c r="E124" s="8" t="s">
        <v>447</v>
      </c>
    </row>
    <row r="125" spans="1:7" ht="45">
      <c r="A125" s="103"/>
      <c r="B125" s="3" t="s">
        <v>150</v>
      </c>
      <c r="C125" s="6" t="s">
        <v>152</v>
      </c>
      <c r="D125" s="7" t="s">
        <v>796</v>
      </c>
      <c r="E125" s="8" t="s">
        <v>448</v>
      </c>
      <c r="F125" s="3">
        <f>170+73+42</f>
        <v>285</v>
      </c>
      <c r="G125" s="9">
        <f t="shared" si="4"/>
        <v>0.20084566596194503</v>
      </c>
    </row>
    <row r="126" spans="1:7" ht="30">
      <c r="A126" s="103"/>
      <c r="B126" s="3" t="s">
        <v>151</v>
      </c>
      <c r="C126" s="6" t="s">
        <v>149</v>
      </c>
      <c r="D126" s="7" t="s">
        <v>795</v>
      </c>
      <c r="E126" s="8" t="s">
        <v>449</v>
      </c>
      <c r="F126" s="3">
        <f>341+20</f>
        <v>361</v>
      </c>
      <c r="G126" s="9">
        <f t="shared" si="4"/>
        <v>0.25440451021846372</v>
      </c>
    </row>
    <row r="127" spans="1:7">
      <c r="A127" s="103"/>
      <c r="B127" s="3" t="s">
        <v>152</v>
      </c>
      <c r="C127" s="6" t="s">
        <v>131</v>
      </c>
      <c r="D127" s="7"/>
      <c r="E127" s="8" t="s">
        <v>450</v>
      </c>
    </row>
    <row r="128" spans="1:7">
      <c r="A128" s="103"/>
      <c r="C128" s="6" t="s">
        <v>451</v>
      </c>
      <c r="D128" s="7"/>
      <c r="E128" s="8" t="s">
        <v>452</v>
      </c>
    </row>
    <row r="129" spans="1:7">
      <c r="A129" s="103"/>
      <c r="C129" s="6" t="s">
        <v>453</v>
      </c>
      <c r="D129" s="7"/>
      <c r="E129" s="8" t="s">
        <v>454</v>
      </c>
    </row>
    <row r="130" spans="1:7">
      <c r="A130" s="103"/>
      <c r="C130" s="6" t="s">
        <v>455</v>
      </c>
      <c r="D130" s="7"/>
      <c r="E130" s="8" t="s">
        <v>456</v>
      </c>
    </row>
    <row r="131" spans="1:7">
      <c r="A131" s="103"/>
      <c r="C131" s="6" t="s">
        <v>457</v>
      </c>
      <c r="D131" s="7"/>
      <c r="E131" s="8" t="s">
        <v>458</v>
      </c>
    </row>
    <row r="132" spans="1:7">
      <c r="A132" s="103"/>
      <c r="C132" s="6" t="s">
        <v>459</v>
      </c>
      <c r="D132" s="7"/>
      <c r="E132" s="8" t="s">
        <v>460</v>
      </c>
    </row>
    <row r="133" spans="1:7">
      <c r="A133" s="103" t="s">
        <v>12</v>
      </c>
      <c r="B133" s="3" t="s">
        <v>153</v>
      </c>
      <c r="C133" s="13" t="s">
        <v>461</v>
      </c>
      <c r="D133" s="8"/>
      <c r="E133" s="13" t="s">
        <v>462</v>
      </c>
    </row>
    <row r="134" spans="1:7">
      <c r="A134" s="103"/>
      <c r="B134" s="3" t="s">
        <v>154</v>
      </c>
      <c r="C134" s="6" t="s">
        <v>154</v>
      </c>
      <c r="D134" s="7"/>
      <c r="E134" s="8" t="s">
        <v>463</v>
      </c>
    </row>
    <row r="135" spans="1:7">
      <c r="A135" s="103"/>
      <c r="C135" s="6" t="s">
        <v>464</v>
      </c>
      <c r="D135" s="7"/>
      <c r="E135" s="8" t="s">
        <v>465</v>
      </c>
    </row>
    <row r="136" spans="1:7">
      <c r="A136" s="103"/>
      <c r="C136" s="6" t="s">
        <v>466</v>
      </c>
      <c r="D136" s="7"/>
      <c r="E136" s="8" t="s">
        <v>467</v>
      </c>
    </row>
    <row r="137" spans="1:7">
      <c r="A137" s="103" t="s">
        <v>13</v>
      </c>
      <c r="B137" s="3" t="s">
        <v>155</v>
      </c>
      <c r="C137" s="6" t="s">
        <v>163</v>
      </c>
      <c r="D137" s="7" t="s">
        <v>776</v>
      </c>
      <c r="E137" s="8" t="s">
        <v>468</v>
      </c>
      <c r="F137" s="3">
        <v>42</v>
      </c>
      <c r="G137" s="9">
        <f>F137/SUM($F$137:$F$154)</f>
        <v>9.8591549295774641E-2</v>
      </c>
    </row>
    <row r="138" spans="1:7">
      <c r="A138" s="103"/>
      <c r="B138" s="3" t="s">
        <v>156</v>
      </c>
      <c r="C138" s="6" t="s">
        <v>156</v>
      </c>
      <c r="D138" s="7"/>
      <c r="E138" s="8" t="s">
        <v>469</v>
      </c>
    </row>
    <row r="139" spans="1:7">
      <c r="A139" s="103"/>
      <c r="B139" s="3" t="s">
        <v>157</v>
      </c>
      <c r="C139" s="6" t="s">
        <v>167</v>
      </c>
      <c r="D139" s="7"/>
      <c r="E139" s="8" t="s">
        <v>470</v>
      </c>
    </row>
    <row r="140" spans="1:7">
      <c r="A140" s="103"/>
      <c r="B140" s="3" t="s">
        <v>158</v>
      </c>
      <c r="C140" s="6" t="s">
        <v>166</v>
      </c>
      <c r="D140" s="7"/>
      <c r="E140" s="8" t="s">
        <v>471</v>
      </c>
    </row>
    <row r="141" spans="1:7">
      <c r="A141" s="103"/>
      <c r="B141" s="3" t="s">
        <v>159</v>
      </c>
      <c r="C141" s="6" t="s">
        <v>175</v>
      </c>
      <c r="D141" s="7" t="s">
        <v>773</v>
      </c>
      <c r="E141" s="8" t="s">
        <v>472</v>
      </c>
      <c r="F141" s="3">
        <v>25</v>
      </c>
      <c r="G141" s="9">
        <f t="shared" ref="G141:G154" si="5">F141/SUM($F$137:$F$154)</f>
        <v>5.8685446009389672E-2</v>
      </c>
    </row>
    <row r="142" spans="1:7">
      <c r="A142" s="103"/>
      <c r="B142" s="3" t="s">
        <v>160</v>
      </c>
      <c r="C142" s="6" t="s">
        <v>164</v>
      </c>
      <c r="D142" s="7" t="s">
        <v>777</v>
      </c>
      <c r="E142" s="8" t="s">
        <v>473</v>
      </c>
      <c r="F142" s="3">
        <v>20</v>
      </c>
      <c r="G142" s="9">
        <f t="shared" si="5"/>
        <v>4.6948356807511735E-2</v>
      </c>
    </row>
    <row r="143" spans="1:7">
      <c r="A143" s="103"/>
      <c r="B143" s="3" t="s">
        <v>161</v>
      </c>
      <c r="C143" s="6" t="s">
        <v>171</v>
      </c>
      <c r="D143" s="7"/>
      <c r="E143" s="8" t="s">
        <v>474</v>
      </c>
    </row>
    <row r="144" spans="1:7">
      <c r="A144" s="103"/>
      <c r="B144" s="3" t="s">
        <v>162</v>
      </c>
      <c r="C144" s="6" t="s">
        <v>174</v>
      </c>
      <c r="E144" s="8" t="s">
        <v>475</v>
      </c>
    </row>
    <row r="145" spans="1:7">
      <c r="A145" s="103"/>
      <c r="B145" s="3" t="s">
        <v>163</v>
      </c>
      <c r="C145" s="6" t="s">
        <v>173</v>
      </c>
      <c r="D145" s="7"/>
      <c r="E145" s="8" t="s">
        <v>476</v>
      </c>
    </row>
    <row r="146" spans="1:7">
      <c r="A146" s="103"/>
      <c r="B146" s="3" t="s">
        <v>164</v>
      </c>
      <c r="C146" s="6" t="s">
        <v>172</v>
      </c>
      <c r="D146" s="7"/>
      <c r="E146" s="8" t="s">
        <v>477</v>
      </c>
    </row>
    <row r="147" spans="1:7">
      <c r="A147" s="103"/>
      <c r="B147" s="3" t="s">
        <v>165</v>
      </c>
      <c r="C147" s="6" t="s">
        <v>161</v>
      </c>
      <c r="E147" s="8" t="s">
        <v>478</v>
      </c>
    </row>
    <row r="148" spans="1:7">
      <c r="A148" s="103"/>
      <c r="B148" s="3" t="s">
        <v>166</v>
      </c>
      <c r="C148" s="6" t="s">
        <v>162</v>
      </c>
      <c r="D148" s="7" t="s">
        <v>774</v>
      </c>
      <c r="E148" s="8" t="s">
        <v>479</v>
      </c>
      <c r="F148" s="3">
        <v>150</v>
      </c>
      <c r="G148" s="9">
        <f t="shared" si="5"/>
        <v>0.352112676056338</v>
      </c>
    </row>
    <row r="149" spans="1:7" ht="30">
      <c r="A149" s="103"/>
      <c r="B149" s="3" t="s">
        <v>167</v>
      </c>
      <c r="C149" s="6" t="s">
        <v>158</v>
      </c>
      <c r="D149" s="7"/>
      <c r="E149" s="8" t="s">
        <v>480</v>
      </c>
    </row>
    <row r="150" spans="1:7">
      <c r="A150" s="103"/>
      <c r="B150" s="3" t="s">
        <v>168</v>
      </c>
      <c r="C150" s="6" t="s">
        <v>159</v>
      </c>
      <c r="D150" s="7"/>
      <c r="E150" s="8" t="s">
        <v>481</v>
      </c>
    </row>
    <row r="151" spans="1:7">
      <c r="A151" s="103"/>
      <c r="B151" s="3" t="s">
        <v>169</v>
      </c>
      <c r="C151" s="6" t="s">
        <v>155</v>
      </c>
      <c r="E151" s="8" t="s">
        <v>482</v>
      </c>
    </row>
    <row r="152" spans="1:7">
      <c r="A152" s="103"/>
      <c r="B152" s="3" t="s">
        <v>170</v>
      </c>
      <c r="C152" s="6" t="s">
        <v>169</v>
      </c>
      <c r="D152" s="7"/>
      <c r="E152" s="8" t="s">
        <v>483</v>
      </c>
    </row>
    <row r="153" spans="1:7">
      <c r="A153" s="103"/>
      <c r="B153" s="3" t="s">
        <v>171</v>
      </c>
      <c r="C153" s="6" t="s">
        <v>170</v>
      </c>
      <c r="D153" s="7"/>
      <c r="E153" s="8" t="s">
        <v>484</v>
      </c>
    </row>
    <row r="154" spans="1:7" ht="30">
      <c r="A154" s="103"/>
      <c r="B154" s="3" t="s">
        <v>172</v>
      </c>
      <c r="C154" s="6" t="s">
        <v>160</v>
      </c>
      <c r="D154" s="7" t="s">
        <v>775</v>
      </c>
      <c r="E154" s="8" t="s">
        <v>485</v>
      </c>
      <c r="F154" s="3">
        <f>39+150</f>
        <v>189</v>
      </c>
      <c r="G154" s="9">
        <f t="shared" si="5"/>
        <v>0.44366197183098594</v>
      </c>
    </row>
    <row r="155" spans="1:7">
      <c r="A155" s="103"/>
      <c r="B155" s="3" t="s">
        <v>173</v>
      </c>
      <c r="C155" s="6" t="s">
        <v>157</v>
      </c>
      <c r="D155" s="7"/>
      <c r="E155" s="8" t="s">
        <v>486</v>
      </c>
    </row>
    <row r="156" spans="1:7">
      <c r="A156" s="103"/>
      <c r="B156" s="3" t="s">
        <v>174</v>
      </c>
      <c r="C156" s="6" t="s">
        <v>165</v>
      </c>
      <c r="D156" s="7"/>
      <c r="E156" s="8" t="s">
        <v>487</v>
      </c>
    </row>
    <row r="157" spans="1:7">
      <c r="A157" s="103"/>
      <c r="B157" s="3" t="s">
        <v>175</v>
      </c>
      <c r="C157" s="6" t="s">
        <v>168</v>
      </c>
      <c r="D157" s="7"/>
      <c r="E157" s="8" t="s">
        <v>488</v>
      </c>
    </row>
    <row r="158" spans="1:7">
      <c r="A158" s="29" t="s">
        <v>625</v>
      </c>
      <c r="C158" s="6" t="s">
        <v>489</v>
      </c>
      <c r="D158" s="7"/>
      <c r="E158" s="8" t="s">
        <v>490</v>
      </c>
    </row>
    <row r="159" spans="1:7">
      <c r="A159" s="29" t="s">
        <v>14</v>
      </c>
      <c r="B159" s="3" t="s">
        <v>176</v>
      </c>
      <c r="C159" s="6" t="s">
        <v>176</v>
      </c>
      <c r="D159" s="7"/>
      <c r="E159" s="8" t="s">
        <v>491</v>
      </c>
    </row>
    <row r="160" spans="1:7">
      <c r="A160" s="103" t="s">
        <v>624</v>
      </c>
      <c r="B160" s="4" t="s">
        <v>492</v>
      </c>
      <c r="C160" s="6" t="s">
        <v>492</v>
      </c>
      <c r="D160" s="7"/>
      <c r="E160" s="8" t="s">
        <v>493</v>
      </c>
    </row>
    <row r="161" spans="1:7">
      <c r="A161" s="103"/>
      <c r="B161" s="4" t="s">
        <v>494</v>
      </c>
      <c r="C161" s="6" t="s">
        <v>494</v>
      </c>
      <c r="D161" s="7"/>
      <c r="E161" s="8" t="s">
        <v>495</v>
      </c>
    </row>
    <row r="162" spans="1:7">
      <c r="A162" s="29" t="s">
        <v>15</v>
      </c>
      <c r="B162" s="3" t="s">
        <v>177</v>
      </c>
      <c r="C162" s="6" t="s">
        <v>177</v>
      </c>
      <c r="D162" s="7"/>
      <c r="E162" s="8" t="s">
        <v>15</v>
      </c>
    </row>
    <row r="163" spans="1:7">
      <c r="A163" s="103" t="s">
        <v>16</v>
      </c>
      <c r="B163" s="3" t="s">
        <v>178</v>
      </c>
      <c r="C163" s="6" t="s">
        <v>182</v>
      </c>
      <c r="D163" s="7"/>
      <c r="E163" s="8" t="s">
        <v>496</v>
      </c>
    </row>
    <row r="164" spans="1:7">
      <c r="A164" s="103"/>
      <c r="B164" s="3" t="s">
        <v>179</v>
      </c>
      <c r="C164" s="6" t="s">
        <v>181</v>
      </c>
      <c r="D164" s="7"/>
      <c r="E164" s="8" t="s">
        <v>497</v>
      </c>
    </row>
    <row r="165" spans="1:7">
      <c r="A165" s="103"/>
      <c r="B165" s="3" t="s">
        <v>180</v>
      </c>
      <c r="C165" s="6" t="s">
        <v>180</v>
      </c>
      <c r="D165" s="7"/>
      <c r="E165" s="8" t="s">
        <v>498</v>
      </c>
    </row>
    <row r="166" spans="1:7">
      <c r="A166" s="103"/>
      <c r="B166" s="3" t="s">
        <v>181</v>
      </c>
      <c r="C166" s="6" t="s">
        <v>179</v>
      </c>
      <c r="D166" s="7"/>
      <c r="E166" s="8" t="s">
        <v>499</v>
      </c>
    </row>
    <row r="167" spans="1:7">
      <c r="A167" s="103"/>
      <c r="B167" s="3" t="s">
        <v>182</v>
      </c>
      <c r="C167" s="6" t="s">
        <v>184</v>
      </c>
      <c r="D167" s="7"/>
      <c r="E167" s="8" t="s">
        <v>500</v>
      </c>
    </row>
    <row r="168" spans="1:7">
      <c r="A168" s="103"/>
      <c r="B168" s="3" t="s">
        <v>183</v>
      </c>
      <c r="C168" s="6" t="s">
        <v>183</v>
      </c>
      <c r="D168" s="3" t="s">
        <v>779</v>
      </c>
      <c r="E168" s="8" t="s">
        <v>501</v>
      </c>
      <c r="F168" s="3">
        <v>291</v>
      </c>
      <c r="G168" s="9">
        <v>1</v>
      </c>
    </row>
    <row r="169" spans="1:7">
      <c r="A169" s="103"/>
      <c r="B169" s="3" t="s">
        <v>184</v>
      </c>
      <c r="C169" s="6" t="s">
        <v>178</v>
      </c>
      <c r="D169" s="7"/>
      <c r="E169" s="8" t="s">
        <v>502</v>
      </c>
    </row>
    <row r="170" spans="1:7">
      <c r="A170" s="103"/>
      <c r="B170" s="3" t="s">
        <v>185</v>
      </c>
      <c r="C170" s="6" t="s">
        <v>185</v>
      </c>
      <c r="D170" s="7"/>
      <c r="E170" s="8" t="s">
        <v>503</v>
      </c>
    </row>
    <row r="171" spans="1:7">
      <c r="A171" s="29" t="s">
        <v>505</v>
      </c>
      <c r="C171" s="6" t="s">
        <v>504</v>
      </c>
      <c r="D171" s="7"/>
      <c r="E171" s="8" t="s">
        <v>505</v>
      </c>
    </row>
    <row r="172" spans="1:7">
      <c r="A172" s="103" t="s">
        <v>17</v>
      </c>
      <c r="B172" s="3" t="s">
        <v>186</v>
      </c>
      <c r="C172" s="6" t="s">
        <v>193</v>
      </c>
      <c r="D172" s="49" t="s">
        <v>730</v>
      </c>
      <c r="E172" s="8" t="s">
        <v>506</v>
      </c>
      <c r="F172" s="3">
        <v>121</v>
      </c>
      <c r="G172" s="9">
        <f>F172/SUM($F$172:$F$181)</f>
        <v>0.14285714285714285</v>
      </c>
    </row>
    <row r="173" spans="1:7">
      <c r="A173" s="103"/>
      <c r="B173" s="3" t="s">
        <v>187</v>
      </c>
      <c r="C173" s="6" t="s">
        <v>195</v>
      </c>
      <c r="D173" s="7"/>
      <c r="E173" s="8" t="s">
        <v>507</v>
      </c>
    </row>
    <row r="174" spans="1:7">
      <c r="A174" s="103"/>
      <c r="B174" s="3" t="s">
        <v>188</v>
      </c>
      <c r="C174" s="6" t="s">
        <v>197</v>
      </c>
      <c r="D174" s="7"/>
      <c r="E174" s="8" t="s">
        <v>508</v>
      </c>
    </row>
    <row r="175" spans="1:7">
      <c r="A175" s="103"/>
      <c r="B175" s="3" t="s">
        <v>189</v>
      </c>
      <c r="C175" s="6" t="s">
        <v>188</v>
      </c>
      <c r="D175" s="7"/>
      <c r="E175" s="8" t="s">
        <v>509</v>
      </c>
    </row>
    <row r="176" spans="1:7">
      <c r="A176" s="103"/>
      <c r="B176" s="3" t="s">
        <v>190</v>
      </c>
      <c r="C176" s="6" t="s">
        <v>194</v>
      </c>
      <c r="D176" s="7"/>
      <c r="E176" s="8" t="s">
        <v>510</v>
      </c>
    </row>
    <row r="177" spans="1:7">
      <c r="A177" s="103"/>
      <c r="B177" s="3" t="s">
        <v>191</v>
      </c>
      <c r="C177" s="6" t="s">
        <v>196</v>
      </c>
      <c r="D177" s="7"/>
      <c r="E177" s="8" t="s">
        <v>511</v>
      </c>
    </row>
    <row r="178" spans="1:7">
      <c r="A178" s="103"/>
      <c r="B178" s="3" t="s">
        <v>192</v>
      </c>
      <c r="C178" s="6" t="s">
        <v>190</v>
      </c>
      <c r="D178" s="7"/>
      <c r="E178" s="8" t="s">
        <v>512</v>
      </c>
    </row>
    <row r="179" spans="1:7">
      <c r="A179" s="103"/>
      <c r="B179" s="3" t="s">
        <v>193</v>
      </c>
      <c r="C179" s="6" t="s">
        <v>189</v>
      </c>
      <c r="D179" s="7"/>
      <c r="E179" s="8" t="s">
        <v>513</v>
      </c>
    </row>
    <row r="180" spans="1:7">
      <c r="A180" s="103"/>
      <c r="B180" s="3" t="s">
        <v>194</v>
      </c>
      <c r="C180" s="6" t="s">
        <v>186</v>
      </c>
      <c r="D180" s="49" t="s">
        <v>707</v>
      </c>
      <c r="E180" s="8" t="s">
        <v>514</v>
      </c>
      <c r="F180" s="3">
        <v>637</v>
      </c>
      <c r="G180" s="9">
        <f t="shared" ref="G180:G181" si="6">F180/SUM($F$172:$F$181)</f>
        <v>0.75206611570247939</v>
      </c>
    </row>
    <row r="181" spans="1:7">
      <c r="A181" s="103"/>
      <c r="B181" s="3" t="s">
        <v>195</v>
      </c>
      <c r="C181" s="6" t="s">
        <v>187</v>
      </c>
      <c r="D181" s="3" t="s">
        <v>769</v>
      </c>
      <c r="E181" s="8" t="s">
        <v>515</v>
      </c>
      <c r="F181" s="3">
        <v>89</v>
      </c>
      <c r="G181" s="9">
        <f t="shared" si="6"/>
        <v>0.1050767414403778</v>
      </c>
    </row>
    <row r="182" spans="1:7">
      <c r="A182" s="103"/>
      <c r="B182" s="3" t="s">
        <v>196</v>
      </c>
      <c r="C182" s="6" t="s">
        <v>191</v>
      </c>
      <c r="E182" s="8" t="s">
        <v>516</v>
      </c>
    </row>
    <row r="183" spans="1:7">
      <c r="A183" s="103"/>
      <c r="B183" s="3" t="s">
        <v>197</v>
      </c>
      <c r="C183" s="6" t="s">
        <v>192</v>
      </c>
      <c r="E183" s="8" t="s">
        <v>517</v>
      </c>
    </row>
    <row r="184" spans="1:7">
      <c r="A184" s="103" t="s">
        <v>18</v>
      </c>
      <c r="B184" s="3" t="s">
        <v>198</v>
      </c>
      <c r="C184" s="6" t="s">
        <v>206</v>
      </c>
      <c r="D184" s="7"/>
      <c r="E184" s="8" t="s">
        <v>518</v>
      </c>
    </row>
    <row r="185" spans="1:7">
      <c r="A185" s="103"/>
      <c r="B185" s="3" t="s">
        <v>199</v>
      </c>
      <c r="C185" s="6" t="s">
        <v>204</v>
      </c>
      <c r="D185" s="7"/>
      <c r="E185" s="8" t="s">
        <v>519</v>
      </c>
    </row>
    <row r="186" spans="1:7">
      <c r="A186" s="103"/>
      <c r="B186" s="3" t="s">
        <v>200</v>
      </c>
      <c r="C186" s="6" t="s">
        <v>203</v>
      </c>
      <c r="D186" s="7"/>
      <c r="E186" s="8" t="s">
        <v>520</v>
      </c>
    </row>
    <row r="187" spans="1:7">
      <c r="A187" s="103"/>
      <c r="B187" s="3" t="s">
        <v>201</v>
      </c>
      <c r="C187" s="6" t="s">
        <v>205</v>
      </c>
      <c r="D187" s="7" t="s">
        <v>806</v>
      </c>
      <c r="E187" s="8" t="s">
        <v>521</v>
      </c>
      <c r="F187" s="3">
        <v>70</v>
      </c>
      <c r="G187" s="9">
        <v>1</v>
      </c>
    </row>
    <row r="188" spans="1:7">
      <c r="A188" s="103"/>
      <c r="B188" s="3" t="s">
        <v>202</v>
      </c>
      <c r="C188" s="6" t="s">
        <v>200</v>
      </c>
      <c r="D188" s="7"/>
      <c r="E188" s="8" t="s">
        <v>522</v>
      </c>
    </row>
    <row r="189" spans="1:7">
      <c r="A189" s="103"/>
      <c r="B189" s="3" t="s">
        <v>203</v>
      </c>
      <c r="C189" s="6" t="s">
        <v>202</v>
      </c>
      <c r="D189" s="7"/>
      <c r="E189" s="8" t="s">
        <v>523</v>
      </c>
    </row>
    <row r="190" spans="1:7">
      <c r="A190" s="103"/>
      <c r="B190" s="3" t="s">
        <v>204</v>
      </c>
      <c r="C190" s="6" t="s">
        <v>201</v>
      </c>
      <c r="D190" s="7"/>
      <c r="E190" s="8" t="s">
        <v>524</v>
      </c>
    </row>
    <row r="191" spans="1:7">
      <c r="A191" s="103"/>
      <c r="B191" s="3" t="s">
        <v>205</v>
      </c>
      <c r="C191" s="6" t="s">
        <v>199</v>
      </c>
      <c r="D191" s="7"/>
      <c r="E191" s="8" t="s">
        <v>525</v>
      </c>
    </row>
    <row r="192" spans="1:7">
      <c r="A192" s="103"/>
      <c r="B192" s="3" t="s">
        <v>206</v>
      </c>
      <c r="C192" s="6" t="s">
        <v>198</v>
      </c>
      <c r="D192" s="7"/>
      <c r="E192" s="8" t="s">
        <v>526</v>
      </c>
    </row>
    <row r="193" spans="1:7">
      <c r="A193" s="103" t="s">
        <v>19</v>
      </c>
      <c r="B193" s="3" t="s">
        <v>207</v>
      </c>
      <c r="C193" s="6" t="s">
        <v>219</v>
      </c>
      <c r="D193" s="7"/>
      <c r="E193" s="8" t="s">
        <v>527</v>
      </c>
    </row>
    <row r="194" spans="1:7">
      <c r="A194" s="103"/>
      <c r="B194" s="3" t="s">
        <v>208</v>
      </c>
      <c r="C194" s="6" t="s">
        <v>210</v>
      </c>
      <c r="D194" s="7"/>
      <c r="E194" s="8" t="s">
        <v>528</v>
      </c>
    </row>
    <row r="195" spans="1:7">
      <c r="A195" s="103"/>
      <c r="B195" s="3" t="s">
        <v>209</v>
      </c>
      <c r="C195" s="6" t="s">
        <v>221</v>
      </c>
      <c r="D195" s="7"/>
      <c r="E195" s="8" t="s">
        <v>529</v>
      </c>
    </row>
    <row r="196" spans="1:7">
      <c r="A196" s="103"/>
      <c r="B196" s="3" t="s">
        <v>210</v>
      </c>
      <c r="C196" s="6" t="s">
        <v>207</v>
      </c>
      <c r="D196" s="7"/>
      <c r="E196" s="8" t="s">
        <v>530</v>
      </c>
    </row>
    <row r="197" spans="1:7">
      <c r="A197" s="103"/>
      <c r="B197" s="3" t="s">
        <v>211</v>
      </c>
      <c r="C197" s="6" t="s">
        <v>216</v>
      </c>
      <c r="D197" s="7"/>
      <c r="E197" s="8" t="s">
        <v>531</v>
      </c>
    </row>
    <row r="198" spans="1:7">
      <c r="A198" s="103"/>
      <c r="B198" s="3" t="s">
        <v>212</v>
      </c>
      <c r="C198" s="6" t="s">
        <v>218</v>
      </c>
      <c r="D198" s="7" t="s">
        <v>768</v>
      </c>
      <c r="E198" s="8" t="s">
        <v>532</v>
      </c>
      <c r="F198" s="3">
        <v>125</v>
      </c>
      <c r="G198" s="9">
        <f>F198/(F198+F200)</f>
        <v>0.36873156342182889</v>
      </c>
    </row>
    <row r="199" spans="1:7">
      <c r="A199" s="103"/>
      <c r="B199" s="3" t="s">
        <v>213</v>
      </c>
      <c r="C199" s="6" t="s">
        <v>213</v>
      </c>
      <c r="D199" s="7"/>
      <c r="E199" s="8" t="s">
        <v>533</v>
      </c>
    </row>
    <row r="200" spans="1:7">
      <c r="A200" s="103"/>
      <c r="B200" s="3" t="s">
        <v>214</v>
      </c>
      <c r="C200" s="6" t="s">
        <v>220</v>
      </c>
      <c r="D200" s="49" t="s">
        <v>723</v>
      </c>
      <c r="E200" s="8" t="s">
        <v>534</v>
      </c>
      <c r="F200" s="3">
        <v>214</v>
      </c>
      <c r="G200" s="9">
        <f>F200/(F198+F200)</f>
        <v>0.63126843657817111</v>
      </c>
    </row>
    <row r="201" spans="1:7">
      <c r="A201" s="103"/>
      <c r="B201" s="3" t="s">
        <v>215</v>
      </c>
      <c r="C201" s="6" t="s">
        <v>208</v>
      </c>
      <c r="D201" s="7"/>
      <c r="E201" s="8" t="s">
        <v>535</v>
      </c>
    </row>
    <row r="202" spans="1:7">
      <c r="A202" s="103"/>
      <c r="B202" s="3" t="s">
        <v>216</v>
      </c>
      <c r="C202" s="6" t="s">
        <v>211</v>
      </c>
      <c r="D202" s="7"/>
      <c r="E202" s="8" t="s">
        <v>536</v>
      </c>
    </row>
    <row r="203" spans="1:7">
      <c r="A203" s="103"/>
      <c r="B203" s="3" t="s">
        <v>217</v>
      </c>
      <c r="C203" s="6" t="s">
        <v>223</v>
      </c>
      <c r="D203" s="7"/>
      <c r="E203" s="8" t="s">
        <v>537</v>
      </c>
    </row>
    <row r="204" spans="1:7">
      <c r="A204" s="103"/>
      <c r="B204" s="3" t="s">
        <v>218</v>
      </c>
      <c r="C204" s="6" t="s">
        <v>222</v>
      </c>
      <c r="D204" s="7"/>
      <c r="E204" s="8" t="s">
        <v>538</v>
      </c>
    </row>
    <row r="205" spans="1:7">
      <c r="A205" s="103"/>
      <c r="B205" s="3" t="s">
        <v>219</v>
      </c>
      <c r="C205" s="6" t="s">
        <v>217</v>
      </c>
      <c r="D205" s="7"/>
      <c r="E205" s="8" t="s">
        <v>539</v>
      </c>
    </row>
    <row r="206" spans="1:7">
      <c r="A206" s="103"/>
      <c r="B206" s="3" t="s">
        <v>220</v>
      </c>
      <c r="C206" s="6" t="s">
        <v>209</v>
      </c>
      <c r="D206" s="7"/>
      <c r="E206" s="8" t="s">
        <v>540</v>
      </c>
    </row>
    <row r="207" spans="1:7">
      <c r="A207" s="103"/>
      <c r="B207" s="3" t="s">
        <v>221</v>
      </c>
      <c r="C207" s="6" t="s">
        <v>212</v>
      </c>
      <c r="D207" s="7"/>
      <c r="E207" s="8" t="s">
        <v>541</v>
      </c>
    </row>
    <row r="208" spans="1:7">
      <c r="A208" s="103"/>
      <c r="B208" s="3" t="s">
        <v>222</v>
      </c>
      <c r="C208" s="6" t="s">
        <v>214</v>
      </c>
      <c r="D208" s="7"/>
      <c r="E208" s="8" t="s">
        <v>542</v>
      </c>
    </row>
    <row r="209" spans="1:7">
      <c r="A209" s="103"/>
      <c r="B209" s="3" t="s">
        <v>223</v>
      </c>
      <c r="C209" s="6" t="s">
        <v>215</v>
      </c>
      <c r="E209" s="8" t="s">
        <v>543</v>
      </c>
    </row>
    <row r="210" spans="1:7">
      <c r="A210" s="103" t="s">
        <v>20</v>
      </c>
      <c r="B210" s="3" t="s">
        <v>224</v>
      </c>
      <c r="C210" s="6" t="s">
        <v>226</v>
      </c>
      <c r="D210" s="7"/>
      <c r="E210" s="8" t="s">
        <v>544</v>
      </c>
    </row>
    <row r="211" spans="1:7">
      <c r="A211" s="103"/>
      <c r="B211" s="3" t="s">
        <v>225</v>
      </c>
      <c r="C211" s="6" t="s">
        <v>225</v>
      </c>
      <c r="D211" s="7"/>
      <c r="E211" s="8" t="s">
        <v>545</v>
      </c>
    </row>
    <row r="212" spans="1:7">
      <c r="A212" s="103"/>
      <c r="B212" s="3" t="s">
        <v>226</v>
      </c>
      <c r="C212" s="6" t="s">
        <v>228</v>
      </c>
      <c r="D212" s="7" t="s">
        <v>767</v>
      </c>
      <c r="E212" s="8" t="s">
        <v>546</v>
      </c>
      <c r="F212" s="3">
        <v>116</v>
      </c>
      <c r="G212" s="9">
        <f>F212/SUM($F$212:$F$213)</f>
        <v>0.81690140845070425</v>
      </c>
    </row>
    <row r="213" spans="1:7">
      <c r="A213" s="103"/>
      <c r="B213" s="3" t="s">
        <v>227</v>
      </c>
      <c r="C213" s="6" t="s">
        <v>224</v>
      </c>
      <c r="D213" s="7" t="s">
        <v>766</v>
      </c>
      <c r="E213" s="8" t="s">
        <v>547</v>
      </c>
      <c r="F213" s="3">
        <v>26</v>
      </c>
      <c r="G213" s="9">
        <f>F213/SUM($F$212:$F$213)</f>
        <v>0.18309859154929578</v>
      </c>
    </row>
    <row r="214" spans="1:7">
      <c r="A214" s="103"/>
      <c r="B214" s="3" t="s">
        <v>228</v>
      </c>
      <c r="C214" s="6" t="s">
        <v>227</v>
      </c>
      <c r="E214" s="8" t="s">
        <v>548</v>
      </c>
    </row>
    <row r="215" spans="1:7">
      <c r="A215" s="103"/>
      <c r="C215" s="6" t="s">
        <v>549</v>
      </c>
      <c r="D215" s="7"/>
      <c r="E215" s="8" t="s">
        <v>550</v>
      </c>
    </row>
    <row r="216" spans="1:7">
      <c r="A216" s="103"/>
      <c r="C216" s="6" t="s">
        <v>551</v>
      </c>
      <c r="D216" s="7"/>
      <c r="E216" s="8" t="s">
        <v>552</v>
      </c>
    </row>
    <row r="217" spans="1:7">
      <c r="A217" s="103" t="s">
        <v>21</v>
      </c>
      <c r="B217" s="3" t="s">
        <v>229</v>
      </c>
      <c r="C217" s="6" t="s">
        <v>231</v>
      </c>
      <c r="D217" s="7"/>
      <c r="E217" s="8" t="s">
        <v>553</v>
      </c>
    </row>
    <row r="218" spans="1:7">
      <c r="A218" s="103"/>
      <c r="B218" s="3" t="s">
        <v>230</v>
      </c>
      <c r="C218" s="6" t="s">
        <v>236</v>
      </c>
      <c r="D218" s="7"/>
      <c r="E218" s="8" t="s">
        <v>554</v>
      </c>
    </row>
    <row r="219" spans="1:7">
      <c r="A219" s="103"/>
      <c r="B219" s="3" t="s">
        <v>231</v>
      </c>
      <c r="C219" s="6" t="s">
        <v>232</v>
      </c>
      <c r="D219" s="7" t="s">
        <v>765</v>
      </c>
      <c r="E219" s="8" t="s">
        <v>555</v>
      </c>
      <c r="F219" s="3">
        <v>93</v>
      </c>
      <c r="G219" s="9">
        <f t="shared" ref="G219" si="7">F219/SUM($F$219:$F$223)</f>
        <v>0.2421875</v>
      </c>
    </row>
    <row r="220" spans="1:7">
      <c r="A220" s="103"/>
      <c r="B220" s="3" t="s">
        <v>232</v>
      </c>
      <c r="C220" s="6" t="s">
        <v>230</v>
      </c>
      <c r="D220" s="7"/>
      <c r="E220" s="8" t="s">
        <v>556</v>
      </c>
    </row>
    <row r="221" spans="1:7">
      <c r="A221" s="103"/>
      <c r="B221" s="3" t="s">
        <v>233</v>
      </c>
      <c r="C221" s="6" t="s">
        <v>234</v>
      </c>
      <c r="D221" s="7"/>
      <c r="E221" s="8" t="s">
        <v>557</v>
      </c>
    </row>
    <row r="222" spans="1:7">
      <c r="A222" s="103"/>
      <c r="B222" s="3" t="s">
        <v>234</v>
      </c>
      <c r="C222" s="6" t="s">
        <v>233</v>
      </c>
      <c r="D222" s="7"/>
      <c r="E222" s="8" t="s">
        <v>558</v>
      </c>
    </row>
    <row r="223" spans="1:7">
      <c r="A223" s="103"/>
      <c r="B223" s="3" t="s">
        <v>235</v>
      </c>
      <c r="C223" s="6" t="s">
        <v>229</v>
      </c>
      <c r="D223" s="7" t="s">
        <v>764</v>
      </c>
      <c r="E223" s="8" t="s">
        <v>559</v>
      </c>
      <c r="F223" s="3">
        <v>291</v>
      </c>
      <c r="G223" s="9">
        <f>F223/SUM($F$219:$F$223)</f>
        <v>0.7578125</v>
      </c>
    </row>
    <row r="224" spans="1:7">
      <c r="A224" s="103"/>
      <c r="B224" s="3" t="s">
        <v>236</v>
      </c>
      <c r="C224" s="6" t="s">
        <v>235</v>
      </c>
      <c r="D224" s="7"/>
      <c r="E224" s="8" t="s">
        <v>560</v>
      </c>
    </row>
    <row r="225" spans="1:7">
      <c r="A225" s="103" t="s">
        <v>22</v>
      </c>
      <c r="B225" s="3" t="s">
        <v>237</v>
      </c>
      <c r="C225" s="6" t="s">
        <v>237</v>
      </c>
      <c r="D225" s="7" t="s">
        <v>762</v>
      </c>
      <c r="E225" s="8" t="s">
        <v>561</v>
      </c>
      <c r="F225" s="3">
        <v>16</v>
      </c>
      <c r="G225" s="9">
        <v>1</v>
      </c>
    </row>
    <row r="226" spans="1:7">
      <c r="A226" s="103"/>
      <c r="B226" s="3" t="s">
        <v>238</v>
      </c>
      <c r="C226" s="6" t="s">
        <v>238</v>
      </c>
      <c r="D226" s="7"/>
      <c r="E226" s="8" t="s">
        <v>562</v>
      </c>
    </row>
    <row r="227" spans="1:7">
      <c r="A227" s="103" t="s">
        <v>23</v>
      </c>
      <c r="B227" s="3" t="s">
        <v>239</v>
      </c>
      <c r="C227" s="6" t="s">
        <v>241</v>
      </c>
      <c r="D227" s="7"/>
      <c r="E227" s="8" t="s">
        <v>563</v>
      </c>
    </row>
    <row r="228" spans="1:7">
      <c r="A228" s="103"/>
      <c r="B228" s="3" t="s">
        <v>240</v>
      </c>
      <c r="C228" s="6" t="s">
        <v>239</v>
      </c>
      <c r="D228" s="7" t="s">
        <v>763</v>
      </c>
      <c r="E228" s="8" t="s">
        <v>564</v>
      </c>
      <c r="F228" s="3">
        <v>76</v>
      </c>
      <c r="G228" s="9">
        <v>1</v>
      </c>
    </row>
    <row r="229" spans="1:7">
      <c r="A229" s="103"/>
      <c r="B229" s="3" t="s">
        <v>241</v>
      </c>
      <c r="C229" s="6" t="s">
        <v>242</v>
      </c>
      <c r="D229" s="7"/>
      <c r="E229" s="8" t="s">
        <v>565</v>
      </c>
    </row>
    <row r="230" spans="1:7">
      <c r="A230" s="103"/>
      <c r="B230" s="3" t="s">
        <v>242</v>
      </c>
      <c r="C230" s="6" t="s">
        <v>240</v>
      </c>
      <c r="D230" s="7"/>
      <c r="E230" s="8" t="s">
        <v>566</v>
      </c>
    </row>
    <row r="231" spans="1:7">
      <c r="A231" s="103" t="s">
        <v>24</v>
      </c>
      <c r="B231" s="3" t="s">
        <v>243</v>
      </c>
      <c r="C231" s="6" t="s">
        <v>243</v>
      </c>
      <c r="D231" s="7"/>
      <c r="E231" s="8" t="s">
        <v>567</v>
      </c>
    </row>
    <row r="232" spans="1:7">
      <c r="A232" s="103"/>
      <c r="B232" s="3" t="s">
        <v>244</v>
      </c>
      <c r="C232" s="6" t="s">
        <v>245</v>
      </c>
      <c r="D232" s="7"/>
      <c r="E232" s="8" t="s">
        <v>568</v>
      </c>
    </row>
    <row r="233" spans="1:7">
      <c r="A233" s="103"/>
      <c r="B233" s="3" t="s">
        <v>245</v>
      </c>
      <c r="C233" s="6" t="s">
        <v>244</v>
      </c>
      <c r="D233" s="7" t="s">
        <v>801</v>
      </c>
      <c r="E233" s="8" t="s">
        <v>569</v>
      </c>
      <c r="F233" s="3">
        <v>75</v>
      </c>
      <c r="G233" s="9">
        <f>F233/(F233+F234)</f>
        <v>0.65217391304347827</v>
      </c>
    </row>
    <row r="234" spans="1:7">
      <c r="A234" s="103"/>
      <c r="B234" s="3" t="s">
        <v>246</v>
      </c>
      <c r="C234" s="6" t="s">
        <v>246</v>
      </c>
      <c r="D234" s="7" t="s">
        <v>800</v>
      </c>
      <c r="E234" s="8" t="s">
        <v>570</v>
      </c>
      <c r="F234" s="3">
        <v>40</v>
      </c>
      <c r="G234" s="9">
        <f>F234/(F233+F234)</f>
        <v>0.34782608695652173</v>
      </c>
    </row>
    <row r="235" spans="1:7">
      <c r="A235" s="103"/>
      <c r="C235" s="6" t="s">
        <v>571</v>
      </c>
      <c r="D235" s="7"/>
      <c r="E235" s="8" t="s">
        <v>572</v>
      </c>
    </row>
    <row r="236" spans="1:7">
      <c r="A236" s="103" t="s">
        <v>25</v>
      </c>
      <c r="B236" s="3" t="s">
        <v>247</v>
      </c>
      <c r="C236" s="6" t="s">
        <v>247</v>
      </c>
      <c r="D236" s="7"/>
      <c r="E236" s="8" t="s">
        <v>573</v>
      </c>
    </row>
    <row r="237" spans="1:7">
      <c r="A237" s="103"/>
      <c r="B237" s="3" t="s">
        <v>248</v>
      </c>
      <c r="C237" s="6" t="s">
        <v>248</v>
      </c>
      <c r="D237" s="7"/>
      <c r="E237" s="8" t="s">
        <v>574</v>
      </c>
    </row>
    <row r="238" spans="1:7">
      <c r="A238" s="103"/>
      <c r="B238" s="3" t="s">
        <v>249</v>
      </c>
      <c r="C238" s="6" t="s">
        <v>252</v>
      </c>
      <c r="D238" s="7"/>
      <c r="E238" s="8" t="s">
        <v>575</v>
      </c>
    </row>
    <row r="239" spans="1:7">
      <c r="A239" s="103"/>
      <c r="B239" s="3" t="s">
        <v>250</v>
      </c>
      <c r="C239" s="6" t="s">
        <v>254</v>
      </c>
      <c r="D239" s="7"/>
      <c r="E239" s="8" t="s">
        <v>576</v>
      </c>
    </row>
    <row r="240" spans="1:7">
      <c r="A240" s="103"/>
      <c r="B240" s="3" t="s">
        <v>251</v>
      </c>
      <c r="C240" s="6" t="s">
        <v>251</v>
      </c>
      <c r="D240" s="3" t="s">
        <v>672</v>
      </c>
      <c r="E240" s="8" t="s">
        <v>577</v>
      </c>
      <c r="F240" s="3">
        <v>120</v>
      </c>
      <c r="G240" s="9">
        <v>1</v>
      </c>
    </row>
    <row r="241" spans="1:7">
      <c r="A241" s="103"/>
      <c r="B241" s="3" t="s">
        <v>252</v>
      </c>
      <c r="C241" s="6" t="s">
        <v>253</v>
      </c>
      <c r="D241" s="7"/>
      <c r="E241" s="8" t="s">
        <v>578</v>
      </c>
    </row>
    <row r="242" spans="1:7">
      <c r="A242" s="103"/>
      <c r="B242" s="3" t="s">
        <v>253</v>
      </c>
      <c r="C242" s="6" t="s">
        <v>250</v>
      </c>
      <c r="D242" s="7"/>
      <c r="E242" s="8" t="s">
        <v>579</v>
      </c>
    </row>
    <row r="243" spans="1:7">
      <c r="A243" s="103"/>
      <c r="B243" s="3" t="s">
        <v>254</v>
      </c>
      <c r="C243" s="6" t="s">
        <v>249</v>
      </c>
      <c r="D243" s="7"/>
      <c r="E243" s="8" t="s">
        <v>580</v>
      </c>
    </row>
    <row r="244" spans="1:7">
      <c r="A244" s="103" t="s">
        <v>26</v>
      </c>
      <c r="B244" s="3" t="s">
        <v>255</v>
      </c>
      <c r="C244" s="6" t="s">
        <v>294</v>
      </c>
      <c r="E244" s="8" t="s">
        <v>581</v>
      </c>
    </row>
    <row r="245" spans="1:7">
      <c r="A245" s="103"/>
      <c r="B245" s="3" t="s">
        <v>256</v>
      </c>
      <c r="C245" s="6" t="s">
        <v>268</v>
      </c>
      <c r="D245" s="7"/>
      <c r="E245" s="8" t="s">
        <v>582</v>
      </c>
    </row>
    <row r="246" spans="1:7">
      <c r="A246" s="103"/>
      <c r="B246" s="3" t="s">
        <v>257</v>
      </c>
      <c r="C246" s="6" t="s">
        <v>280</v>
      </c>
      <c r="D246" s="7"/>
      <c r="E246" s="8" t="s">
        <v>583</v>
      </c>
    </row>
    <row r="247" spans="1:7">
      <c r="A247" s="103"/>
      <c r="B247" s="3" t="s">
        <v>258</v>
      </c>
      <c r="C247" s="6" t="s">
        <v>270</v>
      </c>
      <c r="D247" s="7"/>
      <c r="E247" s="8" t="s">
        <v>584</v>
      </c>
    </row>
    <row r="248" spans="1:7">
      <c r="A248" s="103"/>
      <c r="B248" s="3" t="s">
        <v>259</v>
      </c>
      <c r="C248" s="6" t="s">
        <v>285</v>
      </c>
      <c r="D248" s="7"/>
      <c r="E248" s="8" t="s">
        <v>585</v>
      </c>
    </row>
    <row r="249" spans="1:7">
      <c r="A249" s="103"/>
      <c r="B249" s="3" t="s">
        <v>260</v>
      </c>
      <c r="C249" s="6" t="s">
        <v>264</v>
      </c>
      <c r="D249" s="7" t="s">
        <v>758</v>
      </c>
      <c r="E249" s="8" t="s">
        <v>586</v>
      </c>
      <c r="F249" s="3">
        <v>707</v>
      </c>
      <c r="G249" s="9">
        <f t="shared" ref="G249:G261" si="8">F249/SUM($F$249:$F$266)</f>
        <v>0.96982167352537718</v>
      </c>
    </row>
    <row r="250" spans="1:7">
      <c r="A250" s="103"/>
      <c r="B250" s="3" t="s">
        <v>261</v>
      </c>
      <c r="C250" s="6" t="s">
        <v>269</v>
      </c>
      <c r="D250" s="7"/>
      <c r="E250" s="8" t="s">
        <v>587</v>
      </c>
    </row>
    <row r="251" spans="1:7" ht="30">
      <c r="A251" s="103"/>
      <c r="B251" s="3" t="s">
        <v>262</v>
      </c>
      <c r="C251" s="6" t="s">
        <v>277</v>
      </c>
      <c r="D251" s="7"/>
      <c r="E251" s="8" t="s">
        <v>588</v>
      </c>
    </row>
    <row r="252" spans="1:7">
      <c r="A252" s="103"/>
      <c r="B252" s="3" t="s">
        <v>263</v>
      </c>
      <c r="C252" s="6" t="s">
        <v>295</v>
      </c>
      <c r="D252" s="7"/>
      <c r="E252" s="8" t="s">
        <v>589</v>
      </c>
    </row>
    <row r="253" spans="1:7">
      <c r="A253" s="103"/>
      <c r="B253" s="3" t="s">
        <v>264</v>
      </c>
      <c r="C253" s="6" t="s">
        <v>266</v>
      </c>
      <c r="D253" s="7"/>
      <c r="E253" s="8" t="s">
        <v>590</v>
      </c>
    </row>
    <row r="254" spans="1:7">
      <c r="A254" s="103"/>
      <c r="B254" s="3" t="s">
        <v>265</v>
      </c>
      <c r="C254" s="6" t="s">
        <v>263</v>
      </c>
      <c r="D254" s="7"/>
      <c r="E254" s="8" t="s">
        <v>591</v>
      </c>
    </row>
    <row r="255" spans="1:7">
      <c r="A255" s="103"/>
      <c r="B255" s="3" t="s">
        <v>266</v>
      </c>
      <c r="C255" s="6" t="s">
        <v>279</v>
      </c>
      <c r="D255" s="7"/>
      <c r="E255" s="8" t="s">
        <v>592</v>
      </c>
    </row>
    <row r="256" spans="1:7" ht="30">
      <c r="A256" s="103"/>
      <c r="B256" s="3" t="s">
        <v>267</v>
      </c>
      <c r="C256" s="6" t="s">
        <v>272</v>
      </c>
      <c r="D256" s="7"/>
      <c r="E256" s="8" t="s">
        <v>593</v>
      </c>
    </row>
    <row r="257" spans="1:7">
      <c r="A257" s="103"/>
      <c r="B257" s="3" t="s">
        <v>268</v>
      </c>
      <c r="C257" s="6" t="s">
        <v>271</v>
      </c>
      <c r="D257" s="7"/>
      <c r="E257" s="8" t="s">
        <v>594</v>
      </c>
    </row>
    <row r="258" spans="1:7" ht="30">
      <c r="A258" s="103"/>
      <c r="B258" s="3" t="s">
        <v>269</v>
      </c>
      <c r="C258" s="6" t="s">
        <v>275</v>
      </c>
      <c r="D258" s="7"/>
      <c r="E258" s="8" t="s">
        <v>595</v>
      </c>
    </row>
    <row r="259" spans="1:7">
      <c r="A259" s="103"/>
      <c r="B259" s="3" t="s">
        <v>270</v>
      </c>
      <c r="C259" s="6" t="s">
        <v>267</v>
      </c>
      <c r="D259" s="7"/>
      <c r="E259" s="8" t="s">
        <v>596</v>
      </c>
    </row>
    <row r="260" spans="1:7">
      <c r="A260" s="103"/>
      <c r="B260" s="3" t="s">
        <v>271</v>
      </c>
      <c r="C260" s="6" t="s">
        <v>274</v>
      </c>
      <c r="D260" s="7"/>
      <c r="E260" s="8" t="s">
        <v>597</v>
      </c>
    </row>
    <row r="261" spans="1:7">
      <c r="A261" s="103"/>
      <c r="B261" s="3" t="s">
        <v>272</v>
      </c>
      <c r="C261" s="6" t="s">
        <v>282</v>
      </c>
      <c r="D261" s="7" t="s">
        <v>759</v>
      </c>
      <c r="E261" s="8" t="s">
        <v>598</v>
      </c>
      <c r="F261" s="3">
        <v>7</v>
      </c>
      <c r="G261" s="9">
        <f t="shared" si="8"/>
        <v>9.6021947873799734E-3</v>
      </c>
    </row>
    <row r="262" spans="1:7">
      <c r="A262" s="103"/>
      <c r="B262" s="3" t="s">
        <v>273</v>
      </c>
      <c r="C262" s="6" t="s">
        <v>287</v>
      </c>
      <c r="D262" s="7"/>
      <c r="E262" s="8" t="s">
        <v>599</v>
      </c>
    </row>
    <row r="263" spans="1:7">
      <c r="A263" s="103"/>
      <c r="B263" s="3" t="s">
        <v>274</v>
      </c>
      <c r="C263" s="6" t="s">
        <v>265</v>
      </c>
      <c r="D263" s="7"/>
      <c r="E263" s="8" t="s">
        <v>600</v>
      </c>
    </row>
    <row r="264" spans="1:7">
      <c r="A264" s="103"/>
      <c r="B264" s="3" t="s">
        <v>275</v>
      </c>
      <c r="C264" s="6" t="s">
        <v>293</v>
      </c>
      <c r="D264" s="7"/>
      <c r="E264" s="8" t="s">
        <v>601</v>
      </c>
    </row>
    <row r="265" spans="1:7">
      <c r="A265" s="103"/>
      <c r="B265" s="3" t="s">
        <v>276</v>
      </c>
      <c r="C265" s="6" t="s">
        <v>292</v>
      </c>
      <c r="D265" s="7"/>
      <c r="E265" s="8" t="s">
        <v>602</v>
      </c>
    </row>
    <row r="266" spans="1:7">
      <c r="A266" s="103"/>
      <c r="B266" s="3" t="s">
        <v>277</v>
      </c>
      <c r="C266" s="6" t="s">
        <v>291</v>
      </c>
      <c r="D266" s="7" t="s">
        <v>760</v>
      </c>
      <c r="E266" s="8" t="s">
        <v>603</v>
      </c>
      <c r="F266" s="3">
        <v>15</v>
      </c>
      <c r="G266" s="9">
        <f>F266/SUM($F$249:$F$266)</f>
        <v>2.0576131687242798E-2</v>
      </c>
    </row>
    <row r="267" spans="1:7">
      <c r="A267" s="103"/>
      <c r="B267" s="3" t="s">
        <v>278</v>
      </c>
      <c r="C267" s="6" t="s">
        <v>290</v>
      </c>
      <c r="D267" s="7"/>
      <c r="E267" s="8" t="s">
        <v>604</v>
      </c>
    </row>
    <row r="268" spans="1:7" ht="30">
      <c r="A268" s="103"/>
      <c r="B268" s="3" t="s">
        <v>279</v>
      </c>
      <c r="C268" s="6" t="s">
        <v>289</v>
      </c>
      <c r="D268" s="7"/>
      <c r="E268" s="8" t="s">
        <v>605</v>
      </c>
    </row>
    <row r="269" spans="1:7" ht="30">
      <c r="A269" s="103"/>
      <c r="B269" s="3" t="s">
        <v>280</v>
      </c>
      <c r="C269" s="6" t="s">
        <v>286</v>
      </c>
      <c r="D269" s="7"/>
      <c r="E269" s="8" t="s">
        <v>606</v>
      </c>
    </row>
    <row r="270" spans="1:7">
      <c r="A270" s="103"/>
      <c r="B270" s="3" t="s">
        <v>281</v>
      </c>
      <c r="C270" s="6" t="s">
        <v>283</v>
      </c>
      <c r="D270" s="7"/>
      <c r="E270" s="8" t="s">
        <v>607</v>
      </c>
    </row>
    <row r="271" spans="1:7">
      <c r="A271" s="103"/>
      <c r="B271" s="3" t="s">
        <v>282</v>
      </c>
      <c r="C271" s="6" t="s">
        <v>276</v>
      </c>
      <c r="D271" s="7"/>
      <c r="E271" s="8" t="s">
        <v>608</v>
      </c>
    </row>
    <row r="272" spans="1:7">
      <c r="A272" s="103"/>
      <c r="B272" s="3" t="s">
        <v>283</v>
      </c>
      <c r="C272" s="6" t="s">
        <v>273</v>
      </c>
      <c r="D272" s="7"/>
      <c r="E272" s="8" t="s">
        <v>609</v>
      </c>
    </row>
    <row r="273" spans="1:7" ht="30">
      <c r="A273" s="103"/>
      <c r="B273" s="3" t="s">
        <v>284</v>
      </c>
      <c r="C273" s="6" t="s">
        <v>288</v>
      </c>
      <c r="D273" s="7"/>
      <c r="E273" s="8" t="s">
        <v>610</v>
      </c>
    </row>
    <row r="274" spans="1:7">
      <c r="A274" s="103"/>
      <c r="B274" s="3" t="s">
        <v>285</v>
      </c>
      <c r="C274" s="6" t="s">
        <v>284</v>
      </c>
      <c r="D274" s="7"/>
      <c r="E274" s="8" t="s">
        <v>611</v>
      </c>
    </row>
    <row r="275" spans="1:7">
      <c r="A275" s="103"/>
      <c r="B275" s="3" t="s">
        <v>286</v>
      </c>
      <c r="C275" s="6" t="s">
        <v>281</v>
      </c>
      <c r="D275" s="7"/>
      <c r="E275" s="8" t="s">
        <v>612</v>
      </c>
    </row>
    <row r="276" spans="1:7">
      <c r="A276" s="103"/>
      <c r="B276" s="3" t="s">
        <v>287</v>
      </c>
      <c r="C276" s="6" t="s">
        <v>278</v>
      </c>
      <c r="D276" s="7"/>
      <c r="E276" s="8" t="s">
        <v>613</v>
      </c>
    </row>
    <row r="277" spans="1:7">
      <c r="A277" s="103"/>
      <c r="B277" s="3" t="s">
        <v>288</v>
      </c>
      <c r="C277" s="6" t="s">
        <v>255</v>
      </c>
      <c r="D277" s="7"/>
      <c r="E277" s="8" t="s">
        <v>614</v>
      </c>
    </row>
    <row r="278" spans="1:7">
      <c r="A278" s="103"/>
      <c r="B278" s="3" t="s">
        <v>289</v>
      </c>
      <c r="C278" s="6" t="s">
        <v>256</v>
      </c>
      <c r="D278" s="7"/>
      <c r="E278" s="8" t="s">
        <v>615</v>
      </c>
    </row>
    <row r="279" spans="1:7">
      <c r="A279" s="103"/>
      <c r="B279" s="3" t="s">
        <v>290</v>
      </c>
      <c r="C279" s="6" t="s">
        <v>261</v>
      </c>
      <c r="D279" s="7"/>
      <c r="E279" s="8" t="s">
        <v>616</v>
      </c>
    </row>
    <row r="280" spans="1:7">
      <c r="A280" s="103"/>
      <c r="B280" s="3" t="s">
        <v>291</v>
      </c>
      <c r="C280" s="6" t="s">
        <v>259</v>
      </c>
      <c r="D280" s="7"/>
      <c r="E280" s="8" t="s">
        <v>617</v>
      </c>
    </row>
    <row r="281" spans="1:7">
      <c r="A281" s="103"/>
      <c r="B281" s="3" t="s">
        <v>292</v>
      </c>
      <c r="C281" s="6" t="s">
        <v>260</v>
      </c>
      <c r="D281" s="28"/>
      <c r="E281" s="8" t="s">
        <v>618</v>
      </c>
    </row>
    <row r="282" spans="1:7">
      <c r="A282" s="103"/>
      <c r="B282" s="3" t="s">
        <v>293</v>
      </c>
      <c r="C282" s="6" t="s">
        <v>258</v>
      </c>
      <c r="D282" s="7"/>
      <c r="E282" s="8" t="s">
        <v>619</v>
      </c>
    </row>
    <row r="283" spans="1:7">
      <c r="A283" s="103"/>
      <c r="B283" s="3" t="s">
        <v>294</v>
      </c>
      <c r="C283" s="6" t="s">
        <v>257</v>
      </c>
      <c r="D283" s="7"/>
      <c r="E283" s="8" t="s">
        <v>620</v>
      </c>
    </row>
    <row r="284" spans="1:7">
      <c r="A284" s="103"/>
      <c r="B284" s="3" t="s">
        <v>295</v>
      </c>
      <c r="C284" s="6" t="s">
        <v>262</v>
      </c>
      <c r="D284" s="7"/>
      <c r="E284" s="8" t="s">
        <v>621</v>
      </c>
    </row>
    <row r="285" spans="1:7">
      <c r="A285" s="103" t="s">
        <v>27</v>
      </c>
      <c r="B285" s="3" t="s">
        <v>296</v>
      </c>
      <c r="C285" s="14" t="s">
        <v>298</v>
      </c>
      <c r="E285" s="13" t="s">
        <v>630</v>
      </c>
    </row>
    <row r="286" spans="1:7">
      <c r="A286" s="103"/>
      <c r="B286" s="3" t="s">
        <v>297</v>
      </c>
      <c r="C286" s="13" t="s">
        <v>297</v>
      </c>
      <c r="E286" s="13" t="s">
        <v>631</v>
      </c>
    </row>
    <row r="287" spans="1:7">
      <c r="A287" s="103"/>
      <c r="B287" s="3" t="s">
        <v>298</v>
      </c>
      <c r="C287" s="13" t="s">
        <v>299</v>
      </c>
      <c r="E287" s="13" t="s">
        <v>632</v>
      </c>
    </row>
    <row r="288" spans="1:7">
      <c r="A288" s="103"/>
      <c r="B288" s="3" t="s">
        <v>299</v>
      </c>
      <c r="C288" s="6" t="s">
        <v>626</v>
      </c>
      <c r="D288" s="3" t="s">
        <v>770</v>
      </c>
      <c r="E288" s="13" t="s">
        <v>633</v>
      </c>
      <c r="F288" s="3">
        <v>45</v>
      </c>
      <c r="G288" s="9">
        <f>F288/SUM($F$288:$F$290)</f>
        <v>0.14285714285714285</v>
      </c>
    </row>
    <row r="289" spans="1:7">
      <c r="A289" s="103"/>
      <c r="B289" s="3" t="s">
        <v>300</v>
      </c>
      <c r="C289" s="14" t="s">
        <v>627</v>
      </c>
      <c r="D289" s="3" t="s">
        <v>772</v>
      </c>
      <c r="E289" s="13" t="s">
        <v>634</v>
      </c>
      <c r="F289" s="3">
        <v>260</v>
      </c>
      <c r="G289" s="9">
        <f t="shared" ref="G289:G290" si="9">F289/SUM($F$288:$F$290)</f>
        <v>0.82539682539682535</v>
      </c>
    </row>
    <row r="290" spans="1:7">
      <c r="A290" s="103"/>
      <c r="B290" s="3" t="s">
        <v>301</v>
      </c>
      <c r="C290" s="14" t="s">
        <v>628</v>
      </c>
      <c r="D290" s="3" t="s">
        <v>771</v>
      </c>
      <c r="E290" s="13" t="s">
        <v>635</v>
      </c>
      <c r="F290" s="3">
        <v>10</v>
      </c>
      <c r="G290" s="9">
        <f t="shared" si="9"/>
        <v>3.1746031746031744E-2</v>
      </c>
    </row>
    <row r="291" spans="1:7">
      <c r="A291" s="103"/>
      <c r="B291" s="3" t="s">
        <v>302</v>
      </c>
      <c r="C291" s="14" t="s">
        <v>629</v>
      </c>
      <c r="E291" s="13" t="s">
        <v>636</v>
      </c>
    </row>
    <row r="292" spans="1:7">
      <c r="A292" s="103" t="s">
        <v>637</v>
      </c>
      <c r="B292" s="3" t="s">
        <v>303</v>
      </c>
      <c r="C292" s="14" t="s">
        <v>305</v>
      </c>
      <c r="D292" s="15"/>
      <c r="E292" s="14" t="s">
        <v>638</v>
      </c>
    </row>
    <row r="293" spans="1:7">
      <c r="A293" s="103"/>
      <c r="B293" s="3" t="s">
        <v>304</v>
      </c>
      <c r="C293" s="14" t="s">
        <v>307</v>
      </c>
      <c r="D293" s="15"/>
      <c r="E293" s="14" t="s">
        <v>639</v>
      </c>
    </row>
    <row r="294" spans="1:7">
      <c r="A294" s="103"/>
      <c r="B294" s="3" t="s">
        <v>305</v>
      </c>
      <c r="C294" s="14" t="s">
        <v>309</v>
      </c>
      <c r="D294" s="15" t="s">
        <v>761</v>
      </c>
      <c r="E294" s="14" t="s">
        <v>640</v>
      </c>
      <c r="F294" s="3">
        <v>27</v>
      </c>
      <c r="G294" s="9">
        <v>1</v>
      </c>
    </row>
    <row r="295" spans="1:7">
      <c r="A295" s="103"/>
      <c r="B295" s="3" t="s">
        <v>306</v>
      </c>
      <c r="C295" s="14" t="s">
        <v>303</v>
      </c>
      <c r="D295" s="15"/>
      <c r="E295" s="14" t="s">
        <v>641</v>
      </c>
    </row>
    <row r="296" spans="1:7">
      <c r="A296" s="103"/>
      <c r="B296" s="3" t="s">
        <v>307</v>
      </c>
      <c r="C296" s="14" t="s">
        <v>308</v>
      </c>
      <c r="D296" s="15"/>
      <c r="E296" s="14" t="s">
        <v>642</v>
      </c>
    </row>
    <row r="297" spans="1:7">
      <c r="A297" s="103"/>
      <c r="B297" s="3" t="s">
        <v>308</v>
      </c>
      <c r="C297" s="14" t="s">
        <v>304</v>
      </c>
      <c r="D297" s="15"/>
      <c r="E297" s="14" t="s">
        <v>643</v>
      </c>
    </row>
    <row r="298" spans="1:7">
      <c r="A298" s="103"/>
      <c r="B298" s="3" t="s">
        <v>309</v>
      </c>
      <c r="C298" s="14" t="s">
        <v>306</v>
      </c>
      <c r="D298" s="15"/>
      <c r="E298" s="14" t="s">
        <v>644</v>
      </c>
    </row>
    <row r="299" spans="1:7">
      <c r="A299" s="29" t="s">
        <v>28</v>
      </c>
      <c r="B299" s="3" t="s">
        <v>310</v>
      </c>
      <c r="C299" s="31" t="s">
        <v>310</v>
      </c>
      <c r="D299" s="30"/>
      <c r="E299" s="31" t="s">
        <v>645</v>
      </c>
    </row>
    <row r="300" spans="1:7">
      <c r="A300" s="27" t="s">
        <v>29</v>
      </c>
      <c r="B300" s="3" t="s">
        <v>311</v>
      </c>
      <c r="C300" s="13" t="s">
        <v>311</v>
      </c>
      <c r="D300" s="8"/>
      <c r="E300" s="8" t="s">
        <v>646</v>
      </c>
    </row>
    <row r="301" spans="1:7">
      <c r="A301" s="103" t="s">
        <v>30</v>
      </c>
      <c r="B301" s="3" t="s">
        <v>35</v>
      </c>
      <c r="C301" s="13" t="s">
        <v>33</v>
      </c>
      <c r="D301" s="8"/>
      <c r="E301" s="13" t="s">
        <v>647</v>
      </c>
    </row>
    <row r="302" spans="1:7">
      <c r="A302" s="103"/>
      <c r="B302" s="3" t="s">
        <v>34</v>
      </c>
      <c r="C302" s="13" t="s">
        <v>34</v>
      </c>
      <c r="D302" s="8"/>
      <c r="E302" s="13" t="s">
        <v>648</v>
      </c>
    </row>
    <row r="303" spans="1:7">
      <c r="A303" s="103"/>
      <c r="B303" s="3" t="s">
        <v>33</v>
      </c>
      <c r="C303" s="13" t="s">
        <v>35</v>
      </c>
      <c r="D303" s="8"/>
      <c r="E303" s="13" t="s">
        <v>649</v>
      </c>
    </row>
    <row r="304" spans="1:7">
      <c r="A304" s="103" t="s">
        <v>31</v>
      </c>
      <c r="B304" s="3" t="s">
        <v>312</v>
      </c>
      <c r="C304" s="13" t="s">
        <v>315</v>
      </c>
      <c r="D304" s="8"/>
      <c r="E304" s="13" t="s">
        <v>650</v>
      </c>
    </row>
    <row r="305" spans="1:5">
      <c r="A305" s="103"/>
      <c r="B305" s="3" t="s">
        <v>313</v>
      </c>
      <c r="C305" s="13" t="s">
        <v>314</v>
      </c>
      <c r="D305" s="8"/>
      <c r="E305" s="13" t="s">
        <v>651</v>
      </c>
    </row>
    <row r="306" spans="1:5">
      <c r="A306" s="103"/>
      <c r="B306" s="3" t="s">
        <v>314</v>
      </c>
      <c r="C306" s="13" t="s">
        <v>313</v>
      </c>
      <c r="D306" s="8"/>
      <c r="E306" s="8" t="s">
        <v>652</v>
      </c>
    </row>
    <row r="307" spans="1:5">
      <c r="A307" s="103"/>
      <c r="B307" s="3" t="s">
        <v>315</v>
      </c>
      <c r="C307" s="13" t="s">
        <v>312</v>
      </c>
      <c r="D307" s="8"/>
      <c r="E307" s="8" t="s">
        <v>653</v>
      </c>
    </row>
    <row r="308" spans="1:5">
      <c r="A308" s="29" t="s">
        <v>32</v>
      </c>
      <c r="B308" s="3" t="s">
        <v>316</v>
      </c>
      <c r="C308" s="32" t="s">
        <v>656</v>
      </c>
    </row>
    <row r="309" spans="1:5">
      <c r="A309" s="29" t="s">
        <v>655</v>
      </c>
      <c r="B309" s="3" t="s">
        <v>658</v>
      </c>
      <c r="C309" s="32" t="s">
        <v>658</v>
      </c>
      <c r="E309" s="3" t="s">
        <v>655</v>
      </c>
    </row>
    <row r="310" spans="1:5">
      <c r="A310" s="29" t="s">
        <v>654</v>
      </c>
      <c r="C310" s="32" t="s">
        <v>657</v>
      </c>
      <c r="E310" s="3" t="s">
        <v>654</v>
      </c>
    </row>
  </sheetData>
  <mergeCells count="27">
    <mergeCell ref="A292:A298"/>
    <mergeCell ref="A301:A303"/>
    <mergeCell ref="A304:A307"/>
    <mergeCell ref="A225:A226"/>
    <mergeCell ref="A227:A230"/>
    <mergeCell ref="A231:A235"/>
    <mergeCell ref="A236:A243"/>
    <mergeCell ref="A244:A284"/>
    <mergeCell ref="A285:A291"/>
    <mergeCell ref="A217:A224"/>
    <mergeCell ref="A74:A86"/>
    <mergeCell ref="A87:A105"/>
    <mergeCell ref="A106:A132"/>
    <mergeCell ref="A133:A136"/>
    <mergeCell ref="A137:A157"/>
    <mergeCell ref="A160:A161"/>
    <mergeCell ref="A163:A170"/>
    <mergeCell ref="A172:A183"/>
    <mergeCell ref="A184:A192"/>
    <mergeCell ref="A193:A209"/>
    <mergeCell ref="A210:A216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0"/>
  <sheetViews>
    <sheetView topLeftCell="A28" zoomScale="109" workbookViewId="0"/>
  </sheetViews>
  <sheetFormatPr baseColWidth="10" defaultColWidth="10.875" defaultRowHeight="15"/>
  <cols>
    <col min="1" max="1" width="19" style="3" bestFit="1" customWidth="1"/>
    <col min="2" max="2" width="13.5" style="3" hidden="1" customWidth="1"/>
    <col min="3" max="3" width="6.125" style="3" bestFit="1" customWidth="1"/>
    <col min="4" max="4" width="18.125" style="3" bestFit="1" customWidth="1"/>
    <col min="5" max="5" width="29.875" style="3" bestFit="1" customWidth="1"/>
    <col min="6" max="6" width="22.625" style="3" bestFit="1" customWidth="1"/>
    <col min="7" max="7" width="10.375" style="9" bestFit="1" customWidth="1"/>
    <col min="8" max="8" width="24" style="3" bestFit="1" customWidth="1"/>
    <col min="9" max="9" width="16.875" style="3" bestFit="1" customWidth="1"/>
    <col min="10" max="10" width="20.625" style="3" bestFit="1" customWidth="1"/>
    <col min="11" max="16384" width="10.875" style="3"/>
  </cols>
  <sheetData>
    <row r="1" spans="1:15">
      <c r="A1" s="25" t="s">
        <v>0</v>
      </c>
      <c r="B1" s="25" t="s">
        <v>659</v>
      </c>
      <c r="C1" s="25" t="s">
        <v>1</v>
      </c>
      <c r="D1" s="25" t="s">
        <v>2</v>
      </c>
      <c r="E1" s="25" t="s">
        <v>660</v>
      </c>
      <c r="F1" s="25" t="s">
        <v>727</v>
      </c>
      <c r="G1" s="26" t="s">
        <v>728</v>
      </c>
      <c r="H1" s="1"/>
      <c r="I1" s="1"/>
      <c r="J1" s="1"/>
      <c r="L1" s="4"/>
      <c r="M1" s="4"/>
      <c r="N1" s="4"/>
      <c r="O1" s="4"/>
    </row>
    <row r="2" spans="1:15" ht="29.25">
      <c r="A2" s="103" t="s">
        <v>3</v>
      </c>
      <c r="B2" s="3" t="s">
        <v>37</v>
      </c>
      <c r="C2" s="33" t="s">
        <v>36</v>
      </c>
      <c r="D2" s="18"/>
      <c r="E2" s="19" t="s">
        <v>622</v>
      </c>
      <c r="I2" s="4"/>
      <c r="J2" s="4"/>
      <c r="K2" s="16"/>
      <c r="L2" s="4"/>
    </row>
    <row r="3" spans="1:15">
      <c r="A3" s="103"/>
      <c r="B3" s="3" t="s">
        <v>38</v>
      </c>
      <c r="C3" s="33" t="s">
        <v>46</v>
      </c>
      <c r="D3" s="18"/>
      <c r="E3" s="19" t="s">
        <v>317</v>
      </c>
      <c r="H3" s="17"/>
      <c r="I3" s="20"/>
      <c r="J3" s="4"/>
      <c r="K3" s="16"/>
      <c r="L3" s="4"/>
    </row>
    <row r="4" spans="1:15">
      <c r="A4" s="103"/>
      <c r="B4" s="3" t="s">
        <v>39</v>
      </c>
      <c r="C4" s="33" t="s">
        <v>40</v>
      </c>
      <c r="D4" s="18"/>
      <c r="E4" s="19" t="s">
        <v>318</v>
      </c>
      <c r="I4" s="4"/>
      <c r="J4" s="4"/>
      <c r="K4" s="16"/>
      <c r="L4" s="4"/>
    </row>
    <row r="5" spans="1:15">
      <c r="A5" s="103"/>
      <c r="B5" s="3" t="s">
        <v>40</v>
      </c>
      <c r="C5" s="33" t="s">
        <v>44</v>
      </c>
      <c r="D5" s="18"/>
      <c r="E5" s="19" t="s">
        <v>319</v>
      </c>
      <c r="I5" s="4"/>
      <c r="J5" s="4"/>
      <c r="K5" s="16"/>
      <c r="L5" s="4"/>
    </row>
    <row r="6" spans="1:15">
      <c r="A6" s="103"/>
      <c r="B6" s="3" t="s">
        <v>41</v>
      </c>
      <c r="C6" s="33" t="s">
        <v>45</v>
      </c>
      <c r="D6" s="18"/>
      <c r="E6" s="19" t="s">
        <v>320</v>
      </c>
      <c r="I6" s="4"/>
      <c r="J6" s="4"/>
      <c r="K6" s="16"/>
      <c r="L6" s="4"/>
    </row>
    <row r="7" spans="1:15">
      <c r="A7" s="103"/>
      <c r="B7" s="3" t="s">
        <v>42</v>
      </c>
      <c r="C7" s="33" t="s">
        <v>37</v>
      </c>
      <c r="D7" s="18"/>
      <c r="E7" s="19" t="s">
        <v>321</v>
      </c>
      <c r="I7" s="4"/>
      <c r="J7" s="4"/>
      <c r="K7" s="16"/>
      <c r="L7" s="4"/>
    </row>
    <row r="8" spans="1:15">
      <c r="A8" s="103"/>
      <c r="B8" s="3" t="s">
        <v>43</v>
      </c>
      <c r="C8" s="33" t="s">
        <v>43</v>
      </c>
      <c r="D8" s="18"/>
      <c r="E8" s="19" t="s">
        <v>322</v>
      </c>
      <c r="I8" s="4"/>
      <c r="J8" s="4"/>
      <c r="K8" s="16"/>
      <c r="L8" s="4"/>
    </row>
    <row r="9" spans="1:15">
      <c r="A9" s="103"/>
      <c r="B9" s="3" t="s">
        <v>44</v>
      </c>
      <c r="C9" s="33" t="s">
        <v>42</v>
      </c>
      <c r="D9" s="18"/>
      <c r="E9" s="19" t="s">
        <v>323</v>
      </c>
      <c r="I9" s="4"/>
      <c r="J9" s="4"/>
      <c r="K9" s="16"/>
      <c r="L9" s="4"/>
    </row>
    <row r="10" spans="1:15">
      <c r="A10" s="103"/>
      <c r="B10" s="3" t="s">
        <v>45</v>
      </c>
      <c r="C10" s="33" t="s">
        <v>41</v>
      </c>
      <c r="D10" s="18"/>
      <c r="E10" s="19" t="s">
        <v>324</v>
      </c>
      <c r="I10" s="4"/>
      <c r="J10" s="4"/>
      <c r="K10" s="16"/>
      <c r="L10" s="4"/>
    </row>
    <row r="11" spans="1:15">
      <c r="A11" s="103"/>
      <c r="B11" s="3" t="s">
        <v>36</v>
      </c>
      <c r="C11" s="33" t="s">
        <v>39</v>
      </c>
      <c r="D11" s="18"/>
      <c r="E11" s="19" t="s">
        <v>325</v>
      </c>
      <c r="I11" s="4"/>
      <c r="J11" s="4"/>
      <c r="K11" s="16"/>
      <c r="L11" s="4"/>
    </row>
    <row r="12" spans="1:15">
      <c r="A12" s="103"/>
      <c r="B12" s="3" t="s">
        <v>46</v>
      </c>
      <c r="C12" s="33" t="s">
        <v>38</v>
      </c>
      <c r="D12" s="18"/>
      <c r="E12" s="19" t="s">
        <v>326</v>
      </c>
      <c r="I12" s="4"/>
      <c r="J12" s="4"/>
      <c r="K12" s="16"/>
      <c r="L12" s="4"/>
    </row>
    <row r="13" spans="1:15">
      <c r="A13" s="103" t="s">
        <v>4</v>
      </c>
      <c r="B13" s="3" t="s">
        <v>47</v>
      </c>
      <c r="C13" s="33" t="s">
        <v>47</v>
      </c>
      <c r="D13" s="18"/>
      <c r="E13" s="19" t="s">
        <v>327</v>
      </c>
      <c r="I13" s="4"/>
      <c r="J13" s="4"/>
      <c r="K13" s="16"/>
      <c r="L13" s="4"/>
    </row>
    <row r="14" spans="1:15">
      <c r="A14" s="103"/>
      <c r="B14" s="3" t="s">
        <v>48</v>
      </c>
      <c r="C14" s="33" t="s">
        <v>49</v>
      </c>
      <c r="D14" s="18"/>
      <c r="E14" s="19" t="s">
        <v>328</v>
      </c>
      <c r="I14" s="4"/>
      <c r="J14" s="4"/>
      <c r="K14" s="16"/>
      <c r="L14" s="4"/>
    </row>
    <row r="15" spans="1:15">
      <c r="A15" s="103"/>
      <c r="B15" s="3" t="s">
        <v>49</v>
      </c>
      <c r="C15" s="33" t="s">
        <v>50</v>
      </c>
      <c r="D15" s="18"/>
      <c r="E15" s="19" t="s">
        <v>329</v>
      </c>
      <c r="I15" s="4"/>
      <c r="J15" s="4"/>
      <c r="K15" s="16"/>
      <c r="L15" s="4"/>
    </row>
    <row r="16" spans="1:15">
      <c r="A16" s="103"/>
      <c r="B16" s="3" t="s">
        <v>50</v>
      </c>
      <c r="C16" s="33" t="s">
        <v>51</v>
      </c>
      <c r="D16" s="18"/>
      <c r="E16" s="19" t="s">
        <v>330</v>
      </c>
      <c r="I16" s="4"/>
      <c r="J16" s="4"/>
      <c r="K16" s="16"/>
      <c r="L16" s="4"/>
    </row>
    <row r="17" spans="1:12">
      <c r="A17" s="103"/>
      <c r="B17" s="3" t="s">
        <v>51</v>
      </c>
      <c r="C17" s="33" t="s">
        <v>52</v>
      </c>
      <c r="D17" s="18"/>
      <c r="E17" s="19" t="s">
        <v>331</v>
      </c>
      <c r="I17" s="4"/>
      <c r="J17" s="4"/>
      <c r="K17" s="16"/>
      <c r="L17" s="4"/>
    </row>
    <row r="18" spans="1:12">
      <c r="A18" s="103"/>
      <c r="B18" s="3" t="s">
        <v>52</v>
      </c>
      <c r="C18" s="33" t="s">
        <v>48</v>
      </c>
      <c r="D18" s="18"/>
      <c r="E18" s="19" t="s">
        <v>332</v>
      </c>
      <c r="I18" s="4"/>
      <c r="J18" s="4"/>
      <c r="K18" s="16"/>
      <c r="L18" s="4"/>
    </row>
    <row r="19" spans="1:12">
      <c r="A19" s="103" t="s">
        <v>5</v>
      </c>
      <c r="B19" s="3" t="s">
        <v>53</v>
      </c>
      <c r="C19" s="33" t="s">
        <v>54</v>
      </c>
      <c r="D19" s="18"/>
      <c r="E19" s="19" t="s">
        <v>333</v>
      </c>
      <c r="I19" s="4"/>
      <c r="J19" s="4"/>
      <c r="K19" s="16"/>
      <c r="L19" s="4"/>
    </row>
    <row r="20" spans="1:12">
      <c r="A20" s="103"/>
      <c r="B20" s="3" t="s">
        <v>54</v>
      </c>
      <c r="C20" s="33" t="s">
        <v>53</v>
      </c>
      <c r="D20" s="18"/>
      <c r="E20" s="19" t="s">
        <v>334</v>
      </c>
      <c r="I20" s="4"/>
      <c r="J20" s="4"/>
      <c r="K20" s="16"/>
      <c r="L20" s="4"/>
    </row>
    <row r="21" spans="1:12">
      <c r="A21" s="103"/>
      <c r="B21" s="3" t="s">
        <v>55</v>
      </c>
      <c r="C21" s="33" t="s">
        <v>60</v>
      </c>
      <c r="D21" s="18"/>
      <c r="E21" s="19" t="s">
        <v>335</v>
      </c>
      <c r="I21" s="4"/>
      <c r="J21" s="4"/>
      <c r="K21" s="16"/>
      <c r="L21" s="4"/>
    </row>
    <row r="22" spans="1:12">
      <c r="A22" s="103"/>
      <c r="B22" s="3" t="s">
        <v>56</v>
      </c>
      <c r="C22" s="33" t="s">
        <v>58</v>
      </c>
      <c r="D22" s="21"/>
      <c r="E22" s="19" t="s">
        <v>336</v>
      </c>
      <c r="I22" s="4"/>
      <c r="J22" s="4"/>
      <c r="K22" s="16"/>
      <c r="L22" s="4"/>
    </row>
    <row r="23" spans="1:12">
      <c r="A23" s="103"/>
      <c r="B23" s="3" t="s">
        <v>57</v>
      </c>
      <c r="C23" s="33" t="s">
        <v>57</v>
      </c>
      <c r="D23" s="18"/>
      <c r="E23" s="19" t="s">
        <v>337</v>
      </c>
      <c r="I23" s="4"/>
      <c r="J23" s="4"/>
      <c r="K23" s="16"/>
      <c r="L23" s="4"/>
    </row>
    <row r="24" spans="1:12">
      <c r="A24" s="103"/>
      <c r="B24" s="3" t="s">
        <v>58</v>
      </c>
      <c r="C24" s="33" t="s">
        <v>59</v>
      </c>
      <c r="D24" s="18"/>
      <c r="E24" s="19" t="s">
        <v>338</v>
      </c>
      <c r="I24" s="4"/>
      <c r="J24" s="4"/>
      <c r="K24" s="16"/>
      <c r="L24" s="4"/>
    </row>
    <row r="25" spans="1:12">
      <c r="A25" s="103"/>
      <c r="B25" s="3" t="s">
        <v>59</v>
      </c>
      <c r="C25" s="33" t="s">
        <v>55</v>
      </c>
      <c r="D25" s="18"/>
      <c r="E25" s="19" t="s">
        <v>339</v>
      </c>
      <c r="I25" s="4"/>
      <c r="J25" s="4"/>
      <c r="K25" s="16"/>
      <c r="L25" s="4"/>
    </row>
    <row r="26" spans="1:12">
      <c r="A26" s="103"/>
      <c r="B26" s="3" t="s">
        <v>60</v>
      </c>
      <c r="C26" s="33" t="s">
        <v>56</v>
      </c>
      <c r="D26" s="18"/>
      <c r="E26" s="19" t="s">
        <v>340</v>
      </c>
      <c r="I26" s="4"/>
      <c r="J26" s="4"/>
      <c r="K26" s="16"/>
      <c r="L26" s="4"/>
    </row>
    <row r="27" spans="1:12">
      <c r="A27" s="103" t="s">
        <v>6</v>
      </c>
      <c r="B27" s="3" t="s">
        <v>61</v>
      </c>
      <c r="C27" s="33" t="s">
        <v>64</v>
      </c>
      <c r="D27" s="18"/>
      <c r="E27" s="19" t="s">
        <v>341</v>
      </c>
      <c r="I27" s="4"/>
      <c r="J27" s="4"/>
      <c r="K27" s="16"/>
      <c r="L27" s="4"/>
    </row>
    <row r="28" spans="1:12">
      <c r="A28" s="103"/>
      <c r="B28" s="3" t="s">
        <v>62</v>
      </c>
      <c r="C28" s="33" t="s">
        <v>61</v>
      </c>
      <c r="D28" s="18"/>
      <c r="E28" s="19" t="s">
        <v>342</v>
      </c>
      <c r="I28" s="4"/>
      <c r="J28" s="4"/>
      <c r="K28" s="16"/>
      <c r="L28" s="4"/>
    </row>
    <row r="29" spans="1:12">
      <c r="A29" s="103"/>
      <c r="B29" s="3" t="s">
        <v>63</v>
      </c>
      <c r="C29" s="33" t="s">
        <v>63</v>
      </c>
      <c r="D29" s="18"/>
      <c r="E29" s="19" t="s">
        <v>343</v>
      </c>
      <c r="I29" s="4"/>
      <c r="J29" s="4"/>
      <c r="K29" s="16"/>
      <c r="L29" s="4"/>
    </row>
    <row r="30" spans="1:12">
      <c r="A30" s="103"/>
      <c r="B30" s="3" t="s">
        <v>64</v>
      </c>
      <c r="C30" s="33" t="s">
        <v>65</v>
      </c>
      <c r="D30" s="18"/>
      <c r="E30" s="19" t="s">
        <v>344</v>
      </c>
      <c r="I30" s="4"/>
      <c r="J30" s="4"/>
      <c r="K30" s="16"/>
      <c r="L30" s="4"/>
    </row>
    <row r="31" spans="1:12">
      <c r="A31" s="103"/>
      <c r="B31" s="3" t="s">
        <v>65</v>
      </c>
      <c r="C31" s="33" t="s">
        <v>62</v>
      </c>
      <c r="D31" s="18"/>
      <c r="E31" s="19" t="s">
        <v>345</v>
      </c>
      <c r="I31" s="4"/>
      <c r="J31" s="4"/>
      <c r="K31" s="16"/>
      <c r="L31" s="4"/>
    </row>
    <row r="32" spans="1:12">
      <c r="A32" s="103" t="s">
        <v>7</v>
      </c>
      <c r="B32" s="3" t="s">
        <v>66</v>
      </c>
      <c r="C32" s="33" t="s">
        <v>101</v>
      </c>
      <c r="D32" s="18"/>
      <c r="E32" s="19" t="s">
        <v>346</v>
      </c>
      <c r="I32" s="4"/>
      <c r="J32" s="4"/>
      <c r="K32" s="16"/>
      <c r="L32" s="4"/>
    </row>
    <row r="33" spans="1:12">
      <c r="A33" s="103"/>
      <c r="B33" s="3" t="s">
        <v>67</v>
      </c>
      <c r="C33" s="33" t="s">
        <v>102</v>
      </c>
      <c r="D33" s="18"/>
      <c r="E33" s="19" t="s">
        <v>347</v>
      </c>
      <c r="I33" s="4"/>
      <c r="J33" s="4"/>
      <c r="K33" s="16"/>
      <c r="L33" s="4"/>
    </row>
    <row r="34" spans="1:12">
      <c r="A34" s="103"/>
      <c r="B34" s="3" t="s">
        <v>68</v>
      </c>
      <c r="C34" s="33" t="s">
        <v>103</v>
      </c>
      <c r="D34" s="18"/>
      <c r="E34" s="19" t="s">
        <v>348</v>
      </c>
      <c r="I34" s="4"/>
      <c r="J34" s="4"/>
      <c r="K34" s="16"/>
      <c r="L34" s="4"/>
    </row>
    <row r="35" spans="1:12">
      <c r="A35" s="103"/>
      <c r="B35" s="3" t="s">
        <v>69</v>
      </c>
      <c r="C35" s="33" t="s">
        <v>100</v>
      </c>
      <c r="D35" s="18"/>
      <c r="E35" s="19" t="s">
        <v>349</v>
      </c>
      <c r="I35" s="4"/>
      <c r="J35" s="4"/>
      <c r="K35" s="16"/>
      <c r="L35" s="4"/>
    </row>
    <row r="36" spans="1:12">
      <c r="A36" s="103"/>
      <c r="B36" s="3" t="s">
        <v>70</v>
      </c>
      <c r="C36" s="33" t="s">
        <v>97</v>
      </c>
      <c r="D36" s="35"/>
      <c r="E36" s="19" t="s">
        <v>350</v>
      </c>
      <c r="I36" s="4"/>
      <c r="J36" s="4"/>
      <c r="K36" s="16"/>
      <c r="L36" s="4"/>
    </row>
    <row r="37" spans="1:12">
      <c r="A37" s="103"/>
      <c r="B37" s="3" t="s">
        <v>71</v>
      </c>
      <c r="C37" s="33" t="s">
        <v>98</v>
      </c>
      <c r="D37" s="18"/>
      <c r="E37" s="19" t="s">
        <v>351</v>
      </c>
      <c r="I37" s="4"/>
      <c r="J37" s="4"/>
      <c r="K37" s="16"/>
      <c r="L37" s="4"/>
    </row>
    <row r="38" spans="1:12">
      <c r="A38" s="103"/>
      <c r="B38" s="3" t="s">
        <v>72</v>
      </c>
      <c r="C38" s="33" t="s">
        <v>95</v>
      </c>
      <c r="D38" s="18"/>
      <c r="E38" s="19" t="s">
        <v>352</v>
      </c>
      <c r="I38" s="4"/>
      <c r="J38" s="4"/>
      <c r="K38" s="16"/>
      <c r="L38" s="4"/>
    </row>
    <row r="39" spans="1:12">
      <c r="A39" s="103"/>
      <c r="B39" s="3" t="s">
        <v>73</v>
      </c>
      <c r="C39" s="33" t="s">
        <v>96</v>
      </c>
      <c r="D39" s="18"/>
      <c r="E39" s="19" t="s">
        <v>353</v>
      </c>
      <c r="I39" s="4"/>
      <c r="J39" s="4"/>
      <c r="K39" s="16"/>
      <c r="L39" s="4"/>
    </row>
    <row r="40" spans="1:12">
      <c r="A40" s="103"/>
      <c r="B40" s="3" t="s">
        <v>74</v>
      </c>
      <c r="C40" s="33" t="s">
        <v>99</v>
      </c>
      <c r="D40" s="18"/>
      <c r="E40" s="19" t="s">
        <v>354</v>
      </c>
      <c r="I40" s="4"/>
      <c r="J40" s="4"/>
      <c r="K40" s="16"/>
      <c r="L40" s="4"/>
    </row>
    <row r="41" spans="1:12">
      <c r="A41" s="103"/>
      <c r="B41" s="3" t="s">
        <v>75</v>
      </c>
      <c r="C41" s="33" t="s">
        <v>93</v>
      </c>
      <c r="D41" s="18"/>
      <c r="E41" s="19" t="s">
        <v>355</v>
      </c>
      <c r="I41" s="4"/>
      <c r="J41" s="4"/>
      <c r="K41" s="16"/>
      <c r="L41" s="4"/>
    </row>
    <row r="42" spans="1:12">
      <c r="A42" s="103"/>
      <c r="B42" s="3" t="s">
        <v>76</v>
      </c>
      <c r="C42" s="33" t="s">
        <v>94</v>
      </c>
      <c r="D42" s="18"/>
      <c r="E42" s="19" t="s">
        <v>356</v>
      </c>
      <c r="I42" s="4"/>
      <c r="J42" s="4"/>
      <c r="K42" s="16"/>
      <c r="L42" s="4"/>
    </row>
    <row r="43" spans="1:12">
      <c r="A43" s="103"/>
      <c r="B43" s="3" t="s">
        <v>77</v>
      </c>
      <c r="C43" s="33" t="s">
        <v>92</v>
      </c>
      <c r="D43" s="18"/>
      <c r="E43" s="19" t="s">
        <v>357</v>
      </c>
      <c r="I43" s="4"/>
      <c r="J43" s="4"/>
      <c r="K43" s="16"/>
      <c r="L43" s="4"/>
    </row>
    <row r="44" spans="1:12">
      <c r="A44" s="103"/>
      <c r="B44" s="3" t="s">
        <v>78</v>
      </c>
      <c r="C44" s="33" t="s">
        <v>91</v>
      </c>
      <c r="D44" s="18"/>
      <c r="E44" s="19" t="s">
        <v>358</v>
      </c>
      <c r="K44" s="17"/>
    </row>
    <row r="45" spans="1:12">
      <c r="A45" s="103"/>
      <c r="B45" s="3" t="s">
        <v>79</v>
      </c>
      <c r="C45" s="33" t="s">
        <v>90</v>
      </c>
      <c r="D45" s="18"/>
      <c r="E45" s="19" t="s">
        <v>359</v>
      </c>
      <c r="K45" s="17"/>
    </row>
    <row r="46" spans="1:12">
      <c r="A46" s="103"/>
      <c r="B46" s="3" t="s">
        <v>80</v>
      </c>
      <c r="C46" s="33" t="s">
        <v>89</v>
      </c>
      <c r="D46" s="18"/>
      <c r="E46" s="19" t="s">
        <v>360</v>
      </c>
      <c r="K46" s="17"/>
    </row>
    <row r="47" spans="1:12">
      <c r="A47" s="103"/>
      <c r="B47" s="3" t="s">
        <v>81</v>
      </c>
      <c r="C47" s="33" t="s">
        <v>88</v>
      </c>
      <c r="D47" s="18"/>
      <c r="E47" s="19" t="s">
        <v>361</v>
      </c>
      <c r="K47" s="17"/>
    </row>
    <row r="48" spans="1:12">
      <c r="A48" s="103"/>
      <c r="B48" s="3" t="s">
        <v>82</v>
      </c>
      <c r="C48" s="33" t="s">
        <v>87</v>
      </c>
      <c r="D48" s="18"/>
      <c r="E48" s="19" t="s">
        <v>362</v>
      </c>
      <c r="K48" s="17"/>
    </row>
    <row r="49" spans="1:11">
      <c r="A49" s="103"/>
      <c r="B49" s="3" t="s">
        <v>83</v>
      </c>
      <c r="C49" s="33" t="s">
        <v>86</v>
      </c>
      <c r="D49" s="18"/>
      <c r="E49" s="19" t="s">
        <v>363</v>
      </c>
      <c r="K49" s="17"/>
    </row>
    <row r="50" spans="1:11">
      <c r="A50" s="103"/>
      <c r="B50" s="3" t="s">
        <v>84</v>
      </c>
      <c r="C50" s="33" t="s">
        <v>85</v>
      </c>
      <c r="D50" s="18"/>
      <c r="E50" s="19" t="s">
        <v>364</v>
      </c>
      <c r="K50" s="17"/>
    </row>
    <row r="51" spans="1:11">
      <c r="A51" s="103"/>
      <c r="B51" s="3" t="s">
        <v>85</v>
      </c>
      <c r="C51" s="33" t="s">
        <v>84</v>
      </c>
      <c r="D51" s="18"/>
      <c r="E51" s="19" t="s">
        <v>365</v>
      </c>
      <c r="K51" s="17"/>
    </row>
    <row r="52" spans="1:11">
      <c r="A52" s="103"/>
      <c r="B52" s="3" t="s">
        <v>86</v>
      </c>
      <c r="C52" s="33" t="s">
        <v>83</v>
      </c>
      <c r="D52" s="18"/>
      <c r="E52" s="19" t="s">
        <v>366</v>
      </c>
      <c r="K52" s="17"/>
    </row>
    <row r="53" spans="1:11">
      <c r="A53" s="103"/>
      <c r="B53" s="3" t="s">
        <v>87</v>
      </c>
      <c r="C53" s="33" t="s">
        <v>82</v>
      </c>
      <c r="D53" s="18"/>
      <c r="E53" s="19" t="s">
        <v>367</v>
      </c>
      <c r="K53" s="17"/>
    </row>
    <row r="54" spans="1:11">
      <c r="A54" s="103"/>
      <c r="B54" s="3" t="s">
        <v>88</v>
      </c>
      <c r="C54" s="33" t="s">
        <v>81</v>
      </c>
      <c r="D54" s="18"/>
      <c r="E54" s="19" t="s">
        <v>368</v>
      </c>
      <c r="K54" s="17"/>
    </row>
    <row r="55" spans="1:11">
      <c r="A55" s="103"/>
      <c r="B55" s="3" t="s">
        <v>89</v>
      </c>
      <c r="C55" s="33" t="s">
        <v>78</v>
      </c>
      <c r="D55" s="36" t="s">
        <v>688</v>
      </c>
      <c r="E55" s="19" t="s">
        <v>369</v>
      </c>
      <c r="F55" s="3">
        <v>300</v>
      </c>
      <c r="G55" s="9">
        <f t="shared" ref="G55:G62" si="0">F55/SUM($F$55:$F$67)</f>
        <v>0.16304347826086957</v>
      </c>
      <c r="K55" s="17"/>
    </row>
    <row r="56" spans="1:11">
      <c r="A56" s="103"/>
      <c r="B56" s="3" t="s">
        <v>90</v>
      </c>
      <c r="C56" s="33" t="s">
        <v>77</v>
      </c>
      <c r="D56" s="35" t="s">
        <v>703</v>
      </c>
      <c r="E56" s="19" t="s">
        <v>370</v>
      </c>
      <c r="F56" s="3">
        <v>400</v>
      </c>
      <c r="G56" s="9">
        <f t="shared" si="0"/>
        <v>0.21739130434782608</v>
      </c>
      <c r="K56" s="17"/>
    </row>
    <row r="57" spans="1:11">
      <c r="A57" s="103"/>
      <c r="B57" s="3" t="s">
        <v>91</v>
      </c>
      <c r="C57" s="33" t="s">
        <v>76</v>
      </c>
      <c r="D57" s="18"/>
      <c r="E57" s="19" t="s">
        <v>371</v>
      </c>
      <c r="K57" s="17"/>
    </row>
    <row r="58" spans="1:11">
      <c r="A58" s="103"/>
      <c r="B58" s="3" t="s">
        <v>92</v>
      </c>
      <c r="C58" s="33" t="s">
        <v>79</v>
      </c>
      <c r="D58" s="18"/>
      <c r="E58" s="19" t="s">
        <v>372</v>
      </c>
      <c r="K58" s="17"/>
    </row>
    <row r="59" spans="1:11">
      <c r="A59" s="103"/>
      <c r="B59" s="3" t="s">
        <v>93</v>
      </c>
      <c r="C59" s="33" t="s">
        <v>80</v>
      </c>
      <c r="D59" s="18"/>
      <c r="E59" s="19" t="s">
        <v>373</v>
      </c>
      <c r="K59" s="17"/>
    </row>
    <row r="60" spans="1:11">
      <c r="A60" s="103"/>
      <c r="B60" s="3" t="s">
        <v>94</v>
      </c>
      <c r="C60" s="33" t="s">
        <v>75</v>
      </c>
      <c r="D60" s="18"/>
      <c r="E60" s="19" t="s">
        <v>374</v>
      </c>
      <c r="K60" s="17"/>
    </row>
    <row r="61" spans="1:11">
      <c r="A61" s="103"/>
      <c r="B61" s="3" t="s">
        <v>95</v>
      </c>
      <c r="C61" s="33" t="s">
        <v>73</v>
      </c>
      <c r="D61" s="18"/>
      <c r="E61" s="19" t="s">
        <v>375</v>
      </c>
      <c r="K61" s="17"/>
    </row>
    <row r="62" spans="1:11">
      <c r="A62" s="103"/>
      <c r="B62" s="3" t="s">
        <v>96</v>
      </c>
      <c r="C62" s="33" t="s">
        <v>74</v>
      </c>
      <c r="D62" s="36" t="s">
        <v>690</v>
      </c>
      <c r="E62" s="19" t="s">
        <v>376</v>
      </c>
      <c r="F62" s="3">
        <v>480</v>
      </c>
      <c r="G62" s="9">
        <f t="shared" si="0"/>
        <v>0.2608695652173913</v>
      </c>
      <c r="K62" s="17"/>
    </row>
    <row r="63" spans="1:11">
      <c r="A63" s="103"/>
      <c r="B63" s="3" t="s">
        <v>97</v>
      </c>
      <c r="C63" s="33" t="s">
        <v>72</v>
      </c>
      <c r="D63" s="18"/>
      <c r="E63" s="19" t="s">
        <v>377</v>
      </c>
      <c r="K63" s="17"/>
    </row>
    <row r="64" spans="1:11">
      <c r="A64" s="103"/>
      <c r="B64" s="3" t="s">
        <v>98</v>
      </c>
      <c r="C64" s="33" t="s">
        <v>69</v>
      </c>
      <c r="D64" s="18"/>
      <c r="E64" s="19" t="s">
        <v>378</v>
      </c>
      <c r="K64" s="17"/>
    </row>
    <row r="65" spans="1:11">
      <c r="A65" s="103"/>
      <c r="B65" s="3" t="s">
        <v>99</v>
      </c>
      <c r="C65" s="33" t="s">
        <v>70</v>
      </c>
      <c r="D65" s="18"/>
      <c r="E65" s="19" t="s">
        <v>379</v>
      </c>
      <c r="K65" s="17"/>
    </row>
    <row r="66" spans="1:11">
      <c r="A66" s="103"/>
      <c r="B66" s="3" t="s">
        <v>100</v>
      </c>
      <c r="C66" s="33" t="s">
        <v>68</v>
      </c>
      <c r="D66" s="36"/>
      <c r="E66" s="19" t="s">
        <v>380</v>
      </c>
      <c r="K66" s="17"/>
    </row>
    <row r="67" spans="1:11">
      <c r="A67" s="103"/>
      <c r="B67" s="3" t="s">
        <v>101</v>
      </c>
      <c r="C67" s="33" t="s">
        <v>71</v>
      </c>
      <c r="D67" s="18" t="s">
        <v>729</v>
      </c>
      <c r="E67" s="19" t="s">
        <v>381</v>
      </c>
      <c r="F67" s="3">
        <v>660</v>
      </c>
      <c r="G67" s="9">
        <f>F67/SUM($F$55:$F$67)</f>
        <v>0.35869565217391303</v>
      </c>
      <c r="K67" s="17"/>
    </row>
    <row r="68" spans="1:11">
      <c r="A68" s="103"/>
      <c r="B68" s="3" t="s">
        <v>102</v>
      </c>
      <c r="C68" s="33" t="s">
        <v>67</v>
      </c>
      <c r="D68" s="36"/>
      <c r="E68" s="19" t="s">
        <v>382</v>
      </c>
      <c r="K68" s="17"/>
    </row>
    <row r="69" spans="1:11">
      <c r="A69" s="103"/>
      <c r="B69" s="3" t="s">
        <v>103</v>
      </c>
      <c r="C69" s="33" t="s">
        <v>66</v>
      </c>
      <c r="D69" s="18"/>
      <c r="E69" s="19" t="s">
        <v>383</v>
      </c>
      <c r="K69" s="17"/>
    </row>
    <row r="70" spans="1:11">
      <c r="A70" s="27" t="s">
        <v>623</v>
      </c>
      <c r="B70" s="3" t="s">
        <v>384</v>
      </c>
      <c r="C70" s="33" t="s">
        <v>384</v>
      </c>
      <c r="D70" s="18"/>
      <c r="E70" s="19" t="s">
        <v>385</v>
      </c>
      <c r="K70" s="17"/>
    </row>
    <row r="71" spans="1:11">
      <c r="A71" s="103" t="s">
        <v>8</v>
      </c>
      <c r="B71" s="3" t="s">
        <v>104</v>
      </c>
      <c r="C71" s="33" t="s">
        <v>106</v>
      </c>
      <c r="D71" s="18"/>
      <c r="E71" s="19" t="s">
        <v>386</v>
      </c>
      <c r="K71" s="17"/>
    </row>
    <row r="72" spans="1:11">
      <c r="A72" s="103"/>
      <c r="B72" s="3" t="s">
        <v>105</v>
      </c>
      <c r="C72" s="33" t="s">
        <v>105</v>
      </c>
      <c r="D72" s="18"/>
      <c r="E72" s="19" t="s">
        <v>387</v>
      </c>
      <c r="K72" s="17"/>
    </row>
    <row r="73" spans="1:11">
      <c r="A73" s="103"/>
      <c r="B73" s="3" t="s">
        <v>106</v>
      </c>
      <c r="C73" s="33" t="s">
        <v>104</v>
      </c>
      <c r="D73" s="18"/>
      <c r="E73" s="19" t="s">
        <v>388</v>
      </c>
      <c r="K73" s="17"/>
    </row>
    <row r="74" spans="1:11">
      <c r="A74" s="103" t="s">
        <v>9</v>
      </c>
      <c r="B74" s="3" t="s">
        <v>107</v>
      </c>
      <c r="C74" s="33" t="s">
        <v>114</v>
      </c>
      <c r="D74" s="18"/>
      <c r="E74" s="19" t="s">
        <v>389</v>
      </c>
      <c r="K74" s="17"/>
    </row>
    <row r="75" spans="1:11">
      <c r="A75" s="103"/>
      <c r="B75" s="3" t="s">
        <v>108</v>
      </c>
      <c r="C75" s="33" t="s">
        <v>390</v>
      </c>
      <c r="D75" s="18"/>
      <c r="E75" s="19" t="s">
        <v>391</v>
      </c>
      <c r="K75" s="17"/>
    </row>
    <row r="76" spans="1:11">
      <c r="A76" s="103"/>
      <c r="B76" s="3" t="s">
        <v>109</v>
      </c>
      <c r="C76" s="33" t="s">
        <v>392</v>
      </c>
      <c r="D76" s="18"/>
      <c r="E76" s="19" t="s">
        <v>393</v>
      </c>
    </row>
    <row r="77" spans="1:11">
      <c r="A77" s="103"/>
      <c r="B77" s="3" t="s">
        <v>110</v>
      </c>
      <c r="C77" s="33" t="s">
        <v>394</v>
      </c>
      <c r="D77" s="18"/>
      <c r="E77" s="19" t="s">
        <v>395</v>
      </c>
    </row>
    <row r="78" spans="1:11">
      <c r="A78" s="103"/>
      <c r="B78" s="3" t="s">
        <v>111</v>
      </c>
      <c r="C78" s="33" t="s">
        <v>115</v>
      </c>
      <c r="D78" s="18"/>
      <c r="E78" s="19" t="s">
        <v>396</v>
      </c>
    </row>
    <row r="79" spans="1:11">
      <c r="A79" s="103"/>
      <c r="B79" s="3" t="s">
        <v>112</v>
      </c>
      <c r="C79" s="33" t="s">
        <v>110</v>
      </c>
      <c r="D79" s="18"/>
      <c r="E79" s="19" t="s">
        <v>397</v>
      </c>
    </row>
    <row r="80" spans="1:11">
      <c r="A80" s="103"/>
      <c r="B80" s="3" t="s">
        <v>113</v>
      </c>
      <c r="C80" s="33" t="s">
        <v>112</v>
      </c>
      <c r="D80" s="18"/>
      <c r="E80" s="19" t="s">
        <v>398</v>
      </c>
    </row>
    <row r="81" spans="1:5">
      <c r="A81" s="103"/>
      <c r="B81" s="3" t="s">
        <v>114</v>
      </c>
      <c r="C81" s="33" t="s">
        <v>111</v>
      </c>
      <c r="D81" s="18"/>
      <c r="E81" s="19" t="s">
        <v>399</v>
      </c>
    </row>
    <row r="82" spans="1:5">
      <c r="A82" s="103"/>
      <c r="B82" s="3" t="s">
        <v>115</v>
      </c>
      <c r="C82" s="33" t="s">
        <v>107</v>
      </c>
      <c r="D82" s="18"/>
      <c r="E82" s="19" t="s">
        <v>400</v>
      </c>
    </row>
    <row r="83" spans="1:5">
      <c r="A83" s="103"/>
      <c r="C83" s="33" t="s">
        <v>401</v>
      </c>
      <c r="D83" s="18"/>
      <c r="E83" s="19" t="s">
        <v>402</v>
      </c>
    </row>
    <row r="84" spans="1:5">
      <c r="A84" s="103"/>
      <c r="C84" s="33" t="s">
        <v>113</v>
      </c>
      <c r="D84" s="18"/>
      <c r="E84" s="19" t="s">
        <v>403</v>
      </c>
    </row>
    <row r="85" spans="1:5">
      <c r="A85" s="103"/>
      <c r="C85" s="33" t="s">
        <v>108</v>
      </c>
      <c r="D85" s="18"/>
      <c r="E85" s="19" t="s">
        <v>404</v>
      </c>
    </row>
    <row r="86" spans="1:5">
      <c r="A86" s="103"/>
      <c r="C86" s="33" t="s">
        <v>109</v>
      </c>
      <c r="D86" s="18"/>
      <c r="E86" s="19" t="s">
        <v>405</v>
      </c>
    </row>
    <row r="87" spans="1:5">
      <c r="A87" s="103" t="s">
        <v>10</v>
      </c>
      <c r="B87" s="3" t="s">
        <v>116</v>
      </c>
      <c r="C87" s="33" t="s">
        <v>120</v>
      </c>
      <c r="D87" s="18"/>
      <c r="E87" s="19" t="s">
        <v>406</v>
      </c>
    </row>
    <row r="88" spans="1:5">
      <c r="A88" s="103"/>
      <c r="B88" s="3" t="s">
        <v>117</v>
      </c>
      <c r="C88" s="33" t="s">
        <v>117</v>
      </c>
      <c r="D88" s="18"/>
      <c r="E88" s="19" t="s">
        <v>407</v>
      </c>
    </row>
    <row r="89" spans="1:5">
      <c r="A89" s="103"/>
      <c r="B89" s="3" t="s">
        <v>118</v>
      </c>
      <c r="C89" s="33" t="s">
        <v>128</v>
      </c>
      <c r="D89" s="18"/>
      <c r="E89" s="19" t="s">
        <v>408</v>
      </c>
    </row>
    <row r="90" spans="1:5">
      <c r="A90" s="103"/>
      <c r="B90" s="3" t="s">
        <v>119</v>
      </c>
      <c r="C90" s="33" t="s">
        <v>118</v>
      </c>
      <c r="D90" s="18"/>
      <c r="E90" s="19" t="s">
        <v>409</v>
      </c>
    </row>
    <row r="91" spans="1:5">
      <c r="A91" s="103"/>
      <c r="B91" s="3" t="s">
        <v>120</v>
      </c>
      <c r="C91" s="33" t="s">
        <v>123</v>
      </c>
      <c r="D91" s="18"/>
      <c r="E91" s="19" t="s">
        <v>410</v>
      </c>
    </row>
    <row r="92" spans="1:5">
      <c r="A92" s="103"/>
      <c r="B92" s="3" t="s">
        <v>121</v>
      </c>
      <c r="C92" s="33" t="s">
        <v>119</v>
      </c>
      <c r="D92" s="18"/>
      <c r="E92" s="19" t="s">
        <v>411</v>
      </c>
    </row>
    <row r="93" spans="1:5">
      <c r="A93" s="103"/>
      <c r="B93" s="3" t="s">
        <v>122</v>
      </c>
      <c r="C93" s="33" t="s">
        <v>129</v>
      </c>
      <c r="D93" s="18"/>
      <c r="E93" s="19" t="s">
        <v>412</v>
      </c>
    </row>
    <row r="94" spans="1:5">
      <c r="A94" s="103"/>
      <c r="B94" s="3" t="s">
        <v>123</v>
      </c>
      <c r="C94" s="33" t="s">
        <v>124</v>
      </c>
      <c r="D94" s="18"/>
      <c r="E94" s="19" t="s">
        <v>413</v>
      </c>
    </row>
    <row r="95" spans="1:5">
      <c r="A95" s="103"/>
      <c r="B95" s="3" t="s">
        <v>124</v>
      </c>
      <c r="C95" s="33" t="s">
        <v>126</v>
      </c>
      <c r="D95" s="18"/>
      <c r="E95" s="19" t="s">
        <v>414</v>
      </c>
    </row>
    <row r="96" spans="1:5">
      <c r="A96" s="103"/>
      <c r="B96" s="3" t="s">
        <v>125</v>
      </c>
      <c r="C96" s="33" t="s">
        <v>127</v>
      </c>
      <c r="D96" s="18"/>
      <c r="E96" s="19" t="s">
        <v>415</v>
      </c>
    </row>
    <row r="97" spans="1:5">
      <c r="A97" s="103"/>
      <c r="B97" s="3" t="s">
        <v>126</v>
      </c>
      <c r="C97" s="33" t="s">
        <v>121</v>
      </c>
      <c r="D97" s="18"/>
      <c r="E97" s="19" t="s">
        <v>416</v>
      </c>
    </row>
    <row r="98" spans="1:5">
      <c r="A98" s="103"/>
      <c r="B98" s="3" t="s">
        <v>127</v>
      </c>
      <c r="C98" s="33" t="s">
        <v>125</v>
      </c>
      <c r="D98" s="18"/>
      <c r="E98" s="19" t="s">
        <v>417</v>
      </c>
    </row>
    <row r="99" spans="1:5">
      <c r="A99" s="103"/>
      <c r="B99" s="3" t="s">
        <v>128</v>
      </c>
      <c r="C99" s="33" t="s">
        <v>122</v>
      </c>
      <c r="D99" s="18"/>
      <c r="E99" s="19" t="s">
        <v>418</v>
      </c>
    </row>
    <row r="100" spans="1:5">
      <c r="A100" s="103"/>
      <c r="B100" s="3" t="s">
        <v>129</v>
      </c>
      <c r="C100" s="33" t="s">
        <v>419</v>
      </c>
      <c r="D100" s="18"/>
      <c r="E100" s="19" t="s">
        <v>420</v>
      </c>
    </row>
    <row r="101" spans="1:5">
      <c r="A101" s="103"/>
      <c r="B101" s="3" t="s">
        <v>130</v>
      </c>
      <c r="C101" s="33" t="s">
        <v>130</v>
      </c>
      <c r="D101" s="18"/>
      <c r="E101" s="19" t="s">
        <v>421</v>
      </c>
    </row>
    <row r="102" spans="1:5">
      <c r="A102" s="103"/>
      <c r="C102" s="33" t="s">
        <v>116</v>
      </c>
      <c r="D102" s="18"/>
      <c r="E102" s="19" t="s">
        <v>422</v>
      </c>
    </row>
    <row r="103" spans="1:5">
      <c r="A103" s="103"/>
      <c r="C103" s="33" t="s">
        <v>423</v>
      </c>
      <c r="D103" s="18"/>
      <c r="E103" s="19" t="s">
        <v>424</v>
      </c>
    </row>
    <row r="104" spans="1:5">
      <c r="A104" s="103"/>
      <c r="C104" s="33" t="s">
        <v>425</v>
      </c>
      <c r="D104" s="18"/>
      <c r="E104" s="19" t="s">
        <v>426</v>
      </c>
    </row>
    <row r="105" spans="1:5">
      <c r="A105" s="103"/>
      <c r="C105" s="33" t="s">
        <v>427</v>
      </c>
      <c r="D105" s="18"/>
      <c r="E105" s="19" t="s">
        <v>428</v>
      </c>
    </row>
    <row r="106" spans="1:5">
      <c r="A106" s="103" t="s">
        <v>11</v>
      </c>
      <c r="B106" s="3" t="s">
        <v>131</v>
      </c>
      <c r="C106" s="33" t="s">
        <v>132</v>
      </c>
      <c r="D106" s="18"/>
      <c r="E106" s="19" t="s">
        <v>429</v>
      </c>
    </row>
    <row r="107" spans="1:5">
      <c r="A107" s="103"/>
      <c r="B107" s="3" t="s">
        <v>132</v>
      </c>
      <c r="C107" s="33" t="s">
        <v>143</v>
      </c>
      <c r="D107" s="18"/>
      <c r="E107" s="19" t="s">
        <v>430</v>
      </c>
    </row>
    <row r="108" spans="1:5">
      <c r="A108" s="103"/>
      <c r="B108" s="3" t="s">
        <v>133</v>
      </c>
      <c r="C108" s="33" t="s">
        <v>141</v>
      </c>
      <c r="D108" s="18"/>
      <c r="E108" s="19" t="s">
        <v>431</v>
      </c>
    </row>
    <row r="109" spans="1:5">
      <c r="A109" s="103"/>
      <c r="B109" s="3" t="s">
        <v>134</v>
      </c>
      <c r="C109" s="33" t="s">
        <v>138</v>
      </c>
      <c r="D109" s="18"/>
      <c r="E109" s="19" t="s">
        <v>432</v>
      </c>
    </row>
    <row r="110" spans="1:5">
      <c r="A110" s="103"/>
      <c r="B110" s="3" t="s">
        <v>135</v>
      </c>
      <c r="C110" s="34" t="s">
        <v>145</v>
      </c>
      <c r="D110" s="19"/>
      <c r="E110" s="22" t="s">
        <v>433</v>
      </c>
    </row>
    <row r="111" spans="1:5">
      <c r="A111" s="103"/>
      <c r="B111" s="3" t="s">
        <v>136</v>
      </c>
      <c r="C111" s="34" t="s">
        <v>137</v>
      </c>
      <c r="D111" s="35"/>
      <c r="E111" s="22" t="s">
        <v>434</v>
      </c>
    </row>
    <row r="112" spans="1:5">
      <c r="A112" s="103"/>
      <c r="B112" s="3" t="s">
        <v>137</v>
      </c>
      <c r="C112" s="33" t="s">
        <v>134</v>
      </c>
      <c r="D112" s="36"/>
      <c r="E112" s="19" t="s">
        <v>435</v>
      </c>
    </row>
    <row r="113" spans="1:5">
      <c r="A113" s="103"/>
      <c r="B113" s="3" t="s">
        <v>138</v>
      </c>
      <c r="C113" s="33" t="s">
        <v>151</v>
      </c>
      <c r="D113" s="18"/>
      <c r="E113" s="19" t="s">
        <v>436</v>
      </c>
    </row>
    <row r="114" spans="1:5">
      <c r="A114" s="103"/>
      <c r="B114" s="3" t="s">
        <v>139</v>
      </c>
      <c r="C114" s="33" t="s">
        <v>133</v>
      </c>
      <c r="D114" s="18"/>
      <c r="E114" s="19" t="s">
        <v>437</v>
      </c>
    </row>
    <row r="115" spans="1:5">
      <c r="A115" s="103"/>
      <c r="B115" s="3" t="s">
        <v>140</v>
      </c>
      <c r="C115" s="33" t="s">
        <v>148</v>
      </c>
      <c r="D115" s="18"/>
      <c r="E115" s="19" t="s">
        <v>438</v>
      </c>
    </row>
    <row r="116" spans="1:5">
      <c r="A116" s="103"/>
      <c r="B116" s="3" t="s">
        <v>141</v>
      </c>
      <c r="C116" s="33" t="s">
        <v>135</v>
      </c>
      <c r="D116" s="18"/>
      <c r="E116" s="19" t="s">
        <v>439</v>
      </c>
    </row>
    <row r="117" spans="1:5">
      <c r="A117" s="103"/>
      <c r="B117" s="3" t="s">
        <v>142</v>
      </c>
      <c r="C117" s="33" t="s">
        <v>136</v>
      </c>
      <c r="D117" s="18"/>
      <c r="E117" s="19" t="s">
        <v>440</v>
      </c>
    </row>
    <row r="118" spans="1:5">
      <c r="A118" s="103"/>
      <c r="B118" s="3" t="s">
        <v>143</v>
      </c>
      <c r="C118" s="33" t="s">
        <v>140</v>
      </c>
      <c r="D118" s="18"/>
      <c r="E118" s="19" t="s">
        <v>441</v>
      </c>
    </row>
    <row r="119" spans="1:5">
      <c r="A119" s="103"/>
      <c r="B119" s="3" t="s">
        <v>144</v>
      </c>
      <c r="C119" s="33" t="s">
        <v>139</v>
      </c>
      <c r="D119" s="18"/>
      <c r="E119" s="19" t="s">
        <v>442</v>
      </c>
    </row>
    <row r="120" spans="1:5">
      <c r="A120" s="103"/>
      <c r="B120" s="3" t="s">
        <v>145</v>
      </c>
      <c r="C120" s="33" t="s">
        <v>142</v>
      </c>
      <c r="D120" s="18"/>
      <c r="E120" s="19" t="s">
        <v>443</v>
      </c>
    </row>
    <row r="121" spans="1:5">
      <c r="A121" s="103"/>
      <c r="B121" s="3" t="s">
        <v>146</v>
      </c>
      <c r="C121" s="33" t="s">
        <v>144</v>
      </c>
      <c r="D121" s="18"/>
      <c r="E121" s="19" t="s">
        <v>444</v>
      </c>
    </row>
    <row r="122" spans="1:5">
      <c r="A122" s="103"/>
      <c r="B122" s="3" t="s">
        <v>147</v>
      </c>
      <c r="C122" s="33" t="s">
        <v>146</v>
      </c>
      <c r="D122" s="18"/>
      <c r="E122" s="19" t="s">
        <v>445</v>
      </c>
    </row>
    <row r="123" spans="1:5">
      <c r="A123" s="103"/>
      <c r="B123" s="3" t="s">
        <v>148</v>
      </c>
      <c r="C123" s="33" t="s">
        <v>147</v>
      </c>
      <c r="D123" s="18"/>
      <c r="E123" s="19" t="s">
        <v>446</v>
      </c>
    </row>
    <row r="124" spans="1:5">
      <c r="A124" s="103"/>
      <c r="B124" s="3" t="s">
        <v>149</v>
      </c>
      <c r="C124" s="33" t="s">
        <v>150</v>
      </c>
      <c r="D124" s="18"/>
      <c r="E124" s="19" t="s">
        <v>447</v>
      </c>
    </row>
    <row r="125" spans="1:5">
      <c r="A125" s="103"/>
      <c r="B125" s="3" t="s">
        <v>150</v>
      </c>
      <c r="C125" s="33" t="s">
        <v>152</v>
      </c>
      <c r="D125" s="18"/>
      <c r="E125" s="19" t="s">
        <v>448</v>
      </c>
    </row>
    <row r="126" spans="1:5">
      <c r="A126" s="103"/>
      <c r="B126" s="3" t="s">
        <v>151</v>
      </c>
      <c r="C126" s="33" t="s">
        <v>149</v>
      </c>
      <c r="D126" s="18"/>
      <c r="E126" s="19" t="s">
        <v>449</v>
      </c>
    </row>
    <row r="127" spans="1:5">
      <c r="A127" s="103"/>
      <c r="B127" s="3" t="s">
        <v>152</v>
      </c>
      <c r="C127" s="33" t="s">
        <v>131</v>
      </c>
      <c r="D127" s="18"/>
      <c r="E127" s="19" t="s">
        <v>450</v>
      </c>
    </row>
    <row r="128" spans="1:5">
      <c r="A128" s="103"/>
      <c r="C128" s="33" t="s">
        <v>451</v>
      </c>
      <c r="D128" s="18"/>
      <c r="E128" s="19" t="s">
        <v>452</v>
      </c>
    </row>
    <row r="129" spans="1:5">
      <c r="A129" s="103"/>
      <c r="C129" s="33" t="s">
        <v>453</v>
      </c>
      <c r="D129" s="18"/>
      <c r="E129" s="19" t="s">
        <v>454</v>
      </c>
    </row>
    <row r="130" spans="1:5">
      <c r="A130" s="103"/>
      <c r="C130" s="33" t="s">
        <v>455</v>
      </c>
      <c r="D130" s="18"/>
      <c r="E130" s="19" t="s">
        <v>456</v>
      </c>
    </row>
    <row r="131" spans="1:5">
      <c r="A131" s="103"/>
      <c r="C131" s="33" t="s">
        <v>457</v>
      </c>
      <c r="D131" s="18"/>
      <c r="E131" s="19" t="s">
        <v>458</v>
      </c>
    </row>
    <row r="132" spans="1:5">
      <c r="A132" s="103"/>
      <c r="C132" s="33" t="s">
        <v>459</v>
      </c>
      <c r="D132" s="18"/>
      <c r="E132" s="19" t="s">
        <v>460</v>
      </c>
    </row>
    <row r="133" spans="1:5">
      <c r="A133" s="103" t="s">
        <v>12</v>
      </c>
      <c r="B133" s="3" t="s">
        <v>153</v>
      </c>
      <c r="C133" s="22" t="s">
        <v>461</v>
      </c>
      <c r="D133" s="19"/>
      <c r="E133" s="22" t="s">
        <v>462</v>
      </c>
    </row>
    <row r="134" spans="1:5">
      <c r="A134" s="103"/>
      <c r="B134" s="3" t="s">
        <v>154</v>
      </c>
      <c r="C134" s="33" t="s">
        <v>154</v>
      </c>
      <c r="D134" s="18"/>
      <c r="E134" s="19" t="s">
        <v>463</v>
      </c>
    </row>
    <row r="135" spans="1:5">
      <c r="A135" s="103"/>
      <c r="C135" s="33" t="s">
        <v>464</v>
      </c>
      <c r="D135" s="18"/>
      <c r="E135" s="19" t="s">
        <v>465</v>
      </c>
    </row>
    <row r="136" spans="1:5">
      <c r="A136" s="103"/>
      <c r="C136" s="33" t="s">
        <v>466</v>
      </c>
      <c r="D136" s="18"/>
      <c r="E136" s="19" t="s">
        <v>467</v>
      </c>
    </row>
    <row r="137" spans="1:5">
      <c r="A137" s="103" t="s">
        <v>13</v>
      </c>
      <c r="B137" s="3" t="s">
        <v>155</v>
      </c>
      <c r="C137" s="33" t="s">
        <v>163</v>
      </c>
      <c r="D137" s="18"/>
      <c r="E137" s="19" t="s">
        <v>468</v>
      </c>
    </row>
    <row r="138" spans="1:5">
      <c r="A138" s="103"/>
      <c r="B138" s="3" t="s">
        <v>156</v>
      </c>
      <c r="C138" s="33" t="s">
        <v>156</v>
      </c>
      <c r="D138" s="18"/>
      <c r="E138" s="19" t="s">
        <v>469</v>
      </c>
    </row>
    <row r="139" spans="1:5">
      <c r="A139" s="103"/>
      <c r="B139" s="3" t="s">
        <v>157</v>
      </c>
      <c r="C139" s="33" t="s">
        <v>167</v>
      </c>
      <c r="D139" s="18"/>
      <c r="E139" s="19" t="s">
        <v>470</v>
      </c>
    </row>
    <row r="140" spans="1:5">
      <c r="A140" s="103"/>
      <c r="B140" s="3" t="s">
        <v>158</v>
      </c>
      <c r="C140" s="33" t="s">
        <v>166</v>
      </c>
      <c r="D140" s="18"/>
      <c r="E140" s="19" t="s">
        <v>471</v>
      </c>
    </row>
    <row r="141" spans="1:5">
      <c r="A141" s="103"/>
      <c r="B141" s="3" t="s">
        <v>159</v>
      </c>
      <c r="C141" s="33" t="s">
        <v>175</v>
      </c>
      <c r="D141" s="18"/>
      <c r="E141" s="19" t="s">
        <v>472</v>
      </c>
    </row>
    <row r="142" spans="1:5">
      <c r="A142" s="103"/>
      <c r="B142" s="3" t="s">
        <v>160</v>
      </c>
      <c r="C142" s="33" t="s">
        <v>164</v>
      </c>
      <c r="D142" s="18"/>
      <c r="E142" s="19" t="s">
        <v>473</v>
      </c>
    </row>
    <row r="143" spans="1:5">
      <c r="A143" s="103"/>
      <c r="B143" s="3" t="s">
        <v>161</v>
      </c>
      <c r="C143" s="33" t="s">
        <v>171</v>
      </c>
      <c r="D143" s="18"/>
      <c r="E143" s="19" t="s">
        <v>474</v>
      </c>
    </row>
    <row r="144" spans="1:5">
      <c r="A144" s="103"/>
      <c r="B144" s="3" t="s">
        <v>162</v>
      </c>
      <c r="C144" s="33" t="s">
        <v>174</v>
      </c>
      <c r="D144" s="36"/>
      <c r="E144" s="19" t="s">
        <v>475</v>
      </c>
    </row>
    <row r="145" spans="1:5">
      <c r="A145" s="103"/>
      <c r="B145" s="3" t="s">
        <v>163</v>
      </c>
      <c r="C145" s="33" t="s">
        <v>173</v>
      </c>
      <c r="D145" s="18"/>
      <c r="E145" s="19" t="s">
        <v>476</v>
      </c>
    </row>
    <row r="146" spans="1:5">
      <c r="A146" s="103"/>
      <c r="B146" s="3" t="s">
        <v>164</v>
      </c>
      <c r="C146" s="33" t="s">
        <v>172</v>
      </c>
      <c r="D146" s="18"/>
      <c r="E146" s="19" t="s">
        <v>477</v>
      </c>
    </row>
    <row r="147" spans="1:5">
      <c r="A147" s="103"/>
      <c r="B147" s="3" t="s">
        <v>165</v>
      </c>
      <c r="C147" s="33" t="s">
        <v>161</v>
      </c>
      <c r="D147" s="36"/>
      <c r="E147" s="19" t="s">
        <v>478</v>
      </c>
    </row>
    <row r="148" spans="1:5">
      <c r="A148" s="103"/>
      <c r="B148" s="3" t="s">
        <v>166</v>
      </c>
      <c r="C148" s="33" t="s">
        <v>162</v>
      </c>
      <c r="D148" s="18"/>
      <c r="E148" s="19" t="s">
        <v>479</v>
      </c>
    </row>
    <row r="149" spans="1:5" ht="29.25">
      <c r="A149" s="103"/>
      <c r="B149" s="3" t="s">
        <v>167</v>
      </c>
      <c r="C149" s="33" t="s">
        <v>158</v>
      </c>
      <c r="D149" s="18"/>
      <c r="E149" s="19" t="s">
        <v>480</v>
      </c>
    </row>
    <row r="150" spans="1:5">
      <c r="A150" s="103"/>
      <c r="B150" s="3" t="s">
        <v>168</v>
      </c>
      <c r="C150" s="33" t="s">
        <v>159</v>
      </c>
      <c r="D150" s="18"/>
      <c r="E150" s="19" t="s">
        <v>481</v>
      </c>
    </row>
    <row r="151" spans="1:5">
      <c r="A151" s="103"/>
      <c r="B151" s="3" t="s">
        <v>169</v>
      </c>
      <c r="C151" s="33" t="s">
        <v>155</v>
      </c>
      <c r="D151" s="36"/>
      <c r="E151" s="19" t="s">
        <v>482</v>
      </c>
    </row>
    <row r="152" spans="1:5">
      <c r="A152" s="103"/>
      <c r="B152" s="3" t="s">
        <v>170</v>
      </c>
      <c r="C152" s="33" t="s">
        <v>169</v>
      </c>
      <c r="D152" s="18"/>
      <c r="E152" s="19" t="s">
        <v>483</v>
      </c>
    </row>
    <row r="153" spans="1:5">
      <c r="A153" s="103"/>
      <c r="B153" s="3" t="s">
        <v>171</v>
      </c>
      <c r="C153" s="33" t="s">
        <v>170</v>
      </c>
      <c r="D153" s="18"/>
      <c r="E153" s="19" t="s">
        <v>484</v>
      </c>
    </row>
    <row r="154" spans="1:5">
      <c r="A154" s="103"/>
      <c r="B154" s="3" t="s">
        <v>172</v>
      </c>
      <c r="C154" s="33" t="s">
        <v>160</v>
      </c>
      <c r="D154" s="18"/>
      <c r="E154" s="19" t="s">
        <v>485</v>
      </c>
    </row>
    <row r="155" spans="1:5">
      <c r="A155" s="103"/>
      <c r="B155" s="3" t="s">
        <v>173</v>
      </c>
      <c r="C155" s="33" t="s">
        <v>157</v>
      </c>
      <c r="D155" s="18"/>
      <c r="E155" s="19" t="s">
        <v>486</v>
      </c>
    </row>
    <row r="156" spans="1:5">
      <c r="A156" s="103"/>
      <c r="B156" s="3" t="s">
        <v>174</v>
      </c>
      <c r="C156" s="33" t="s">
        <v>165</v>
      </c>
      <c r="D156" s="18"/>
      <c r="E156" s="19" t="s">
        <v>487</v>
      </c>
    </row>
    <row r="157" spans="1:5">
      <c r="A157" s="103"/>
      <c r="B157" s="3" t="s">
        <v>175</v>
      </c>
      <c r="C157" s="33" t="s">
        <v>168</v>
      </c>
      <c r="D157" s="18"/>
      <c r="E157" s="19" t="s">
        <v>488</v>
      </c>
    </row>
    <row r="158" spans="1:5">
      <c r="A158" s="29" t="s">
        <v>625</v>
      </c>
      <c r="C158" s="33" t="s">
        <v>489</v>
      </c>
      <c r="D158" s="18"/>
      <c r="E158" s="19" t="s">
        <v>490</v>
      </c>
    </row>
    <row r="159" spans="1:5">
      <c r="A159" s="29" t="s">
        <v>14</v>
      </c>
      <c r="B159" s="3" t="s">
        <v>176</v>
      </c>
      <c r="C159" s="33" t="s">
        <v>176</v>
      </c>
      <c r="D159" s="18"/>
      <c r="E159" s="19" t="s">
        <v>491</v>
      </c>
    </row>
    <row r="160" spans="1:5">
      <c r="A160" s="103" t="s">
        <v>624</v>
      </c>
      <c r="B160" s="4" t="s">
        <v>492</v>
      </c>
      <c r="C160" s="33" t="s">
        <v>492</v>
      </c>
      <c r="D160" s="18"/>
      <c r="E160" s="19" t="s">
        <v>493</v>
      </c>
    </row>
    <row r="161" spans="1:7">
      <c r="A161" s="103"/>
      <c r="B161" s="4" t="s">
        <v>494</v>
      </c>
      <c r="C161" s="33" t="s">
        <v>494</v>
      </c>
      <c r="D161" s="18" t="s">
        <v>734</v>
      </c>
      <c r="E161" s="19" t="s">
        <v>495</v>
      </c>
      <c r="F161" s="3">
        <v>130</v>
      </c>
      <c r="G161" s="9">
        <v>1</v>
      </c>
    </row>
    <row r="162" spans="1:7">
      <c r="A162" s="29" t="s">
        <v>15</v>
      </c>
      <c r="B162" s="3" t="s">
        <v>177</v>
      </c>
      <c r="C162" s="33" t="s">
        <v>177</v>
      </c>
      <c r="D162" s="18"/>
      <c r="E162" s="19" t="s">
        <v>15</v>
      </c>
    </row>
    <row r="163" spans="1:7">
      <c r="A163" s="103" t="s">
        <v>16</v>
      </c>
      <c r="B163" s="3" t="s">
        <v>178</v>
      </c>
      <c r="C163" s="33" t="s">
        <v>182</v>
      </c>
      <c r="D163" s="18"/>
      <c r="E163" s="19" t="s">
        <v>496</v>
      </c>
    </row>
    <row r="164" spans="1:7">
      <c r="A164" s="103"/>
      <c r="B164" s="3" t="s">
        <v>179</v>
      </c>
      <c r="C164" s="33" t="s">
        <v>181</v>
      </c>
      <c r="D164" s="18"/>
      <c r="E164" s="19" t="s">
        <v>497</v>
      </c>
    </row>
    <row r="165" spans="1:7">
      <c r="A165" s="103"/>
      <c r="B165" s="3" t="s">
        <v>180</v>
      </c>
      <c r="C165" s="33" t="s">
        <v>180</v>
      </c>
      <c r="D165" s="18"/>
      <c r="E165" s="19" t="s">
        <v>498</v>
      </c>
    </row>
    <row r="166" spans="1:7">
      <c r="A166" s="103"/>
      <c r="B166" s="3" t="s">
        <v>181</v>
      </c>
      <c r="C166" s="33" t="s">
        <v>179</v>
      </c>
      <c r="D166" s="18"/>
      <c r="E166" s="19" t="s">
        <v>499</v>
      </c>
    </row>
    <row r="167" spans="1:7">
      <c r="A167" s="103"/>
      <c r="B167" s="3" t="s">
        <v>182</v>
      </c>
      <c r="C167" s="33" t="s">
        <v>184</v>
      </c>
      <c r="D167" s="18"/>
      <c r="E167" s="19" t="s">
        <v>500</v>
      </c>
    </row>
    <row r="168" spans="1:7">
      <c r="A168" s="103"/>
      <c r="B168" s="3" t="s">
        <v>183</v>
      </c>
      <c r="C168" s="33" t="s">
        <v>183</v>
      </c>
      <c r="D168" s="36"/>
      <c r="E168" s="19" t="s">
        <v>501</v>
      </c>
    </row>
    <row r="169" spans="1:7">
      <c r="A169" s="103"/>
      <c r="B169" s="3" t="s">
        <v>184</v>
      </c>
      <c r="C169" s="33" t="s">
        <v>178</v>
      </c>
      <c r="D169" s="18"/>
      <c r="E169" s="19" t="s">
        <v>502</v>
      </c>
    </row>
    <row r="170" spans="1:7">
      <c r="A170" s="103"/>
      <c r="B170" s="3" t="s">
        <v>185</v>
      </c>
      <c r="C170" s="33" t="s">
        <v>185</v>
      </c>
      <c r="D170" s="18"/>
      <c r="E170" s="19" t="s">
        <v>503</v>
      </c>
    </row>
    <row r="171" spans="1:7">
      <c r="A171" s="29" t="s">
        <v>505</v>
      </c>
      <c r="C171" s="33" t="s">
        <v>504</v>
      </c>
      <c r="D171" s="18"/>
      <c r="E171" s="19" t="s">
        <v>505</v>
      </c>
    </row>
    <row r="172" spans="1:7">
      <c r="A172" s="103" t="s">
        <v>17</v>
      </c>
      <c r="B172" s="3" t="s">
        <v>186</v>
      </c>
      <c r="C172" s="33" t="s">
        <v>193</v>
      </c>
      <c r="D172" s="18" t="s">
        <v>730</v>
      </c>
      <c r="E172" s="19" t="s">
        <v>506</v>
      </c>
      <c r="F172" s="3">
        <v>1000</v>
      </c>
      <c r="G172" s="9">
        <v>1</v>
      </c>
    </row>
    <row r="173" spans="1:7">
      <c r="A173" s="103"/>
      <c r="B173" s="3" t="s">
        <v>187</v>
      </c>
      <c r="C173" s="33" t="s">
        <v>195</v>
      </c>
      <c r="D173" s="18"/>
      <c r="E173" s="19" t="s">
        <v>507</v>
      </c>
    </row>
    <row r="174" spans="1:7">
      <c r="A174" s="103"/>
      <c r="B174" s="3" t="s">
        <v>188</v>
      </c>
      <c r="C174" s="33" t="s">
        <v>197</v>
      </c>
      <c r="D174" s="18"/>
      <c r="E174" s="19" t="s">
        <v>508</v>
      </c>
    </row>
    <row r="175" spans="1:7">
      <c r="A175" s="103"/>
      <c r="B175" s="3" t="s">
        <v>189</v>
      </c>
      <c r="C175" s="33" t="s">
        <v>188</v>
      </c>
      <c r="D175" s="18"/>
      <c r="E175" s="19" t="s">
        <v>509</v>
      </c>
    </row>
    <row r="176" spans="1:7">
      <c r="A176" s="103"/>
      <c r="B176" s="3" t="s">
        <v>190</v>
      </c>
      <c r="C176" s="33" t="s">
        <v>194</v>
      </c>
      <c r="D176" s="18"/>
      <c r="E176" s="19" t="s">
        <v>510</v>
      </c>
    </row>
    <row r="177" spans="1:5">
      <c r="A177" s="103"/>
      <c r="B177" s="3" t="s">
        <v>191</v>
      </c>
      <c r="C177" s="33" t="s">
        <v>196</v>
      </c>
      <c r="D177" s="18"/>
      <c r="E177" s="19" t="s">
        <v>511</v>
      </c>
    </row>
    <row r="178" spans="1:5">
      <c r="A178" s="103"/>
      <c r="B178" s="3" t="s">
        <v>192</v>
      </c>
      <c r="C178" s="33" t="s">
        <v>190</v>
      </c>
      <c r="D178" s="18"/>
      <c r="E178" s="19" t="s">
        <v>512</v>
      </c>
    </row>
    <row r="179" spans="1:5">
      <c r="A179" s="103"/>
      <c r="B179" s="3" t="s">
        <v>193</v>
      </c>
      <c r="C179" s="33" t="s">
        <v>189</v>
      </c>
      <c r="D179" s="18"/>
      <c r="E179" s="19" t="s">
        <v>513</v>
      </c>
    </row>
    <row r="180" spans="1:5">
      <c r="A180" s="103"/>
      <c r="B180" s="3" t="s">
        <v>194</v>
      </c>
      <c r="C180" s="33" t="s">
        <v>186</v>
      </c>
      <c r="D180" s="18"/>
      <c r="E180" s="19" t="s">
        <v>514</v>
      </c>
    </row>
    <row r="181" spans="1:5">
      <c r="A181" s="103"/>
      <c r="B181" s="3" t="s">
        <v>195</v>
      </c>
      <c r="C181" s="33" t="s">
        <v>187</v>
      </c>
      <c r="D181" s="36"/>
      <c r="E181" s="19" t="s">
        <v>515</v>
      </c>
    </row>
    <row r="182" spans="1:5">
      <c r="A182" s="103"/>
      <c r="B182" s="3" t="s">
        <v>196</v>
      </c>
      <c r="C182" s="33" t="s">
        <v>191</v>
      </c>
      <c r="D182" s="36"/>
      <c r="E182" s="19" t="s">
        <v>516</v>
      </c>
    </row>
    <row r="183" spans="1:5">
      <c r="A183" s="103"/>
      <c r="B183" s="3" t="s">
        <v>197</v>
      </c>
      <c r="C183" s="33" t="s">
        <v>192</v>
      </c>
      <c r="D183" s="36"/>
      <c r="E183" s="19" t="s">
        <v>517</v>
      </c>
    </row>
    <row r="184" spans="1:5">
      <c r="A184" s="103" t="s">
        <v>18</v>
      </c>
      <c r="B184" s="3" t="s">
        <v>198</v>
      </c>
      <c r="C184" s="33" t="s">
        <v>206</v>
      </c>
      <c r="D184" s="18"/>
      <c r="E184" s="19" t="s">
        <v>518</v>
      </c>
    </row>
    <row r="185" spans="1:5">
      <c r="A185" s="103"/>
      <c r="B185" s="3" t="s">
        <v>199</v>
      </c>
      <c r="C185" s="33" t="s">
        <v>204</v>
      </c>
      <c r="D185" s="18"/>
      <c r="E185" s="19" t="s">
        <v>519</v>
      </c>
    </row>
    <row r="186" spans="1:5">
      <c r="A186" s="103"/>
      <c r="B186" s="3" t="s">
        <v>200</v>
      </c>
      <c r="C186" s="33" t="s">
        <v>203</v>
      </c>
      <c r="D186" s="18"/>
      <c r="E186" s="19" t="s">
        <v>520</v>
      </c>
    </row>
    <row r="187" spans="1:5">
      <c r="A187" s="103"/>
      <c r="B187" s="3" t="s">
        <v>201</v>
      </c>
      <c r="C187" s="33" t="s">
        <v>205</v>
      </c>
      <c r="D187" s="18"/>
      <c r="E187" s="19" t="s">
        <v>521</v>
      </c>
    </row>
    <row r="188" spans="1:5">
      <c r="A188" s="103"/>
      <c r="B188" s="3" t="s">
        <v>202</v>
      </c>
      <c r="C188" s="33" t="s">
        <v>200</v>
      </c>
      <c r="D188" s="18"/>
      <c r="E188" s="19" t="s">
        <v>522</v>
      </c>
    </row>
    <row r="189" spans="1:5">
      <c r="A189" s="103"/>
      <c r="B189" s="3" t="s">
        <v>203</v>
      </c>
      <c r="C189" s="33" t="s">
        <v>202</v>
      </c>
      <c r="D189" s="18"/>
      <c r="E189" s="19" t="s">
        <v>523</v>
      </c>
    </row>
    <row r="190" spans="1:5">
      <c r="A190" s="103"/>
      <c r="B190" s="3" t="s">
        <v>204</v>
      </c>
      <c r="C190" s="33" t="s">
        <v>201</v>
      </c>
      <c r="D190" s="18"/>
      <c r="E190" s="19" t="s">
        <v>524</v>
      </c>
    </row>
    <row r="191" spans="1:5">
      <c r="A191" s="103"/>
      <c r="B191" s="3" t="s">
        <v>205</v>
      </c>
      <c r="C191" s="33" t="s">
        <v>199</v>
      </c>
      <c r="D191" s="18"/>
      <c r="E191" s="19" t="s">
        <v>525</v>
      </c>
    </row>
    <row r="192" spans="1:5">
      <c r="A192" s="103"/>
      <c r="B192" s="3" t="s">
        <v>206</v>
      </c>
      <c r="C192" s="33" t="s">
        <v>198</v>
      </c>
      <c r="D192" s="18"/>
      <c r="E192" s="19" t="s">
        <v>526</v>
      </c>
    </row>
    <row r="193" spans="1:7">
      <c r="A193" s="103" t="s">
        <v>19</v>
      </c>
      <c r="B193" s="3" t="s">
        <v>207</v>
      </c>
      <c r="C193" s="33" t="s">
        <v>219</v>
      </c>
      <c r="D193" s="18"/>
      <c r="E193" s="19" t="s">
        <v>527</v>
      </c>
    </row>
    <row r="194" spans="1:7">
      <c r="A194" s="103"/>
      <c r="B194" s="3" t="s">
        <v>208</v>
      </c>
      <c r="C194" s="33" t="s">
        <v>210</v>
      </c>
      <c r="D194" s="18" t="s">
        <v>735</v>
      </c>
      <c r="E194" s="19" t="s">
        <v>528</v>
      </c>
      <c r="F194" s="3">
        <v>100</v>
      </c>
      <c r="G194" s="9">
        <v>1</v>
      </c>
    </row>
    <row r="195" spans="1:7">
      <c r="A195" s="103"/>
      <c r="B195" s="3" t="s">
        <v>209</v>
      </c>
      <c r="C195" s="33" t="s">
        <v>221</v>
      </c>
      <c r="D195" s="18"/>
      <c r="E195" s="19" t="s">
        <v>529</v>
      </c>
    </row>
    <row r="196" spans="1:7">
      <c r="A196" s="103"/>
      <c r="B196" s="3" t="s">
        <v>210</v>
      </c>
      <c r="C196" s="33" t="s">
        <v>207</v>
      </c>
      <c r="D196" s="18"/>
      <c r="E196" s="19" t="s">
        <v>530</v>
      </c>
    </row>
    <row r="197" spans="1:7">
      <c r="A197" s="103"/>
      <c r="B197" s="3" t="s">
        <v>211</v>
      </c>
      <c r="C197" s="33" t="s">
        <v>216</v>
      </c>
      <c r="D197" s="18"/>
      <c r="E197" s="19" t="s">
        <v>531</v>
      </c>
    </row>
    <row r="198" spans="1:7">
      <c r="A198" s="103"/>
      <c r="B198" s="3" t="s">
        <v>212</v>
      </c>
      <c r="C198" s="33" t="s">
        <v>218</v>
      </c>
      <c r="D198" s="18"/>
      <c r="E198" s="19" t="s">
        <v>532</v>
      </c>
    </row>
    <row r="199" spans="1:7">
      <c r="A199" s="103"/>
      <c r="B199" s="3" t="s">
        <v>213</v>
      </c>
      <c r="C199" s="33" t="s">
        <v>213</v>
      </c>
      <c r="D199" s="18"/>
      <c r="E199" s="19" t="s">
        <v>533</v>
      </c>
    </row>
    <row r="200" spans="1:7">
      <c r="A200" s="103"/>
      <c r="B200" s="3" t="s">
        <v>214</v>
      </c>
      <c r="C200" s="33" t="s">
        <v>220</v>
      </c>
      <c r="D200" s="18"/>
      <c r="E200" s="19" t="s">
        <v>534</v>
      </c>
    </row>
    <row r="201" spans="1:7">
      <c r="A201" s="103"/>
      <c r="B201" s="3" t="s">
        <v>215</v>
      </c>
      <c r="C201" s="33" t="s">
        <v>208</v>
      </c>
      <c r="D201" s="18"/>
      <c r="E201" s="19" t="s">
        <v>535</v>
      </c>
    </row>
    <row r="202" spans="1:7">
      <c r="A202" s="103"/>
      <c r="B202" s="3" t="s">
        <v>216</v>
      </c>
      <c r="C202" s="33" t="s">
        <v>211</v>
      </c>
      <c r="D202" s="18"/>
      <c r="E202" s="19" t="s">
        <v>536</v>
      </c>
    </row>
    <row r="203" spans="1:7">
      <c r="A203" s="103"/>
      <c r="B203" s="3" t="s">
        <v>217</v>
      </c>
      <c r="C203" s="33" t="s">
        <v>223</v>
      </c>
      <c r="D203" s="18"/>
      <c r="E203" s="19" t="s">
        <v>537</v>
      </c>
    </row>
    <row r="204" spans="1:7">
      <c r="A204" s="103"/>
      <c r="B204" s="3" t="s">
        <v>218</v>
      </c>
      <c r="C204" s="33" t="s">
        <v>222</v>
      </c>
      <c r="D204" s="18"/>
      <c r="E204" s="19" t="s">
        <v>538</v>
      </c>
    </row>
    <row r="205" spans="1:7">
      <c r="A205" s="103"/>
      <c r="B205" s="3" t="s">
        <v>219</v>
      </c>
      <c r="C205" s="33" t="s">
        <v>217</v>
      </c>
      <c r="D205" s="18"/>
      <c r="E205" s="19" t="s">
        <v>539</v>
      </c>
    </row>
    <row r="206" spans="1:7">
      <c r="A206" s="103"/>
      <c r="B206" s="3" t="s">
        <v>220</v>
      </c>
      <c r="C206" s="33" t="s">
        <v>209</v>
      </c>
      <c r="D206" s="18"/>
      <c r="E206" s="19" t="s">
        <v>540</v>
      </c>
    </row>
    <row r="207" spans="1:7">
      <c r="A207" s="103"/>
      <c r="B207" s="3" t="s">
        <v>221</v>
      </c>
      <c r="C207" s="33" t="s">
        <v>212</v>
      </c>
      <c r="D207" s="18"/>
      <c r="E207" s="19" t="s">
        <v>541</v>
      </c>
    </row>
    <row r="208" spans="1:7">
      <c r="A208" s="103"/>
      <c r="B208" s="3" t="s">
        <v>222</v>
      </c>
      <c r="C208" s="33" t="s">
        <v>214</v>
      </c>
      <c r="D208" s="18"/>
      <c r="E208" s="19" t="s">
        <v>542</v>
      </c>
    </row>
    <row r="209" spans="1:7">
      <c r="A209" s="103"/>
      <c r="B209" s="3" t="s">
        <v>223</v>
      </c>
      <c r="C209" s="33" t="s">
        <v>215</v>
      </c>
      <c r="D209" s="36"/>
      <c r="E209" s="19" t="s">
        <v>543</v>
      </c>
    </row>
    <row r="210" spans="1:7">
      <c r="A210" s="103" t="s">
        <v>20</v>
      </c>
      <c r="B210" s="3" t="s">
        <v>224</v>
      </c>
      <c r="C210" s="33" t="s">
        <v>226</v>
      </c>
      <c r="D210" s="18"/>
      <c r="E210" s="19" t="s">
        <v>544</v>
      </c>
    </row>
    <row r="211" spans="1:7">
      <c r="A211" s="103"/>
      <c r="B211" s="3" t="s">
        <v>225</v>
      </c>
      <c r="C211" s="33" t="s">
        <v>225</v>
      </c>
      <c r="D211" s="18"/>
      <c r="E211" s="19" t="s">
        <v>545</v>
      </c>
    </row>
    <row r="212" spans="1:7">
      <c r="A212" s="103"/>
      <c r="B212" s="3" t="s">
        <v>226</v>
      </c>
      <c r="C212" s="33" t="s">
        <v>228</v>
      </c>
      <c r="D212" s="18"/>
      <c r="E212" s="19" t="s">
        <v>546</v>
      </c>
    </row>
    <row r="213" spans="1:7">
      <c r="A213" s="103"/>
      <c r="B213" s="3" t="s">
        <v>227</v>
      </c>
      <c r="C213" s="33" t="s">
        <v>224</v>
      </c>
      <c r="D213" s="18"/>
      <c r="E213" s="19" t="s">
        <v>547</v>
      </c>
    </row>
    <row r="214" spans="1:7">
      <c r="A214" s="103"/>
      <c r="B214" s="3" t="s">
        <v>228</v>
      </c>
      <c r="C214" s="33" t="s">
        <v>227</v>
      </c>
      <c r="D214" s="36"/>
      <c r="E214" s="19" t="s">
        <v>548</v>
      </c>
    </row>
    <row r="215" spans="1:7">
      <c r="A215" s="103"/>
      <c r="C215" s="33" t="s">
        <v>549</v>
      </c>
      <c r="D215" s="18"/>
      <c r="E215" s="19" t="s">
        <v>550</v>
      </c>
    </row>
    <row r="216" spans="1:7">
      <c r="A216" s="103"/>
      <c r="C216" s="33" t="s">
        <v>551</v>
      </c>
      <c r="D216" s="18"/>
      <c r="E216" s="19" t="s">
        <v>552</v>
      </c>
    </row>
    <row r="217" spans="1:7">
      <c r="A217" s="103" t="s">
        <v>21</v>
      </c>
      <c r="B217" s="3" t="s">
        <v>229</v>
      </c>
      <c r="C217" s="33" t="s">
        <v>231</v>
      </c>
      <c r="D217" s="18"/>
      <c r="E217" s="19" t="s">
        <v>553</v>
      </c>
    </row>
    <row r="218" spans="1:7">
      <c r="A218" s="103"/>
      <c r="B218" s="3" t="s">
        <v>230</v>
      </c>
      <c r="C218" s="33" t="s">
        <v>236</v>
      </c>
      <c r="D218" s="18" t="s">
        <v>732</v>
      </c>
      <c r="E218" s="19" t="s">
        <v>554</v>
      </c>
      <c r="F218" s="3">
        <v>225</v>
      </c>
      <c r="G218" s="9">
        <v>1</v>
      </c>
    </row>
    <row r="219" spans="1:7">
      <c r="A219" s="103"/>
      <c r="B219" s="3" t="s">
        <v>231</v>
      </c>
      <c r="C219" s="33" t="s">
        <v>232</v>
      </c>
      <c r="D219" s="18"/>
      <c r="E219" s="19" t="s">
        <v>555</v>
      </c>
    </row>
    <row r="220" spans="1:7">
      <c r="A220" s="103"/>
      <c r="B220" s="3" t="s">
        <v>232</v>
      </c>
      <c r="C220" s="33" t="s">
        <v>230</v>
      </c>
      <c r="D220" s="18"/>
      <c r="E220" s="19" t="s">
        <v>556</v>
      </c>
    </row>
    <row r="221" spans="1:7">
      <c r="A221" s="103"/>
      <c r="B221" s="3" t="s">
        <v>233</v>
      </c>
      <c r="C221" s="33" t="s">
        <v>234</v>
      </c>
      <c r="D221" s="18"/>
      <c r="E221" s="19" t="s">
        <v>557</v>
      </c>
    </row>
    <row r="222" spans="1:7">
      <c r="A222" s="103"/>
      <c r="B222" s="3" t="s">
        <v>234</v>
      </c>
      <c r="C222" s="33" t="s">
        <v>233</v>
      </c>
      <c r="D222" s="18"/>
      <c r="E222" s="19" t="s">
        <v>558</v>
      </c>
    </row>
    <row r="223" spans="1:7">
      <c r="A223" s="103"/>
      <c r="B223" s="3" t="s">
        <v>235</v>
      </c>
      <c r="C223" s="33" t="s">
        <v>229</v>
      </c>
      <c r="D223" s="18"/>
      <c r="E223" s="19" t="s">
        <v>559</v>
      </c>
    </row>
    <row r="224" spans="1:7">
      <c r="A224" s="103"/>
      <c r="B224" s="3" t="s">
        <v>236</v>
      </c>
      <c r="C224" s="33" t="s">
        <v>235</v>
      </c>
      <c r="D224" s="18"/>
      <c r="E224" s="19" t="s">
        <v>560</v>
      </c>
    </row>
    <row r="225" spans="1:5">
      <c r="A225" s="103" t="s">
        <v>22</v>
      </c>
      <c r="B225" s="3" t="s">
        <v>237</v>
      </c>
      <c r="C225" s="33" t="s">
        <v>237</v>
      </c>
      <c r="D225" s="18"/>
      <c r="E225" s="19" t="s">
        <v>561</v>
      </c>
    </row>
    <row r="226" spans="1:5">
      <c r="A226" s="103"/>
      <c r="B226" s="3" t="s">
        <v>238</v>
      </c>
      <c r="C226" s="33" t="s">
        <v>238</v>
      </c>
      <c r="D226" s="18"/>
      <c r="E226" s="19" t="s">
        <v>562</v>
      </c>
    </row>
    <row r="227" spans="1:5">
      <c r="A227" s="103" t="s">
        <v>23</v>
      </c>
      <c r="B227" s="3" t="s">
        <v>239</v>
      </c>
      <c r="C227" s="33" t="s">
        <v>241</v>
      </c>
      <c r="D227" s="18"/>
      <c r="E227" s="19" t="s">
        <v>563</v>
      </c>
    </row>
    <row r="228" spans="1:5">
      <c r="A228" s="103"/>
      <c r="B228" s="3" t="s">
        <v>240</v>
      </c>
      <c r="C228" s="33" t="s">
        <v>239</v>
      </c>
      <c r="D228" s="18"/>
      <c r="E228" s="19" t="s">
        <v>564</v>
      </c>
    </row>
    <row r="229" spans="1:5">
      <c r="A229" s="103"/>
      <c r="B229" s="3" t="s">
        <v>241</v>
      </c>
      <c r="C229" s="33" t="s">
        <v>242</v>
      </c>
      <c r="D229" s="18"/>
      <c r="E229" s="19" t="s">
        <v>565</v>
      </c>
    </row>
    <row r="230" spans="1:5">
      <c r="A230" s="103"/>
      <c r="B230" s="3" t="s">
        <v>242</v>
      </c>
      <c r="C230" s="33" t="s">
        <v>240</v>
      </c>
      <c r="D230" s="18"/>
      <c r="E230" s="19" t="s">
        <v>566</v>
      </c>
    </row>
    <row r="231" spans="1:5">
      <c r="A231" s="103" t="s">
        <v>24</v>
      </c>
      <c r="B231" s="3" t="s">
        <v>243</v>
      </c>
      <c r="C231" s="33" t="s">
        <v>243</v>
      </c>
      <c r="D231" s="18"/>
      <c r="E231" s="19" t="s">
        <v>567</v>
      </c>
    </row>
    <row r="232" spans="1:5">
      <c r="A232" s="103"/>
      <c r="B232" s="3" t="s">
        <v>244</v>
      </c>
      <c r="C232" s="33" t="s">
        <v>245</v>
      </c>
      <c r="D232" s="18"/>
      <c r="E232" s="19" t="s">
        <v>568</v>
      </c>
    </row>
    <row r="233" spans="1:5">
      <c r="A233" s="103"/>
      <c r="B233" s="3" t="s">
        <v>245</v>
      </c>
      <c r="C233" s="33" t="s">
        <v>244</v>
      </c>
      <c r="D233" s="18"/>
      <c r="E233" s="19" t="s">
        <v>569</v>
      </c>
    </row>
    <row r="234" spans="1:5">
      <c r="A234" s="103"/>
      <c r="B234" s="3" t="s">
        <v>246</v>
      </c>
      <c r="C234" s="33" t="s">
        <v>246</v>
      </c>
      <c r="D234" s="18"/>
      <c r="E234" s="19" t="s">
        <v>570</v>
      </c>
    </row>
    <row r="235" spans="1:5">
      <c r="A235" s="103"/>
      <c r="C235" s="33" t="s">
        <v>571</v>
      </c>
      <c r="D235" s="18"/>
      <c r="E235" s="19" t="s">
        <v>572</v>
      </c>
    </row>
    <row r="236" spans="1:5">
      <c r="A236" s="103" t="s">
        <v>25</v>
      </c>
      <c r="B236" s="3" t="s">
        <v>247</v>
      </c>
      <c r="C236" s="33" t="s">
        <v>247</v>
      </c>
      <c r="D236" s="18"/>
      <c r="E236" s="19" t="s">
        <v>573</v>
      </c>
    </row>
    <row r="237" spans="1:5">
      <c r="A237" s="103"/>
      <c r="B237" s="3" t="s">
        <v>248</v>
      </c>
      <c r="C237" s="33" t="s">
        <v>248</v>
      </c>
      <c r="D237" s="18"/>
      <c r="E237" s="19" t="s">
        <v>574</v>
      </c>
    </row>
    <row r="238" spans="1:5">
      <c r="A238" s="103"/>
      <c r="B238" s="3" t="s">
        <v>249</v>
      </c>
      <c r="C238" s="33" t="s">
        <v>252</v>
      </c>
      <c r="D238" s="18"/>
      <c r="E238" s="19" t="s">
        <v>575</v>
      </c>
    </row>
    <row r="239" spans="1:5">
      <c r="A239" s="103"/>
      <c r="B239" s="3" t="s">
        <v>250</v>
      </c>
      <c r="C239" s="33" t="s">
        <v>254</v>
      </c>
      <c r="D239" s="18"/>
      <c r="E239" s="19" t="s">
        <v>576</v>
      </c>
    </row>
    <row r="240" spans="1:5">
      <c r="A240" s="103"/>
      <c r="B240" s="3" t="s">
        <v>251</v>
      </c>
      <c r="C240" s="33" t="s">
        <v>251</v>
      </c>
      <c r="D240" s="36"/>
      <c r="E240" s="19" t="s">
        <v>577</v>
      </c>
    </row>
    <row r="241" spans="1:5">
      <c r="A241" s="103"/>
      <c r="B241" s="3" t="s">
        <v>252</v>
      </c>
      <c r="C241" s="33" t="s">
        <v>253</v>
      </c>
      <c r="D241" s="18"/>
      <c r="E241" s="19" t="s">
        <v>578</v>
      </c>
    </row>
    <row r="242" spans="1:5">
      <c r="A242" s="103"/>
      <c r="B242" s="3" t="s">
        <v>253</v>
      </c>
      <c r="C242" s="33" t="s">
        <v>250</v>
      </c>
      <c r="D242" s="18"/>
      <c r="E242" s="19" t="s">
        <v>579</v>
      </c>
    </row>
    <row r="243" spans="1:5">
      <c r="A243" s="103"/>
      <c r="B243" s="3" t="s">
        <v>254</v>
      </c>
      <c r="C243" s="33" t="s">
        <v>249</v>
      </c>
      <c r="D243" s="18"/>
      <c r="E243" s="19" t="s">
        <v>580</v>
      </c>
    </row>
    <row r="244" spans="1:5">
      <c r="A244" s="103" t="s">
        <v>26</v>
      </c>
      <c r="B244" s="3" t="s">
        <v>255</v>
      </c>
      <c r="C244" s="33" t="s">
        <v>294</v>
      </c>
      <c r="D244" s="36"/>
      <c r="E244" s="19" t="s">
        <v>581</v>
      </c>
    </row>
    <row r="245" spans="1:5" ht="29.25">
      <c r="A245" s="103"/>
      <c r="B245" s="3" t="s">
        <v>256</v>
      </c>
      <c r="C245" s="33" t="s">
        <v>268</v>
      </c>
      <c r="D245" s="18"/>
      <c r="E245" s="19" t="s">
        <v>582</v>
      </c>
    </row>
    <row r="246" spans="1:5">
      <c r="A246" s="103"/>
      <c r="B246" s="3" t="s">
        <v>257</v>
      </c>
      <c r="C246" s="33" t="s">
        <v>280</v>
      </c>
      <c r="D246" s="18"/>
      <c r="E246" s="19" t="s">
        <v>583</v>
      </c>
    </row>
    <row r="247" spans="1:5">
      <c r="A247" s="103"/>
      <c r="B247" s="3" t="s">
        <v>258</v>
      </c>
      <c r="C247" s="33" t="s">
        <v>270</v>
      </c>
      <c r="D247" s="18"/>
      <c r="E247" s="19" t="s">
        <v>584</v>
      </c>
    </row>
    <row r="248" spans="1:5">
      <c r="A248" s="103"/>
      <c r="B248" s="3" t="s">
        <v>259</v>
      </c>
      <c r="C248" s="33" t="s">
        <v>285</v>
      </c>
      <c r="D248" s="18"/>
      <c r="E248" s="19" t="s">
        <v>585</v>
      </c>
    </row>
    <row r="249" spans="1:5">
      <c r="A249" s="103"/>
      <c r="B249" s="3" t="s">
        <v>260</v>
      </c>
      <c r="C249" s="33" t="s">
        <v>264</v>
      </c>
      <c r="D249" s="18"/>
      <c r="E249" s="19" t="s">
        <v>586</v>
      </c>
    </row>
    <row r="250" spans="1:5">
      <c r="A250" s="103"/>
      <c r="B250" s="3" t="s">
        <v>261</v>
      </c>
      <c r="C250" s="33" t="s">
        <v>269</v>
      </c>
      <c r="D250" s="18"/>
      <c r="E250" s="19" t="s">
        <v>587</v>
      </c>
    </row>
    <row r="251" spans="1:5" ht="29.25">
      <c r="A251" s="103"/>
      <c r="B251" s="3" t="s">
        <v>262</v>
      </c>
      <c r="C251" s="33" t="s">
        <v>277</v>
      </c>
      <c r="D251" s="18"/>
      <c r="E251" s="19" t="s">
        <v>588</v>
      </c>
    </row>
    <row r="252" spans="1:5">
      <c r="A252" s="103"/>
      <c r="B252" s="3" t="s">
        <v>263</v>
      </c>
      <c r="C252" s="33" t="s">
        <v>295</v>
      </c>
      <c r="D252" s="18"/>
      <c r="E252" s="19" t="s">
        <v>589</v>
      </c>
    </row>
    <row r="253" spans="1:5">
      <c r="A253" s="103"/>
      <c r="B253" s="3" t="s">
        <v>264</v>
      </c>
      <c r="C253" s="33" t="s">
        <v>266</v>
      </c>
      <c r="D253" s="18"/>
      <c r="E253" s="19" t="s">
        <v>590</v>
      </c>
    </row>
    <row r="254" spans="1:5">
      <c r="A254" s="103"/>
      <c r="B254" s="3" t="s">
        <v>265</v>
      </c>
      <c r="C254" s="33" t="s">
        <v>263</v>
      </c>
      <c r="D254" s="18"/>
      <c r="E254" s="19" t="s">
        <v>591</v>
      </c>
    </row>
    <row r="255" spans="1:5">
      <c r="A255" s="103"/>
      <c r="B255" s="3" t="s">
        <v>266</v>
      </c>
      <c r="C255" s="33" t="s">
        <v>279</v>
      </c>
      <c r="D255" s="18"/>
      <c r="E255" s="19" t="s">
        <v>592</v>
      </c>
    </row>
    <row r="256" spans="1:5" ht="29.25">
      <c r="A256" s="103"/>
      <c r="B256" s="3" t="s">
        <v>267</v>
      </c>
      <c r="C256" s="33" t="s">
        <v>272</v>
      </c>
      <c r="D256" s="18"/>
      <c r="E256" s="19" t="s">
        <v>593</v>
      </c>
    </row>
    <row r="257" spans="1:5">
      <c r="A257" s="103"/>
      <c r="B257" s="3" t="s">
        <v>268</v>
      </c>
      <c r="C257" s="33" t="s">
        <v>271</v>
      </c>
      <c r="D257" s="18"/>
      <c r="E257" s="19" t="s">
        <v>594</v>
      </c>
    </row>
    <row r="258" spans="1:5" ht="29.25">
      <c r="A258" s="103"/>
      <c r="B258" s="3" t="s">
        <v>269</v>
      </c>
      <c r="C258" s="33" t="s">
        <v>275</v>
      </c>
      <c r="D258" s="18"/>
      <c r="E258" s="19" t="s">
        <v>595</v>
      </c>
    </row>
    <row r="259" spans="1:5">
      <c r="A259" s="103"/>
      <c r="B259" s="3" t="s">
        <v>270</v>
      </c>
      <c r="C259" s="33" t="s">
        <v>267</v>
      </c>
      <c r="D259" s="18"/>
      <c r="E259" s="19" t="s">
        <v>596</v>
      </c>
    </row>
    <row r="260" spans="1:5">
      <c r="A260" s="103"/>
      <c r="B260" s="3" t="s">
        <v>271</v>
      </c>
      <c r="C260" s="33" t="s">
        <v>274</v>
      </c>
      <c r="D260" s="18"/>
      <c r="E260" s="19" t="s">
        <v>597</v>
      </c>
    </row>
    <row r="261" spans="1:5">
      <c r="A261" s="103"/>
      <c r="B261" s="3" t="s">
        <v>272</v>
      </c>
      <c r="C261" s="33" t="s">
        <v>282</v>
      </c>
      <c r="D261" s="18"/>
      <c r="E261" s="19" t="s">
        <v>598</v>
      </c>
    </row>
    <row r="262" spans="1:5">
      <c r="A262" s="103"/>
      <c r="B262" s="3" t="s">
        <v>273</v>
      </c>
      <c r="C262" s="33" t="s">
        <v>287</v>
      </c>
      <c r="D262" s="18"/>
      <c r="E262" s="19" t="s">
        <v>599</v>
      </c>
    </row>
    <row r="263" spans="1:5">
      <c r="A263" s="103"/>
      <c r="B263" s="3" t="s">
        <v>274</v>
      </c>
      <c r="C263" s="33" t="s">
        <v>265</v>
      </c>
      <c r="D263" s="18"/>
      <c r="E263" s="19" t="s">
        <v>600</v>
      </c>
    </row>
    <row r="264" spans="1:5">
      <c r="A264" s="103"/>
      <c r="B264" s="3" t="s">
        <v>275</v>
      </c>
      <c r="C264" s="33" t="s">
        <v>293</v>
      </c>
      <c r="D264" s="18"/>
      <c r="E264" s="19" t="s">
        <v>601</v>
      </c>
    </row>
    <row r="265" spans="1:5">
      <c r="A265" s="103"/>
      <c r="B265" s="3" t="s">
        <v>276</v>
      </c>
      <c r="C265" s="33" t="s">
        <v>292</v>
      </c>
      <c r="D265" s="18"/>
      <c r="E265" s="19" t="s">
        <v>602</v>
      </c>
    </row>
    <row r="266" spans="1:5" ht="29.25">
      <c r="A266" s="103"/>
      <c r="B266" s="3" t="s">
        <v>277</v>
      </c>
      <c r="C266" s="33" t="s">
        <v>291</v>
      </c>
      <c r="D266" s="18"/>
      <c r="E266" s="19" t="s">
        <v>603</v>
      </c>
    </row>
    <row r="267" spans="1:5">
      <c r="A267" s="103"/>
      <c r="B267" s="3" t="s">
        <v>278</v>
      </c>
      <c r="C267" s="33" t="s">
        <v>290</v>
      </c>
      <c r="D267" s="18"/>
      <c r="E267" s="19" t="s">
        <v>604</v>
      </c>
    </row>
    <row r="268" spans="1:5" ht="29.25">
      <c r="A268" s="103"/>
      <c r="B268" s="3" t="s">
        <v>279</v>
      </c>
      <c r="C268" s="33" t="s">
        <v>289</v>
      </c>
      <c r="D268" s="18"/>
      <c r="E268" s="19" t="s">
        <v>605</v>
      </c>
    </row>
    <row r="269" spans="1:5" ht="29.25">
      <c r="A269" s="103"/>
      <c r="B269" s="3" t="s">
        <v>280</v>
      </c>
      <c r="C269" s="33" t="s">
        <v>286</v>
      </c>
      <c r="D269" s="18"/>
      <c r="E269" s="19" t="s">
        <v>606</v>
      </c>
    </row>
    <row r="270" spans="1:5">
      <c r="A270" s="103"/>
      <c r="B270" s="3" t="s">
        <v>281</v>
      </c>
      <c r="C270" s="33" t="s">
        <v>283</v>
      </c>
      <c r="D270" s="18"/>
      <c r="E270" s="19" t="s">
        <v>607</v>
      </c>
    </row>
    <row r="271" spans="1:5">
      <c r="A271" s="103"/>
      <c r="B271" s="3" t="s">
        <v>282</v>
      </c>
      <c r="C271" s="33" t="s">
        <v>276</v>
      </c>
      <c r="D271" s="18"/>
      <c r="E271" s="19" t="s">
        <v>608</v>
      </c>
    </row>
    <row r="272" spans="1:5">
      <c r="A272" s="103"/>
      <c r="B272" s="3" t="s">
        <v>283</v>
      </c>
      <c r="C272" s="33" t="s">
        <v>273</v>
      </c>
      <c r="D272" s="18"/>
      <c r="E272" s="19" t="s">
        <v>609</v>
      </c>
    </row>
    <row r="273" spans="1:7" ht="29.25">
      <c r="A273" s="103"/>
      <c r="B273" s="3" t="s">
        <v>284</v>
      </c>
      <c r="C273" s="33" t="s">
        <v>288</v>
      </c>
      <c r="D273" s="18"/>
      <c r="E273" s="19" t="s">
        <v>610</v>
      </c>
    </row>
    <row r="274" spans="1:7">
      <c r="A274" s="103"/>
      <c r="B274" s="3" t="s">
        <v>285</v>
      </c>
      <c r="C274" s="33" t="s">
        <v>284</v>
      </c>
      <c r="D274" s="18"/>
      <c r="E274" s="19" t="s">
        <v>611</v>
      </c>
    </row>
    <row r="275" spans="1:7">
      <c r="A275" s="103"/>
      <c r="B275" s="3" t="s">
        <v>286</v>
      </c>
      <c r="C275" s="33" t="s">
        <v>281</v>
      </c>
      <c r="D275" s="18"/>
      <c r="E275" s="19" t="s">
        <v>612</v>
      </c>
    </row>
    <row r="276" spans="1:7">
      <c r="A276" s="103"/>
      <c r="B276" s="3" t="s">
        <v>287</v>
      </c>
      <c r="C276" s="33" t="s">
        <v>278</v>
      </c>
      <c r="D276" s="18"/>
      <c r="E276" s="19" t="s">
        <v>613</v>
      </c>
    </row>
    <row r="277" spans="1:7">
      <c r="A277" s="103"/>
      <c r="B277" s="3" t="s">
        <v>288</v>
      </c>
      <c r="C277" s="33" t="s">
        <v>255</v>
      </c>
      <c r="D277" s="18"/>
      <c r="E277" s="19" t="s">
        <v>614</v>
      </c>
    </row>
    <row r="278" spans="1:7">
      <c r="A278" s="103"/>
      <c r="B278" s="3" t="s">
        <v>289</v>
      </c>
      <c r="C278" s="33" t="s">
        <v>256</v>
      </c>
      <c r="D278" s="18"/>
      <c r="E278" s="19" t="s">
        <v>615</v>
      </c>
    </row>
    <row r="279" spans="1:7">
      <c r="A279" s="103"/>
      <c r="B279" s="3" t="s">
        <v>290</v>
      </c>
      <c r="C279" s="33" t="s">
        <v>261</v>
      </c>
      <c r="D279" s="18"/>
      <c r="E279" s="19" t="s">
        <v>616</v>
      </c>
    </row>
    <row r="280" spans="1:7">
      <c r="A280" s="103"/>
      <c r="B280" s="3" t="s">
        <v>291</v>
      </c>
      <c r="C280" s="33" t="s">
        <v>259</v>
      </c>
      <c r="D280" s="18"/>
      <c r="E280" s="19" t="s">
        <v>617</v>
      </c>
    </row>
    <row r="281" spans="1:7">
      <c r="A281" s="103"/>
      <c r="B281" s="3" t="s">
        <v>292</v>
      </c>
      <c r="C281" s="33" t="s">
        <v>260</v>
      </c>
      <c r="D281" s="35"/>
      <c r="E281" s="19" t="s">
        <v>618</v>
      </c>
    </row>
    <row r="282" spans="1:7">
      <c r="A282" s="103"/>
      <c r="B282" s="3" t="s">
        <v>293</v>
      </c>
      <c r="C282" s="33" t="s">
        <v>258</v>
      </c>
      <c r="D282" s="18"/>
      <c r="E282" s="19" t="s">
        <v>619</v>
      </c>
    </row>
    <row r="283" spans="1:7">
      <c r="A283" s="103"/>
      <c r="B283" s="3" t="s">
        <v>294</v>
      </c>
      <c r="C283" s="33" t="s">
        <v>257</v>
      </c>
      <c r="D283" s="18"/>
      <c r="E283" s="19" t="s">
        <v>620</v>
      </c>
    </row>
    <row r="284" spans="1:7">
      <c r="A284" s="103"/>
      <c r="B284" s="3" t="s">
        <v>295</v>
      </c>
      <c r="C284" s="33" t="s">
        <v>262</v>
      </c>
      <c r="D284" s="18"/>
      <c r="E284" s="19" t="s">
        <v>621</v>
      </c>
    </row>
    <row r="285" spans="1:7">
      <c r="A285" s="103" t="s">
        <v>27</v>
      </c>
      <c r="B285" s="3" t="s">
        <v>296</v>
      </c>
      <c r="C285" s="24" t="s">
        <v>298</v>
      </c>
      <c r="E285" s="22" t="s">
        <v>630</v>
      </c>
    </row>
    <row r="286" spans="1:7">
      <c r="A286" s="103"/>
      <c r="B286" s="3" t="s">
        <v>297</v>
      </c>
      <c r="C286" s="22" t="s">
        <v>297</v>
      </c>
      <c r="D286" s="3" t="s">
        <v>731</v>
      </c>
      <c r="E286" s="22" t="s">
        <v>631</v>
      </c>
      <c r="F286" s="3">
        <v>900</v>
      </c>
      <c r="G286" s="9">
        <v>1</v>
      </c>
    </row>
    <row r="287" spans="1:7">
      <c r="A287" s="103"/>
      <c r="B287" s="3" t="s">
        <v>298</v>
      </c>
      <c r="C287" s="22" t="s">
        <v>299</v>
      </c>
      <c r="E287" s="22" t="s">
        <v>632</v>
      </c>
    </row>
    <row r="288" spans="1:7">
      <c r="A288" s="103"/>
      <c r="B288" s="3" t="s">
        <v>299</v>
      </c>
      <c r="C288" s="33" t="s">
        <v>626</v>
      </c>
      <c r="E288" s="22" t="s">
        <v>633</v>
      </c>
    </row>
    <row r="289" spans="1:5">
      <c r="A289" s="103"/>
      <c r="B289" s="3" t="s">
        <v>300</v>
      </c>
      <c r="C289" s="24" t="s">
        <v>627</v>
      </c>
      <c r="E289" s="22" t="s">
        <v>634</v>
      </c>
    </row>
    <row r="290" spans="1:5">
      <c r="A290" s="103"/>
      <c r="B290" s="3" t="s">
        <v>301</v>
      </c>
      <c r="C290" s="24" t="s">
        <v>628</v>
      </c>
      <c r="E290" s="22" t="s">
        <v>635</v>
      </c>
    </row>
    <row r="291" spans="1:5">
      <c r="A291" s="103"/>
      <c r="B291" s="3" t="s">
        <v>302</v>
      </c>
      <c r="C291" s="24" t="s">
        <v>629</v>
      </c>
      <c r="E291" s="22" t="s">
        <v>636</v>
      </c>
    </row>
    <row r="292" spans="1:5">
      <c r="A292" s="103" t="s">
        <v>637</v>
      </c>
      <c r="B292" s="3" t="s">
        <v>303</v>
      </c>
      <c r="C292" s="24" t="s">
        <v>305</v>
      </c>
      <c r="D292" s="23"/>
      <c r="E292" s="24" t="s">
        <v>638</v>
      </c>
    </row>
    <row r="293" spans="1:5">
      <c r="A293" s="103"/>
      <c r="B293" s="3" t="s">
        <v>304</v>
      </c>
      <c r="C293" s="24" t="s">
        <v>307</v>
      </c>
      <c r="D293" s="23"/>
      <c r="E293" s="24" t="s">
        <v>639</v>
      </c>
    </row>
    <row r="294" spans="1:5">
      <c r="A294" s="103"/>
      <c r="B294" s="3" t="s">
        <v>305</v>
      </c>
      <c r="C294" s="24" t="s">
        <v>309</v>
      </c>
      <c r="D294" s="23"/>
      <c r="E294" s="24" t="s">
        <v>640</v>
      </c>
    </row>
    <row r="295" spans="1:5">
      <c r="A295" s="103"/>
      <c r="B295" s="3" t="s">
        <v>306</v>
      </c>
      <c r="C295" s="24" t="s">
        <v>303</v>
      </c>
      <c r="D295" s="23"/>
      <c r="E295" s="24" t="s">
        <v>641</v>
      </c>
    </row>
    <row r="296" spans="1:5">
      <c r="A296" s="103"/>
      <c r="B296" s="3" t="s">
        <v>307</v>
      </c>
      <c r="C296" s="24" t="s">
        <v>308</v>
      </c>
      <c r="D296" s="23"/>
      <c r="E296" s="24" t="s">
        <v>642</v>
      </c>
    </row>
    <row r="297" spans="1:5">
      <c r="A297" s="103"/>
      <c r="B297" s="3" t="s">
        <v>308</v>
      </c>
      <c r="C297" s="24" t="s">
        <v>304</v>
      </c>
      <c r="D297" s="23"/>
      <c r="E297" s="24" t="s">
        <v>643</v>
      </c>
    </row>
    <row r="298" spans="1:5">
      <c r="A298" s="103"/>
      <c r="B298" s="3" t="s">
        <v>309</v>
      </c>
      <c r="C298" s="24" t="s">
        <v>306</v>
      </c>
      <c r="D298" s="23"/>
      <c r="E298" s="24" t="s">
        <v>644</v>
      </c>
    </row>
    <row r="299" spans="1:5">
      <c r="A299" s="29" t="s">
        <v>28</v>
      </c>
      <c r="B299" s="3" t="s">
        <v>310</v>
      </c>
      <c r="C299" s="37" t="s">
        <v>310</v>
      </c>
      <c r="D299" s="38"/>
      <c r="E299" s="37" t="s">
        <v>645</v>
      </c>
    </row>
    <row r="300" spans="1:5">
      <c r="A300" s="27" t="s">
        <v>29</v>
      </c>
      <c r="B300" s="3" t="s">
        <v>311</v>
      </c>
      <c r="C300" s="22" t="s">
        <v>311</v>
      </c>
      <c r="D300" s="19"/>
      <c r="E300" s="19" t="s">
        <v>646</v>
      </c>
    </row>
    <row r="301" spans="1:5">
      <c r="A301" s="103" t="s">
        <v>30</v>
      </c>
      <c r="B301" s="3" t="s">
        <v>35</v>
      </c>
      <c r="C301" s="22" t="s">
        <v>33</v>
      </c>
      <c r="D301" s="19"/>
      <c r="E301" s="22" t="s">
        <v>647</v>
      </c>
    </row>
    <row r="302" spans="1:5">
      <c r="A302" s="103"/>
      <c r="B302" s="3" t="s">
        <v>34</v>
      </c>
      <c r="C302" s="22" t="s">
        <v>34</v>
      </c>
      <c r="D302" s="19"/>
      <c r="E302" s="22" t="s">
        <v>648</v>
      </c>
    </row>
    <row r="303" spans="1:5">
      <c r="A303" s="103"/>
      <c r="B303" s="3" t="s">
        <v>33</v>
      </c>
      <c r="C303" s="22" t="s">
        <v>35</v>
      </c>
      <c r="D303" s="19"/>
      <c r="E303" s="22" t="s">
        <v>649</v>
      </c>
    </row>
    <row r="304" spans="1:5">
      <c r="A304" s="103" t="s">
        <v>31</v>
      </c>
      <c r="B304" s="3" t="s">
        <v>312</v>
      </c>
      <c r="C304" s="22" t="s">
        <v>315</v>
      </c>
      <c r="D304" s="19"/>
      <c r="E304" s="22" t="s">
        <v>650</v>
      </c>
    </row>
    <row r="305" spans="1:7">
      <c r="A305" s="103"/>
      <c r="B305" s="3" t="s">
        <v>313</v>
      </c>
      <c r="C305" s="22" t="s">
        <v>314</v>
      </c>
      <c r="D305" s="19" t="s">
        <v>733</v>
      </c>
      <c r="E305" s="22" t="s">
        <v>651</v>
      </c>
      <c r="F305" s="3">
        <v>200</v>
      </c>
      <c r="G305" s="9">
        <v>1</v>
      </c>
    </row>
    <row r="306" spans="1:7" ht="29.25">
      <c r="A306" s="103"/>
      <c r="B306" s="3" t="s">
        <v>314</v>
      </c>
      <c r="C306" s="22" t="s">
        <v>313</v>
      </c>
      <c r="D306" s="19"/>
      <c r="E306" s="19" t="s">
        <v>652</v>
      </c>
    </row>
    <row r="307" spans="1:7">
      <c r="A307" s="103"/>
      <c r="B307" s="3" t="s">
        <v>315</v>
      </c>
      <c r="C307" s="22" t="s">
        <v>312</v>
      </c>
      <c r="D307" s="19"/>
      <c r="E307" s="19" t="s">
        <v>653</v>
      </c>
    </row>
    <row r="308" spans="1:7">
      <c r="A308" s="29" t="s">
        <v>32</v>
      </c>
      <c r="B308" s="3" t="s">
        <v>316</v>
      </c>
      <c r="C308" s="39" t="s">
        <v>656</v>
      </c>
    </row>
    <row r="309" spans="1:7">
      <c r="A309" s="29" t="s">
        <v>655</v>
      </c>
      <c r="B309" s="3" t="s">
        <v>658</v>
      </c>
      <c r="C309" s="39" t="s">
        <v>658</v>
      </c>
      <c r="E309" s="3" t="s">
        <v>655</v>
      </c>
    </row>
    <row r="310" spans="1:7">
      <c r="A310" s="29" t="s">
        <v>654</v>
      </c>
      <c r="C310" s="39" t="s">
        <v>657</v>
      </c>
      <c r="E310" s="3" t="s">
        <v>654</v>
      </c>
    </row>
  </sheetData>
  <mergeCells count="27">
    <mergeCell ref="A292:A298"/>
    <mergeCell ref="A301:A303"/>
    <mergeCell ref="A304:A307"/>
    <mergeCell ref="A225:A226"/>
    <mergeCell ref="A227:A230"/>
    <mergeCell ref="A231:A235"/>
    <mergeCell ref="A236:A243"/>
    <mergeCell ref="A244:A284"/>
    <mergeCell ref="A285:A291"/>
    <mergeCell ref="A217:A224"/>
    <mergeCell ref="A74:A86"/>
    <mergeCell ref="A87:A105"/>
    <mergeCell ref="A106:A132"/>
    <mergeCell ref="A133:A136"/>
    <mergeCell ref="A137:A157"/>
    <mergeCell ref="A160:A161"/>
    <mergeCell ref="A163:A170"/>
    <mergeCell ref="A172:A183"/>
    <mergeCell ref="A184:A192"/>
    <mergeCell ref="A193:A209"/>
    <mergeCell ref="A210:A216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0"/>
  <sheetViews>
    <sheetView workbookViewId="0">
      <selection activeCell="A2" sqref="A2:A12"/>
    </sheetView>
  </sheetViews>
  <sheetFormatPr baseColWidth="10" defaultColWidth="10.875" defaultRowHeight="15"/>
  <cols>
    <col min="1" max="1" width="19.125" style="3" bestFit="1" customWidth="1"/>
    <col min="2" max="2" width="13.5" style="3" hidden="1" customWidth="1"/>
    <col min="3" max="3" width="6.125" style="3" bestFit="1" customWidth="1"/>
    <col min="4" max="4" width="16.875" style="3" bestFit="1" customWidth="1"/>
    <col min="5" max="5" width="29.5" style="3" bestFit="1" customWidth="1"/>
    <col min="6" max="6" width="22.875" style="3" bestFit="1" customWidth="1"/>
    <col min="7" max="7" width="9.875" style="9" bestFit="1" customWidth="1"/>
    <col min="8" max="8" width="24" style="3" bestFit="1" customWidth="1"/>
    <col min="9" max="9" width="16.875" style="3" bestFit="1" customWidth="1"/>
    <col min="10" max="10" width="20.625" style="3" bestFit="1" customWidth="1"/>
    <col min="11" max="16384" width="10.875" style="3"/>
  </cols>
  <sheetData>
    <row r="1" spans="1:15">
      <c r="A1" s="25" t="s">
        <v>0</v>
      </c>
      <c r="B1" s="25" t="s">
        <v>659</v>
      </c>
      <c r="C1" s="25" t="s">
        <v>1</v>
      </c>
      <c r="D1" s="25" t="s">
        <v>2</v>
      </c>
      <c r="E1" s="25" t="s">
        <v>660</v>
      </c>
      <c r="F1" s="25" t="s">
        <v>697</v>
      </c>
      <c r="G1" s="26" t="s">
        <v>693</v>
      </c>
      <c r="H1" s="2"/>
      <c r="I1" s="2"/>
      <c r="J1" s="2"/>
      <c r="L1" s="4"/>
      <c r="M1" s="4"/>
      <c r="N1" s="4"/>
      <c r="O1" s="4"/>
    </row>
    <row r="2" spans="1:15" ht="30">
      <c r="A2" s="103" t="s">
        <v>3</v>
      </c>
      <c r="B2" s="3" t="s">
        <v>37</v>
      </c>
      <c r="C2" s="6" t="s">
        <v>36</v>
      </c>
      <c r="D2" s="7"/>
      <c r="E2" s="8" t="s">
        <v>622</v>
      </c>
      <c r="L2" s="4"/>
      <c r="M2" s="4"/>
      <c r="N2" s="5"/>
      <c r="O2" s="4"/>
    </row>
    <row r="3" spans="1:15">
      <c r="A3" s="103"/>
      <c r="B3" s="3" t="s">
        <v>38</v>
      </c>
      <c r="C3" s="6" t="s">
        <v>46</v>
      </c>
      <c r="D3" s="7" t="s">
        <v>661</v>
      </c>
      <c r="E3" s="8" t="s">
        <v>317</v>
      </c>
      <c r="F3" s="3">
        <f>(1080000+610000+550000)/2</f>
        <v>1120000</v>
      </c>
      <c r="G3" s="9">
        <f>F3/(F3+F5)</f>
        <v>0.82352941176470584</v>
      </c>
      <c r="K3" s="10"/>
      <c r="L3" s="11"/>
      <c r="M3" s="4"/>
      <c r="N3" s="5"/>
      <c r="O3" s="4"/>
    </row>
    <row r="4" spans="1:15">
      <c r="A4" s="103"/>
      <c r="B4" s="3" t="s">
        <v>39</v>
      </c>
      <c r="C4" s="6" t="s">
        <v>40</v>
      </c>
      <c r="D4" s="7"/>
      <c r="E4" s="8" t="s">
        <v>318</v>
      </c>
      <c r="L4" s="4"/>
      <c r="M4" s="4"/>
      <c r="N4" s="5"/>
      <c r="O4" s="4"/>
    </row>
    <row r="5" spans="1:15">
      <c r="A5" s="103"/>
      <c r="B5" s="3" t="s">
        <v>40</v>
      </c>
      <c r="C5" s="6" t="s">
        <v>44</v>
      </c>
      <c r="D5" s="7" t="s">
        <v>662</v>
      </c>
      <c r="E5" s="8" t="s">
        <v>319</v>
      </c>
      <c r="F5" s="3">
        <f>480000/2</f>
        <v>240000</v>
      </c>
      <c r="G5" s="9">
        <f>F5/(F3+F5)</f>
        <v>0.17647058823529413</v>
      </c>
      <c r="L5" s="4"/>
      <c r="M5" s="4"/>
      <c r="N5" s="5"/>
      <c r="O5" s="4"/>
    </row>
    <row r="6" spans="1:15">
      <c r="A6" s="103"/>
      <c r="B6" s="3" t="s">
        <v>41</v>
      </c>
      <c r="C6" s="6" t="s">
        <v>45</v>
      </c>
      <c r="D6" s="7"/>
      <c r="E6" s="8" t="s">
        <v>320</v>
      </c>
      <c r="L6" s="4"/>
      <c r="M6" s="4"/>
      <c r="N6" s="5"/>
      <c r="O6" s="4"/>
    </row>
    <row r="7" spans="1:15">
      <c r="A7" s="103"/>
      <c r="B7" s="3" t="s">
        <v>42</v>
      </c>
      <c r="C7" s="6" t="s">
        <v>37</v>
      </c>
      <c r="D7" s="7"/>
      <c r="E7" s="8" t="s">
        <v>321</v>
      </c>
      <c r="L7" s="4"/>
      <c r="M7" s="4"/>
      <c r="N7" s="5"/>
      <c r="O7" s="4"/>
    </row>
    <row r="8" spans="1:15">
      <c r="A8" s="103"/>
      <c r="B8" s="3" t="s">
        <v>43</v>
      </c>
      <c r="C8" s="6" t="s">
        <v>43</v>
      </c>
      <c r="D8" s="7"/>
      <c r="E8" s="8" t="s">
        <v>322</v>
      </c>
      <c r="L8" s="4"/>
      <c r="M8" s="4"/>
      <c r="N8" s="5"/>
      <c r="O8" s="4"/>
    </row>
    <row r="9" spans="1:15">
      <c r="A9" s="103"/>
      <c r="B9" s="3" t="s">
        <v>44</v>
      </c>
      <c r="C9" s="6" t="s">
        <v>42</v>
      </c>
      <c r="D9" s="7"/>
      <c r="E9" s="8" t="s">
        <v>323</v>
      </c>
      <c r="L9" s="4"/>
      <c r="M9" s="4"/>
      <c r="N9" s="5"/>
      <c r="O9" s="4"/>
    </row>
    <row r="10" spans="1:15">
      <c r="A10" s="103"/>
      <c r="B10" s="3" t="s">
        <v>45</v>
      </c>
      <c r="C10" s="6" t="s">
        <v>41</v>
      </c>
      <c r="D10" s="7"/>
      <c r="E10" s="8" t="s">
        <v>324</v>
      </c>
      <c r="L10" s="4"/>
      <c r="M10" s="4"/>
      <c r="N10" s="5"/>
      <c r="O10" s="4"/>
    </row>
    <row r="11" spans="1:15">
      <c r="A11" s="103"/>
      <c r="B11" s="3" t="s">
        <v>36</v>
      </c>
      <c r="C11" s="6" t="s">
        <v>39</v>
      </c>
      <c r="D11" s="7"/>
      <c r="E11" s="8" t="s">
        <v>325</v>
      </c>
      <c r="L11" s="4"/>
      <c r="M11" s="4"/>
      <c r="N11" s="5"/>
      <c r="O11" s="4"/>
    </row>
    <row r="12" spans="1:15">
      <c r="A12" s="103"/>
      <c r="B12" s="3" t="s">
        <v>46</v>
      </c>
      <c r="C12" s="6" t="s">
        <v>38</v>
      </c>
      <c r="D12" s="7"/>
      <c r="E12" s="8" t="s">
        <v>326</v>
      </c>
      <c r="L12" s="4"/>
      <c r="M12" s="4"/>
      <c r="N12" s="5"/>
      <c r="O12" s="4"/>
    </row>
    <row r="13" spans="1:15">
      <c r="A13" s="103" t="s">
        <v>4</v>
      </c>
      <c r="B13" s="3" t="s">
        <v>47</v>
      </c>
      <c r="C13" s="6" t="s">
        <v>47</v>
      </c>
      <c r="D13" s="7"/>
      <c r="E13" s="8" t="s">
        <v>327</v>
      </c>
      <c r="L13" s="4"/>
      <c r="M13" s="4"/>
      <c r="N13" s="5"/>
      <c r="O13" s="4"/>
    </row>
    <row r="14" spans="1:15">
      <c r="A14" s="103"/>
      <c r="B14" s="3" t="s">
        <v>48</v>
      </c>
      <c r="C14" s="6" t="s">
        <v>49</v>
      </c>
      <c r="D14" s="7"/>
      <c r="E14" s="8" t="s">
        <v>328</v>
      </c>
      <c r="L14" s="4"/>
      <c r="M14" s="4"/>
      <c r="N14" s="5"/>
      <c r="O14" s="4"/>
    </row>
    <row r="15" spans="1:15">
      <c r="A15" s="103"/>
      <c r="B15" s="3" t="s">
        <v>49</v>
      </c>
      <c r="C15" s="6" t="s">
        <v>50</v>
      </c>
      <c r="D15" s="7"/>
      <c r="E15" s="8" t="s">
        <v>329</v>
      </c>
      <c r="L15" s="4"/>
      <c r="M15" s="4"/>
      <c r="N15" s="5"/>
      <c r="O15" s="4"/>
    </row>
    <row r="16" spans="1:15">
      <c r="A16" s="103"/>
      <c r="B16" s="3" t="s">
        <v>50</v>
      </c>
      <c r="C16" s="6" t="s">
        <v>51</v>
      </c>
      <c r="D16" s="7"/>
      <c r="E16" s="8" t="s">
        <v>330</v>
      </c>
      <c r="L16" s="4"/>
      <c r="M16" s="4"/>
      <c r="N16" s="5"/>
      <c r="O16" s="4"/>
    </row>
    <row r="17" spans="1:15">
      <c r="A17" s="103"/>
      <c r="B17" s="3" t="s">
        <v>51</v>
      </c>
      <c r="C17" s="6" t="s">
        <v>52</v>
      </c>
      <c r="D17" s="7"/>
      <c r="E17" s="8" t="s">
        <v>331</v>
      </c>
      <c r="L17" s="4"/>
      <c r="M17" s="4"/>
      <c r="N17" s="5"/>
      <c r="O17" s="4"/>
    </row>
    <row r="18" spans="1:15">
      <c r="A18" s="103"/>
      <c r="B18" s="3" t="s">
        <v>52</v>
      </c>
      <c r="C18" s="6" t="s">
        <v>48</v>
      </c>
      <c r="D18" s="7"/>
      <c r="E18" s="8" t="s">
        <v>332</v>
      </c>
      <c r="L18" s="4"/>
      <c r="M18" s="4"/>
      <c r="N18" s="5"/>
      <c r="O18" s="4"/>
    </row>
    <row r="19" spans="1:15">
      <c r="A19" s="103" t="s">
        <v>5</v>
      </c>
      <c r="B19" s="3" t="s">
        <v>53</v>
      </c>
      <c r="C19" s="6" t="s">
        <v>54</v>
      </c>
      <c r="D19" s="7"/>
      <c r="E19" s="8" t="s">
        <v>333</v>
      </c>
      <c r="L19" s="4"/>
      <c r="M19" s="4"/>
      <c r="N19" s="5"/>
      <c r="O19" s="4"/>
    </row>
    <row r="20" spans="1:15">
      <c r="A20" s="103"/>
      <c r="B20" s="3" t="s">
        <v>54</v>
      </c>
      <c r="C20" s="6" t="s">
        <v>53</v>
      </c>
      <c r="D20" s="7"/>
      <c r="E20" s="8" t="s">
        <v>334</v>
      </c>
      <c r="L20" s="4"/>
      <c r="M20" s="4"/>
      <c r="N20" s="5"/>
      <c r="O20" s="4"/>
    </row>
    <row r="21" spans="1:15">
      <c r="A21" s="103"/>
      <c r="B21" s="3" t="s">
        <v>55</v>
      </c>
      <c r="C21" s="6" t="s">
        <v>60</v>
      </c>
      <c r="D21" s="7"/>
      <c r="E21" s="8" t="s">
        <v>335</v>
      </c>
      <c r="L21" s="4"/>
      <c r="M21" s="4"/>
      <c r="N21" s="5"/>
      <c r="O21" s="4"/>
    </row>
    <row r="22" spans="1:15">
      <c r="A22" s="103"/>
      <c r="B22" s="3" t="s">
        <v>56</v>
      </c>
      <c r="C22" s="6" t="s">
        <v>58</v>
      </c>
      <c r="D22" s="3" t="s">
        <v>663</v>
      </c>
      <c r="E22" s="8" t="s">
        <v>336</v>
      </c>
      <c r="F22" s="3">
        <f>544000/2</f>
        <v>272000</v>
      </c>
      <c r="G22" s="9">
        <v>1</v>
      </c>
      <c r="L22" s="4"/>
      <c r="M22" s="4"/>
      <c r="N22" s="5"/>
      <c r="O22" s="4"/>
    </row>
    <row r="23" spans="1:15">
      <c r="A23" s="103"/>
      <c r="B23" s="3" t="s">
        <v>57</v>
      </c>
      <c r="C23" s="6" t="s">
        <v>57</v>
      </c>
      <c r="D23" s="7"/>
      <c r="E23" s="8" t="s">
        <v>337</v>
      </c>
      <c r="L23" s="4"/>
      <c r="M23" s="4"/>
      <c r="N23" s="5"/>
      <c r="O23" s="4"/>
    </row>
    <row r="24" spans="1:15">
      <c r="A24" s="103"/>
      <c r="B24" s="3" t="s">
        <v>58</v>
      </c>
      <c r="C24" s="6" t="s">
        <v>59</v>
      </c>
      <c r="D24" s="7"/>
      <c r="E24" s="8" t="s">
        <v>338</v>
      </c>
      <c r="L24" s="4"/>
      <c r="M24" s="4"/>
      <c r="N24" s="5"/>
      <c r="O24" s="4"/>
    </row>
    <row r="25" spans="1:15">
      <c r="A25" s="103"/>
      <c r="B25" s="3" t="s">
        <v>59</v>
      </c>
      <c r="C25" s="6" t="s">
        <v>55</v>
      </c>
      <c r="D25" s="7"/>
      <c r="E25" s="8" t="s">
        <v>339</v>
      </c>
      <c r="L25" s="4"/>
      <c r="M25" s="4"/>
      <c r="N25" s="5"/>
      <c r="O25" s="4"/>
    </row>
    <row r="26" spans="1:15">
      <c r="A26" s="103"/>
      <c r="B26" s="3" t="s">
        <v>60</v>
      </c>
      <c r="C26" s="6" t="s">
        <v>56</v>
      </c>
      <c r="D26" s="7"/>
      <c r="E26" s="8" t="s">
        <v>340</v>
      </c>
      <c r="L26" s="4"/>
      <c r="M26" s="4"/>
      <c r="N26" s="5"/>
      <c r="O26" s="4"/>
    </row>
    <row r="27" spans="1:15">
      <c r="A27" s="103" t="s">
        <v>6</v>
      </c>
      <c r="B27" s="3" t="s">
        <v>61</v>
      </c>
      <c r="C27" s="6" t="s">
        <v>64</v>
      </c>
      <c r="D27" s="7"/>
      <c r="E27" s="8" t="s">
        <v>341</v>
      </c>
      <c r="L27" s="4"/>
      <c r="M27" s="4"/>
      <c r="N27" s="5"/>
      <c r="O27" s="4"/>
    </row>
    <row r="28" spans="1:15">
      <c r="A28" s="103"/>
      <c r="B28" s="3" t="s">
        <v>62</v>
      </c>
      <c r="C28" s="6" t="s">
        <v>61</v>
      </c>
      <c r="D28" s="7"/>
      <c r="E28" s="8" t="s">
        <v>342</v>
      </c>
      <c r="L28" s="4"/>
      <c r="M28" s="4"/>
      <c r="N28" s="5"/>
      <c r="O28" s="4"/>
    </row>
    <row r="29" spans="1:15">
      <c r="A29" s="103"/>
      <c r="B29" s="3" t="s">
        <v>63</v>
      </c>
      <c r="C29" s="6" t="s">
        <v>63</v>
      </c>
      <c r="D29" s="7"/>
      <c r="E29" s="8" t="s">
        <v>343</v>
      </c>
      <c r="L29" s="4"/>
      <c r="M29" s="4"/>
      <c r="N29" s="5"/>
      <c r="O29" s="4"/>
    </row>
    <row r="30" spans="1:15">
      <c r="A30" s="103"/>
      <c r="B30" s="3" t="s">
        <v>64</v>
      </c>
      <c r="C30" s="6" t="s">
        <v>65</v>
      </c>
      <c r="D30" s="7"/>
      <c r="E30" s="8" t="s">
        <v>344</v>
      </c>
      <c r="L30" s="4"/>
      <c r="M30" s="4"/>
      <c r="N30" s="5"/>
      <c r="O30" s="4"/>
    </row>
    <row r="31" spans="1:15">
      <c r="A31" s="103"/>
      <c r="B31" s="3" t="s">
        <v>65</v>
      </c>
      <c r="C31" s="6" t="s">
        <v>62</v>
      </c>
      <c r="D31" s="7"/>
      <c r="E31" s="8" t="s">
        <v>345</v>
      </c>
      <c r="L31" s="4"/>
      <c r="M31" s="4"/>
      <c r="N31" s="5"/>
      <c r="O31" s="4"/>
    </row>
    <row r="32" spans="1:15">
      <c r="A32" s="103" t="s">
        <v>7</v>
      </c>
      <c r="B32" s="3" t="s">
        <v>66</v>
      </c>
      <c r="C32" s="6" t="s">
        <v>101</v>
      </c>
      <c r="D32" s="7"/>
      <c r="E32" s="8" t="s">
        <v>346</v>
      </c>
      <c r="L32" s="4"/>
      <c r="M32" s="4"/>
      <c r="N32" s="5"/>
      <c r="O32" s="4"/>
    </row>
    <row r="33" spans="1:15">
      <c r="A33" s="103"/>
      <c r="B33" s="3" t="s">
        <v>67</v>
      </c>
      <c r="C33" s="6" t="s">
        <v>102</v>
      </c>
      <c r="D33" s="7"/>
      <c r="E33" s="8" t="s">
        <v>347</v>
      </c>
      <c r="L33" s="4"/>
      <c r="M33" s="4"/>
      <c r="N33" s="5"/>
      <c r="O33" s="4"/>
    </row>
    <row r="34" spans="1:15">
      <c r="A34" s="103"/>
      <c r="B34" s="3" t="s">
        <v>68</v>
      </c>
      <c r="C34" s="6" t="s">
        <v>103</v>
      </c>
      <c r="D34" s="7"/>
      <c r="E34" s="8" t="s">
        <v>348</v>
      </c>
      <c r="L34" s="4"/>
      <c r="M34" s="4"/>
      <c r="N34" s="5"/>
      <c r="O34" s="4"/>
    </row>
    <row r="35" spans="1:15">
      <c r="A35" s="103"/>
      <c r="B35" s="3" t="s">
        <v>69</v>
      </c>
      <c r="C35" s="6" t="s">
        <v>100</v>
      </c>
      <c r="D35" s="7"/>
      <c r="E35" s="8" t="s">
        <v>349</v>
      </c>
      <c r="L35" s="4"/>
      <c r="M35" s="4"/>
      <c r="N35" s="5"/>
      <c r="O35" s="4"/>
    </row>
    <row r="36" spans="1:15" ht="30">
      <c r="A36" s="103"/>
      <c r="B36" s="3" t="s">
        <v>70</v>
      </c>
      <c r="C36" s="6" t="s">
        <v>97</v>
      </c>
      <c r="D36" s="28" t="s">
        <v>691</v>
      </c>
      <c r="E36" s="8" t="s">
        <v>350</v>
      </c>
      <c r="F36" s="3">
        <f>(450000+400000)/2</f>
        <v>425000</v>
      </c>
      <c r="G36" s="9">
        <f>F36/SUM($F$36:$F$68)</f>
        <v>0.15044247787610621</v>
      </c>
      <c r="L36" s="4"/>
      <c r="M36" s="4"/>
      <c r="N36" s="5"/>
      <c r="O36" s="4"/>
    </row>
    <row r="37" spans="1:15">
      <c r="A37" s="103"/>
      <c r="B37" s="3" t="s">
        <v>71</v>
      </c>
      <c r="C37" s="6" t="s">
        <v>98</v>
      </c>
      <c r="D37" s="7"/>
      <c r="E37" s="8" t="s">
        <v>351</v>
      </c>
      <c r="L37" s="4"/>
      <c r="M37" s="4"/>
      <c r="N37" s="5"/>
      <c r="O37" s="4"/>
    </row>
    <row r="38" spans="1:15">
      <c r="A38" s="103"/>
      <c r="B38" s="3" t="s">
        <v>72</v>
      </c>
      <c r="C38" s="6" t="s">
        <v>95</v>
      </c>
      <c r="D38" s="7"/>
      <c r="E38" s="8" t="s">
        <v>352</v>
      </c>
      <c r="L38" s="4"/>
      <c r="M38" s="4"/>
      <c r="N38" s="5"/>
      <c r="O38" s="4"/>
    </row>
    <row r="39" spans="1:15">
      <c r="A39" s="103"/>
      <c r="B39" s="3" t="s">
        <v>73</v>
      </c>
      <c r="C39" s="6" t="s">
        <v>96</v>
      </c>
      <c r="D39" s="7"/>
      <c r="E39" s="8" t="s">
        <v>353</v>
      </c>
      <c r="L39" s="4"/>
      <c r="M39" s="4"/>
      <c r="N39" s="5"/>
      <c r="O39" s="4"/>
    </row>
    <row r="40" spans="1:15">
      <c r="A40" s="103"/>
      <c r="B40" s="3" t="s">
        <v>74</v>
      </c>
      <c r="C40" s="6" t="s">
        <v>99</v>
      </c>
      <c r="D40" s="7"/>
      <c r="E40" s="8" t="s">
        <v>354</v>
      </c>
      <c r="L40" s="4"/>
      <c r="M40" s="4"/>
      <c r="N40" s="5"/>
      <c r="O40" s="4"/>
    </row>
    <row r="41" spans="1:15">
      <c r="A41" s="103"/>
      <c r="B41" s="3" t="s">
        <v>75</v>
      </c>
      <c r="C41" s="6" t="s">
        <v>93</v>
      </c>
      <c r="D41" s="7"/>
      <c r="E41" s="8" t="s">
        <v>355</v>
      </c>
      <c r="L41" s="4"/>
      <c r="M41" s="4"/>
      <c r="N41" s="5"/>
      <c r="O41" s="4"/>
    </row>
    <row r="42" spans="1:15">
      <c r="A42" s="103"/>
      <c r="B42" s="3" t="s">
        <v>76</v>
      </c>
      <c r="C42" s="6" t="s">
        <v>94</v>
      </c>
      <c r="D42" s="7"/>
      <c r="E42" s="8" t="s">
        <v>356</v>
      </c>
      <c r="L42" s="4"/>
      <c r="M42" s="4"/>
      <c r="N42" s="5"/>
      <c r="O42" s="4"/>
    </row>
    <row r="43" spans="1:15">
      <c r="A43" s="103"/>
      <c r="B43" s="3" t="s">
        <v>77</v>
      </c>
      <c r="C43" s="6" t="s">
        <v>92</v>
      </c>
      <c r="D43" s="7"/>
      <c r="E43" s="8" t="s">
        <v>357</v>
      </c>
      <c r="L43" s="4"/>
      <c r="M43" s="4"/>
      <c r="N43" s="5"/>
      <c r="O43" s="4"/>
    </row>
    <row r="44" spans="1:15">
      <c r="A44" s="103"/>
      <c r="B44" s="3" t="s">
        <v>78</v>
      </c>
      <c r="C44" s="6" t="s">
        <v>91</v>
      </c>
      <c r="D44" s="7"/>
      <c r="E44" s="8" t="s">
        <v>358</v>
      </c>
      <c r="N44" s="10"/>
    </row>
    <row r="45" spans="1:15">
      <c r="A45" s="103"/>
      <c r="B45" s="3" t="s">
        <v>79</v>
      </c>
      <c r="C45" s="6" t="s">
        <v>90</v>
      </c>
      <c r="D45" s="7"/>
      <c r="E45" s="8" t="s">
        <v>359</v>
      </c>
      <c r="N45" s="10"/>
    </row>
    <row r="46" spans="1:15">
      <c r="A46" s="103"/>
      <c r="B46" s="3" t="s">
        <v>80</v>
      </c>
      <c r="C46" s="6" t="s">
        <v>89</v>
      </c>
      <c r="D46" s="7"/>
      <c r="E46" s="8" t="s">
        <v>360</v>
      </c>
      <c r="N46" s="10"/>
    </row>
    <row r="47" spans="1:15">
      <c r="A47" s="103"/>
      <c r="B47" s="3" t="s">
        <v>81</v>
      </c>
      <c r="C47" s="6" t="s">
        <v>88</v>
      </c>
      <c r="D47" s="7"/>
      <c r="E47" s="8" t="s">
        <v>361</v>
      </c>
      <c r="N47" s="10"/>
    </row>
    <row r="48" spans="1:15">
      <c r="A48" s="103"/>
      <c r="B48" s="3" t="s">
        <v>82</v>
      </c>
      <c r="C48" s="6" t="s">
        <v>87</v>
      </c>
      <c r="D48" s="7"/>
      <c r="E48" s="8" t="s">
        <v>362</v>
      </c>
      <c r="N48" s="10"/>
    </row>
    <row r="49" spans="1:14">
      <c r="A49" s="103"/>
      <c r="B49" s="3" t="s">
        <v>83</v>
      </c>
      <c r="C49" s="6" t="s">
        <v>86</v>
      </c>
      <c r="D49" s="7"/>
      <c r="E49" s="8" t="s">
        <v>363</v>
      </c>
      <c r="N49" s="10"/>
    </row>
    <row r="50" spans="1:14">
      <c r="A50" s="103"/>
      <c r="B50" s="3" t="s">
        <v>84</v>
      </c>
      <c r="C50" s="6" t="s">
        <v>85</v>
      </c>
      <c r="D50" s="7"/>
      <c r="E50" s="8" t="s">
        <v>364</v>
      </c>
      <c r="N50" s="10"/>
    </row>
    <row r="51" spans="1:14">
      <c r="A51" s="103"/>
      <c r="B51" s="3" t="s">
        <v>85</v>
      </c>
      <c r="C51" s="6" t="s">
        <v>84</v>
      </c>
      <c r="D51" s="7"/>
      <c r="E51" s="8" t="s">
        <v>365</v>
      </c>
      <c r="N51" s="10"/>
    </row>
    <row r="52" spans="1:14">
      <c r="A52" s="103"/>
      <c r="B52" s="3" t="s">
        <v>86</v>
      </c>
      <c r="C52" s="6" t="s">
        <v>83</v>
      </c>
      <c r="D52" s="7"/>
      <c r="E52" s="8" t="s">
        <v>366</v>
      </c>
      <c r="N52" s="10"/>
    </row>
    <row r="53" spans="1:14">
      <c r="A53" s="103"/>
      <c r="B53" s="3" t="s">
        <v>87</v>
      </c>
      <c r="C53" s="6" t="s">
        <v>82</v>
      </c>
      <c r="D53" s="7"/>
      <c r="E53" s="8" t="s">
        <v>367</v>
      </c>
      <c r="N53" s="10"/>
    </row>
    <row r="54" spans="1:14">
      <c r="A54" s="103"/>
      <c r="B54" s="3" t="s">
        <v>88</v>
      </c>
      <c r="C54" s="6" t="s">
        <v>81</v>
      </c>
      <c r="D54" s="7"/>
      <c r="E54" s="8" t="s">
        <v>368</v>
      </c>
      <c r="N54" s="10"/>
    </row>
    <row r="55" spans="1:14">
      <c r="A55" s="103"/>
      <c r="B55" s="3" t="s">
        <v>89</v>
      </c>
      <c r="C55" s="6" t="s">
        <v>78</v>
      </c>
      <c r="D55" s="3" t="s">
        <v>688</v>
      </c>
      <c r="E55" s="8" t="s">
        <v>369</v>
      </c>
      <c r="F55" s="3">
        <f>1050000/2</f>
        <v>525000</v>
      </c>
      <c r="G55" s="9">
        <f t="shared" ref="G55:G68" si="0">F55/SUM($F$36:$F$68)</f>
        <v>0.18584070796460178</v>
      </c>
      <c r="N55" s="10"/>
    </row>
    <row r="56" spans="1:14" ht="30">
      <c r="A56" s="103"/>
      <c r="B56" s="3" t="s">
        <v>90</v>
      </c>
      <c r="C56" s="6" t="s">
        <v>77</v>
      </c>
      <c r="D56" s="28" t="s">
        <v>692</v>
      </c>
      <c r="E56" s="8" t="s">
        <v>370</v>
      </c>
      <c r="F56" s="3">
        <f>(1165000+1040000+260000)/2</f>
        <v>1232500</v>
      </c>
      <c r="G56" s="9">
        <f t="shared" si="0"/>
        <v>0.43628318584070797</v>
      </c>
      <c r="N56" s="10"/>
    </row>
    <row r="57" spans="1:14">
      <c r="A57" s="103"/>
      <c r="B57" s="3" t="s">
        <v>91</v>
      </c>
      <c r="C57" s="6" t="s">
        <v>76</v>
      </c>
      <c r="D57" s="7"/>
      <c r="E57" s="8" t="s">
        <v>371</v>
      </c>
      <c r="N57" s="10"/>
    </row>
    <row r="58" spans="1:14">
      <c r="A58" s="103"/>
      <c r="B58" s="3" t="s">
        <v>92</v>
      </c>
      <c r="C58" s="6" t="s">
        <v>79</v>
      </c>
      <c r="D58" s="7"/>
      <c r="E58" s="8" t="s">
        <v>372</v>
      </c>
      <c r="N58" s="10"/>
    </row>
    <row r="59" spans="1:14">
      <c r="A59" s="103"/>
      <c r="B59" s="3" t="s">
        <v>93</v>
      </c>
      <c r="C59" s="6" t="s">
        <v>80</v>
      </c>
      <c r="D59" s="7"/>
      <c r="E59" s="8" t="s">
        <v>373</v>
      </c>
      <c r="N59" s="10"/>
    </row>
    <row r="60" spans="1:14">
      <c r="A60" s="103"/>
      <c r="B60" s="3" t="s">
        <v>94</v>
      </c>
      <c r="C60" s="6" t="s">
        <v>75</v>
      </c>
      <c r="D60" s="7"/>
      <c r="E60" s="8" t="s">
        <v>374</v>
      </c>
      <c r="N60" s="10"/>
    </row>
    <row r="61" spans="1:14">
      <c r="A61" s="103"/>
      <c r="B61" s="3" t="s">
        <v>95</v>
      </c>
      <c r="C61" s="6" t="s">
        <v>73</v>
      </c>
      <c r="D61" s="7"/>
      <c r="E61" s="8" t="s">
        <v>375</v>
      </c>
      <c r="N61" s="10"/>
    </row>
    <row r="62" spans="1:14">
      <c r="A62" s="103"/>
      <c r="B62" s="3" t="s">
        <v>96</v>
      </c>
      <c r="C62" s="6" t="s">
        <v>74</v>
      </c>
      <c r="D62" s="3" t="s">
        <v>690</v>
      </c>
      <c r="E62" s="8" t="s">
        <v>376</v>
      </c>
      <c r="F62" s="3">
        <f>620000/2</f>
        <v>310000</v>
      </c>
      <c r="G62" s="9">
        <f t="shared" si="0"/>
        <v>0.10973451327433628</v>
      </c>
      <c r="N62" s="10"/>
    </row>
    <row r="63" spans="1:14">
      <c r="A63" s="103"/>
      <c r="B63" s="3" t="s">
        <v>97</v>
      </c>
      <c r="C63" s="6" t="s">
        <v>72</v>
      </c>
      <c r="D63" s="7"/>
      <c r="E63" s="8" t="s">
        <v>377</v>
      </c>
      <c r="N63" s="10"/>
    </row>
    <row r="64" spans="1:14">
      <c r="A64" s="103"/>
      <c r="B64" s="3" t="s">
        <v>98</v>
      </c>
      <c r="C64" s="6" t="s">
        <v>69</v>
      </c>
      <c r="D64" s="7"/>
      <c r="E64" s="8" t="s">
        <v>378</v>
      </c>
      <c r="N64" s="10"/>
    </row>
    <row r="65" spans="1:14">
      <c r="A65" s="103"/>
      <c r="B65" s="3" t="s">
        <v>99</v>
      </c>
      <c r="C65" s="6" t="s">
        <v>70</v>
      </c>
      <c r="D65" s="7"/>
      <c r="E65" s="8" t="s">
        <v>379</v>
      </c>
      <c r="N65" s="10"/>
    </row>
    <row r="66" spans="1:14">
      <c r="A66" s="103"/>
      <c r="B66" s="3" t="s">
        <v>100</v>
      </c>
      <c r="C66" s="6" t="s">
        <v>68</v>
      </c>
      <c r="D66" s="3" t="s">
        <v>686</v>
      </c>
      <c r="E66" s="8" t="s">
        <v>380</v>
      </c>
      <c r="F66" s="3">
        <f>565000/2</f>
        <v>282500</v>
      </c>
      <c r="G66" s="9">
        <f t="shared" si="0"/>
        <v>0.1</v>
      </c>
      <c r="N66" s="10"/>
    </row>
    <row r="67" spans="1:14">
      <c r="A67" s="103"/>
      <c r="B67" s="3" t="s">
        <v>101</v>
      </c>
      <c r="C67" s="6" t="s">
        <v>71</v>
      </c>
      <c r="D67" s="7"/>
      <c r="E67" s="8" t="s">
        <v>381</v>
      </c>
      <c r="N67" s="10"/>
    </row>
    <row r="68" spans="1:14">
      <c r="A68" s="103"/>
      <c r="B68" s="3" t="s">
        <v>102</v>
      </c>
      <c r="C68" s="6" t="s">
        <v>67</v>
      </c>
      <c r="D68" s="3" t="s">
        <v>689</v>
      </c>
      <c r="E68" s="8" t="s">
        <v>382</v>
      </c>
      <c r="F68" s="3">
        <f>100000/2</f>
        <v>50000</v>
      </c>
      <c r="G68" s="9">
        <f t="shared" si="0"/>
        <v>1.7699115044247787E-2</v>
      </c>
      <c r="N68" s="10"/>
    </row>
    <row r="69" spans="1:14">
      <c r="A69" s="103"/>
      <c r="B69" s="3" t="s">
        <v>103</v>
      </c>
      <c r="C69" s="6" t="s">
        <v>66</v>
      </c>
      <c r="D69" s="7"/>
      <c r="E69" s="8" t="s">
        <v>383</v>
      </c>
      <c r="N69" s="10"/>
    </row>
    <row r="70" spans="1:14">
      <c r="A70" s="27" t="s">
        <v>623</v>
      </c>
      <c r="B70" s="3" t="s">
        <v>384</v>
      </c>
      <c r="C70" s="6" t="s">
        <v>384</v>
      </c>
      <c r="D70" s="7"/>
      <c r="E70" s="8" t="s">
        <v>385</v>
      </c>
      <c r="N70" s="10"/>
    </row>
    <row r="71" spans="1:14">
      <c r="A71" s="103" t="s">
        <v>8</v>
      </c>
      <c r="B71" s="3" t="s">
        <v>104</v>
      </c>
      <c r="C71" s="6" t="s">
        <v>106</v>
      </c>
      <c r="D71" s="7"/>
      <c r="E71" s="8" t="s">
        <v>386</v>
      </c>
      <c r="N71" s="10"/>
    </row>
    <row r="72" spans="1:14">
      <c r="A72" s="103"/>
      <c r="B72" s="3" t="s">
        <v>105</v>
      </c>
      <c r="C72" s="6" t="s">
        <v>105</v>
      </c>
      <c r="D72" s="7"/>
      <c r="E72" s="8" t="s">
        <v>387</v>
      </c>
      <c r="N72" s="10"/>
    </row>
    <row r="73" spans="1:14">
      <c r="A73" s="103"/>
      <c r="B73" s="3" t="s">
        <v>106</v>
      </c>
      <c r="C73" s="6" t="s">
        <v>104</v>
      </c>
      <c r="D73" s="7"/>
      <c r="E73" s="8" t="s">
        <v>388</v>
      </c>
      <c r="N73" s="10"/>
    </row>
    <row r="74" spans="1:14">
      <c r="A74" s="103" t="s">
        <v>9</v>
      </c>
      <c r="B74" s="3" t="s">
        <v>107</v>
      </c>
      <c r="C74" s="6" t="s">
        <v>114</v>
      </c>
      <c r="D74" s="7"/>
      <c r="E74" s="8" t="s">
        <v>389</v>
      </c>
      <c r="N74" s="10"/>
    </row>
    <row r="75" spans="1:14">
      <c r="A75" s="103"/>
      <c r="B75" s="3" t="s">
        <v>108</v>
      </c>
      <c r="C75" s="6" t="s">
        <v>390</v>
      </c>
      <c r="D75" s="7"/>
      <c r="E75" s="8" t="s">
        <v>391</v>
      </c>
      <c r="N75" s="10"/>
    </row>
    <row r="76" spans="1:14">
      <c r="A76" s="103"/>
      <c r="B76" s="3" t="s">
        <v>109</v>
      </c>
      <c r="C76" s="6" t="s">
        <v>392</v>
      </c>
      <c r="D76" s="7"/>
      <c r="E76" s="8" t="s">
        <v>393</v>
      </c>
    </row>
    <row r="77" spans="1:14">
      <c r="A77" s="103"/>
      <c r="B77" s="3" t="s">
        <v>110</v>
      </c>
      <c r="C77" s="6" t="s">
        <v>394</v>
      </c>
      <c r="D77" s="7"/>
      <c r="E77" s="8" t="s">
        <v>395</v>
      </c>
    </row>
    <row r="78" spans="1:14">
      <c r="A78" s="103"/>
      <c r="B78" s="3" t="s">
        <v>111</v>
      </c>
      <c r="C78" s="6" t="s">
        <v>115</v>
      </c>
      <c r="D78" s="7"/>
      <c r="E78" s="8" t="s">
        <v>396</v>
      </c>
    </row>
    <row r="79" spans="1:14">
      <c r="A79" s="103"/>
      <c r="B79" s="3" t="s">
        <v>112</v>
      </c>
      <c r="C79" s="6" t="s">
        <v>110</v>
      </c>
      <c r="D79" s="7"/>
      <c r="E79" s="8" t="s">
        <v>397</v>
      </c>
    </row>
    <row r="80" spans="1:14">
      <c r="A80" s="103"/>
      <c r="B80" s="3" t="s">
        <v>113</v>
      </c>
      <c r="C80" s="6" t="s">
        <v>112</v>
      </c>
      <c r="D80" s="7"/>
      <c r="E80" s="8" t="s">
        <v>398</v>
      </c>
    </row>
    <row r="81" spans="1:7">
      <c r="A81" s="103"/>
      <c r="B81" s="3" t="s">
        <v>114</v>
      </c>
      <c r="C81" s="6" t="s">
        <v>111</v>
      </c>
      <c r="D81" s="7"/>
      <c r="E81" s="8" t="s">
        <v>399</v>
      </c>
    </row>
    <row r="82" spans="1:7">
      <c r="A82" s="103"/>
      <c r="B82" s="3" t="s">
        <v>115</v>
      </c>
      <c r="C82" s="6" t="s">
        <v>107</v>
      </c>
      <c r="D82" s="7"/>
      <c r="E82" s="8" t="s">
        <v>400</v>
      </c>
    </row>
    <row r="83" spans="1:7">
      <c r="A83" s="103"/>
      <c r="C83" s="6" t="s">
        <v>401</v>
      </c>
      <c r="D83" s="7"/>
      <c r="E83" s="8" t="s">
        <v>402</v>
      </c>
    </row>
    <row r="84" spans="1:7">
      <c r="A84" s="103"/>
      <c r="C84" s="6" t="s">
        <v>113</v>
      </c>
      <c r="D84" s="7"/>
      <c r="E84" s="8" t="s">
        <v>403</v>
      </c>
    </row>
    <row r="85" spans="1:7">
      <c r="A85" s="103"/>
      <c r="C85" s="6" t="s">
        <v>108</v>
      </c>
      <c r="D85" s="7"/>
      <c r="E85" s="8" t="s">
        <v>404</v>
      </c>
    </row>
    <row r="86" spans="1:7">
      <c r="A86" s="103"/>
      <c r="C86" s="6" t="s">
        <v>109</v>
      </c>
      <c r="D86" s="7"/>
      <c r="E86" s="8" t="s">
        <v>405</v>
      </c>
    </row>
    <row r="87" spans="1:7">
      <c r="A87" s="103" t="s">
        <v>10</v>
      </c>
      <c r="B87" s="3" t="s">
        <v>116</v>
      </c>
      <c r="C87" s="6" t="s">
        <v>120</v>
      </c>
      <c r="D87" s="7"/>
      <c r="E87" s="8" t="s">
        <v>406</v>
      </c>
    </row>
    <row r="88" spans="1:7">
      <c r="A88" s="103"/>
      <c r="B88" s="3" t="s">
        <v>117</v>
      </c>
      <c r="C88" s="6" t="s">
        <v>117</v>
      </c>
      <c r="D88" s="7"/>
      <c r="E88" s="8" t="s">
        <v>407</v>
      </c>
    </row>
    <row r="89" spans="1:7">
      <c r="A89" s="103"/>
      <c r="B89" s="3" t="s">
        <v>118</v>
      </c>
      <c r="C89" s="6" t="s">
        <v>128</v>
      </c>
      <c r="D89" s="7"/>
      <c r="E89" s="8" t="s">
        <v>408</v>
      </c>
    </row>
    <row r="90" spans="1:7">
      <c r="A90" s="103"/>
      <c r="B90" s="3" t="s">
        <v>119</v>
      </c>
      <c r="C90" s="6" t="s">
        <v>118</v>
      </c>
      <c r="D90" s="7"/>
      <c r="E90" s="8" t="s">
        <v>409</v>
      </c>
    </row>
    <row r="91" spans="1:7">
      <c r="A91" s="103"/>
      <c r="B91" s="3" t="s">
        <v>120</v>
      </c>
      <c r="C91" s="6" t="s">
        <v>123</v>
      </c>
      <c r="D91" s="7"/>
      <c r="E91" s="8" t="s">
        <v>410</v>
      </c>
    </row>
    <row r="92" spans="1:7">
      <c r="A92" s="103"/>
      <c r="B92" s="3" t="s">
        <v>121</v>
      </c>
      <c r="C92" s="6" t="s">
        <v>119</v>
      </c>
      <c r="D92" s="7"/>
      <c r="E92" s="8" t="s">
        <v>411</v>
      </c>
    </row>
    <row r="93" spans="1:7">
      <c r="A93" s="103"/>
      <c r="B93" s="3" t="s">
        <v>122</v>
      </c>
      <c r="C93" s="6" t="s">
        <v>129</v>
      </c>
      <c r="D93" s="7"/>
      <c r="E93" s="8" t="s">
        <v>412</v>
      </c>
    </row>
    <row r="94" spans="1:7">
      <c r="A94" s="103"/>
      <c r="B94" s="3" t="s">
        <v>123</v>
      </c>
      <c r="C94" s="6" t="s">
        <v>124</v>
      </c>
      <c r="D94" s="7"/>
      <c r="E94" s="8" t="s">
        <v>413</v>
      </c>
    </row>
    <row r="95" spans="1:7">
      <c r="A95" s="103"/>
      <c r="B95" s="3" t="s">
        <v>124</v>
      </c>
      <c r="C95" s="6" t="s">
        <v>126</v>
      </c>
      <c r="D95" s="7"/>
      <c r="E95" s="8" t="s">
        <v>414</v>
      </c>
    </row>
    <row r="96" spans="1:7">
      <c r="A96" s="103"/>
      <c r="B96" s="3" t="s">
        <v>125</v>
      </c>
      <c r="C96" s="6" t="s">
        <v>127</v>
      </c>
      <c r="D96" s="7" t="s">
        <v>667</v>
      </c>
      <c r="E96" s="8" t="s">
        <v>415</v>
      </c>
      <c r="F96" s="3">
        <f>102000/2</f>
        <v>51000</v>
      </c>
      <c r="G96" s="9">
        <f>F96/(F96+F98)</f>
        <v>6.8965517241379309E-2</v>
      </c>
    </row>
    <row r="97" spans="1:7">
      <c r="A97" s="103"/>
      <c r="B97" s="3" t="s">
        <v>126</v>
      </c>
      <c r="C97" s="6" t="s">
        <v>121</v>
      </c>
      <c r="D97" s="7"/>
      <c r="E97" s="8" t="s">
        <v>416</v>
      </c>
    </row>
    <row r="98" spans="1:7">
      <c r="A98" s="103"/>
      <c r="B98" s="3" t="s">
        <v>127</v>
      </c>
      <c r="C98" s="6" t="s">
        <v>125</v>
      </c>
      <c r="D98" s="7" t="s">
        <v>666</v>
      </c>
      <c r="E98" s="8" t="s">
        <v>417</v>
      </c>
      <c r="F98" s="3">
        <f>(675000+702000)/2</f>
        <v>688500</v>
      </c>
      <c r="G98" s="9">
        <f>F98/(F98+F96)</f>
        <v>0.93103448275862066</v>
      </c>
    </row>
    <row r="99" spans="1:7">
      <c r="A99" s="103"/>
      <c r="B99" s="3" t="s">
        <v>128</v>
      </c>
      <c r="C99" s="6" t="s">
        <v>122</v>
      </c>
      <c r="D99" s="7"/>
      <c r="E99" s="8" t="s">
        <v>418</v>
      </c>
    </row>
    <row r="100" spans="1:7">
      <c r="A100" s="103"/>
      <c r="B100" s="3" t="s">
        <v>129</v>
      </c>
      <c r="C100" s="6" t="s">
        <v>419</v>
      </c>
      <c r="D100" s="7"/>
      <c r="E100" s="8" t="s">
        <v>420</v>
      </c>
    </row>
    <row r="101" spans="1:7">
      <c r="A101" s="103"/>
      <c r="B101" s="3" t="s">
        <v>130</v>
      </c>
      <c r="C101" s="6" t="s">
        <v>130</v>
      </c>
      <c r="D101" s="7"/>
      <c r="E101" s="8" t="s">
        <v>421</v>
      </c>
    </row>
    <row r="102" spans="1:7">
      <c r="A102" s="103"/>
      <c r="C102" s="6" t="s">
        <v>116</v>
      </c>
      <c r="D102" s="7"/>
      <c r="E102" s="8" t="s">
        <v>422</v>
      </c>
    </row>
    <row r="103" spans="1:7">
      <c r="A103" s="103"/>
      <c r="C103" s="6" t="s">
        <v>423</v>
      </c>
      <c r="D103" s="7"/>
      <c r="E103" s="8" t="s">
        <v>424</v>
      </c>
    </row>
    <row r="104" spans="1:7">
      <c r="A104" s="103"/>
      <c r="C104" s="6" t="s">
        <v>425</v>
      </c>
      <c r="D104" s="7"/>
      <c r="E104" s="8" t="s">
        <v>426</v>
      </c>
    </row>
    <row r="105" spans="1:7">
      <c r="A105" s="103"/>
      <c r="C105" s="6" t="s">
        <v>427</v>
      </c>
      <c r="D105" s="7"/>
      <c r="E105" s="8" t="s">
        <v>428</v>
      </c>
    </row>
    <row r="106" spans="1:7">
      <c r="A106" s="103" t="s">
        <v>11</v>
      </c>
      <c r="B106" s="3" t="s">
        <v>131</v>
      </c>
      <c r="C106" s="6" t="s">
        <v>132</v>
      </c>
      <c r="D106" s="7"/>
      <c r="E106" s="8" t="s">
        <v>429</v>
      </c>
    </row>
    <row r="107" spans="1:7">
      <c r="A107" s="103"/>
      <c r="B107" s="3" t="s">
        <v>132</v>
      </c>
      <c r="C107" s="6" t="s">
        <v>143</v>
      </c>
      <c r="D107" s="7"/>
      <c r="E107" s="8" t="s">
        <v>430</v>
      </c>
    </row>
    <row r="108" spans="1:7">
      <c r="A108" s="103"/>
      <c r="B108" s="3" t="s">
        <v>133</v>
      </c>
      <c r="C108" s="6" t="s">
        <v>141</v>
      </c>
      <c r="D108" s="7"/>
      <c r="E108" s="8" t="s">
        <v>431</v>
      </c>
    </row>
    <row r="109" spans="1:7">
      <c r="A109" s="103"/>
      <c r="B109" s="3" t="s">
        <v>134</v>
      </c>
      <c r="C109" s="6" t="s">
        <v>138</v>
      </c>
      <c r="D109" s="7"/>
      <c r="E109" s="8" t="s">
        <v>432</v>
      </c>
    </row>
    <row r="110" spans="1:7">
      <c r="A110" s="103"/>
      <c r="B110" s="3" t="s">
        <v>135</v>
      </c>
      <c r="C110" s="12" t="s">
        <v>145</v>
      </c>
      <c r="D110" s="8"/>
      <c r="E110" s="13" t="s">
        <v>433</v>
      </c>
    </row>
    <row r="111" spans="1:7" ht="30">
      <c r="A111" s="103"/>
      <c r="B111" s="3" t="s">
        <v>136</v>
      </c>
      <c r="C111" s="12" t="s">
        <v>137</v>
      </c>
      <c r="D111" s="28" t="s">
        <v>671</v>
      </c>
      <c r="E111" s="13" t="s">
        <v>434</v>
      </c>
      <c r="F111" s="3">
        <f>(525000+425000)/2</f>
        <v>475000</v>
      </c>
      <c r="G111" s="9">
        <f>F111/(F$111+F$112+F$125+F$126)</f>
        <v>0.34050179211469533</v>
      </c>
    </row>
    <row r="112" spans="1:7">
      <c r="A112" s="103"/>
      <c r="B112" s="3" t="s">
        <v>137</v>
      </c>
      <c r="C112" s="6" t="s">
        <v>134</v>
      </c>
      <c r="D112" s="3" t="s">
        <v>668</v>
      </c>
      <c r="E112" s="8" t="s">
        <v>435</v>
      </c>
      <c r="F112" s="3">
        <f>380000/2</f>
        <v>190000</v>
      </c>
      <c r="G112" s="9">
        <f t="shared" ref="G112:G126" si="1">F112/(F$111+F$112+F$125+F$126)</f>
        <v>0.13620071684587814</v>
      </c>
    </row>
    <row r="113" spans="1:7">
      <c r="A113" s="103"/>
      <c r="B113" s="3" t="s">
        <v>138</v>
      </c>
      <c r="C113" s="6" t="s">
        <v>151</v>
      </c>
      <c r="D113" s="7"/>
      <c r="E113" s="8" t="s">
        <v>436</v>
      </c>
    </row>
    <row r="114" spans="1:7">
      <c r="A114" s="103"/>
      <c r="B114" s="3" t="s">
        <v>139</v>
      </c>
      <c r="C114" s="6" t="s">
        <v>133</v>
      </c>
      <c r="D114" s="7"/>
      <c r="E114" s="8" t="s">
        <v>437</v>
      </c>
    </row>
    <row r="115" spans="1:7">
      <c r="A115" s="103"/>
      <c r="B115" s="3" t="s">
        <v>140</v>
      </c>
      <c r="C115" s="6" t="s">
        <v>148</v>
      </c>
      <c r="D115" s="7"/>
      <c r="E115" s="8" t="s">
        <v>438</v>
      </c>
    </row>
    <row r="116" spans="1:7">
      <c r="A116" s="103"/>
      <c r="B116" s="3" t="s">
        <v>141</v>
      </c>
      <c r="C116" s="6" t="s">
        <v>135</v>
      </c>
      <c r="D116" s="7"/>
      <c r="E116" s="8" t="s">
        <v>439</v>
      </c>
    </row>
    <row r="117" spans="1:7">
      <c r="A117" s="103"/>
      <c r="B117" s="3" t="s">
        <v>142</v>
      </c>
      <c r="C117" s="6" t="s">
        <v>136</v>
      </c>
      <c r="D117" s="7"/>
      <c r="E117" s="8" t="s">
        <v>440</v>
      </c>
    </row>
    <row r="118" spans="1:7">
      <c r="A118" s="103"/>
      <c r="B118" s="3" t="s">
        <v>143</v>
      </c>
      <c r="C118" s="6" t="s">
        <v>140</v>
      </c>
      <c r="D118" s="7"/>
      <c r="E118" s="8" t="s">
        <v>441</v>
      </c>
    </row>
    <row r="119" spans="1:7">
      <c r="A119" s="103"/>
      <c r="B119" s="3" t="s">
        <v>144</v>
      </c>
      <c r="C119" s="6" t="s">
        <v>139</v>
      </c>
      <c r="D119" s="7"/>
      <c r="E119" s="8" t="s">
        <v>442</v>
      </c>
    </row>
    <row r="120" spans="1:7">
      <c r="A120" s="103"/>
      <c r="B120" s="3" t="s">
        <v>145</v>
      </c>
      <c r="C120" s="6" t="s">
        <v>142</v>
      </c>
      <c r="D120" s="7"/>
      <c r="E120" s="8" t="s">
        <v>443</v>
      </c>
    </row>
    <row r="121" spans="1:7">
      <c r="A121" s="103"/>
      <c r="B121" s="3" t="s">
        <v>146</v>
      </c>
      <c r="C121" s="6" t="s">
        <v>144</v>
      </c>
      <c r="D121" s="7"/>
      <c r="E121" s="8" t="s">
        <v>444</v>
      </c>
    </row>
    <row r="122" spans="1:7">
      <c r="A122" s="103"/>
      <c r="B122" s="3" t="s">
        <v>147</v>
      </c>
      <c r="C122" s="6" t="s">
        <v>146</v>
      </c>
      <c r="D122" s="7"/>
      <c r="E122" s="8" t="s">
        <v>445</v>
      </c>
    </row>
    <row r="123" spans="1:7">
      <c r="A123" s="103"/>
      <c r="B123" s="3" t="s">
        <v>148</v>
      </c>
      <c r="C123" s="6" t="s">
        <v>147</v>
      </c>
      <c r="D123" s="7"/>
      <c r="E123" s="8" t="s">
        <v>446</v>
      </c>
    </row>
    <row r="124" spans="1:7">
      <c r="A124" s="103"/>
      <c r="B124" s="3" t="s">
        <v>149</v>
      </c>
      <c r="C124" s="6" t="s">
        <v>150</v>
      </c>
      <c r="D124" s="7"/>
      <c r="E124" s="8" t="s">
        <v>447</v>
      </c>
    </row>
    <row r="125" spans="1:7">
      <c r="A125" s="103"/>
      <c r="B125" s="3" t="s">
        <v>150</v>
      </c>
      <c r="C125" s="6" t="s">
        <v>152</v>
      </c>
      <c r="D125" s="7" t="s">
        <v>669</v>
      </c>
      <c r="E125" s="8" t="s">
        <v>448</v>
      </c>
      <c r="F125" s="3">
        <f>250000/2</f>
        <v>125000</v>
      </c>
      <c r="G125" s="9">
        <f t="shared" si="1"/>
        <v>8.9605734767025089E-2</v>
      </c>
    </row>
    <row r="126" spans="1:7" ht="30">
      <c r="A126" s="103"/>
      <c r="B126" s="3" t="s">
        <v>151</v>
      </c>
      <c r="C126" s="6" t="s">
        <v>149</v>
      </c>
      <c r="D126" s="7" t="s">
        <v>670</v>
      </c>
      <c r="E126" s="8" t="s">
        <v>449</v>
      </c>
      <c r="F126" s="3">
        <f>(470000+740000)/2</f>
        <v>605000</v>
      </c>
      <c r="G126" s="9">
        <f t="shared" si="1"/>
        <v>0.43369175627240142</v>
      </c>
    </row>
    <row r="127" spans="1:7">
      <c r="A127" s="103"/>
      <c r="B127" s="3" t="s">
        <v>152</v>
      </c>
      <c r="C127" s="6" t="s">
        <v>131</v>
      </c>
      <c r="D127" s="7"/>
      <c r="E127" s="8" t="s">
        <v>450</v>
      </c>
    </row>
    <row r="128" spans="1:7">
      <c r="A128" s="103"/>
      <c r="C128" s="6" t="s">
        <v>451</v>
      </c>
      <c r="D128" s="7"/>
      <c r="E128" s="8" t="s">
        <v>452</v>
      </c>
    </row>
    <row r="129" spans="1:7">
      <c r="A129" s="103"/>
      <c r="C129" s="6" t="s">
        <v>453</v>
      </c>
      <c r="D129" s="7"/>
      <c r="E129" s="8" t="s">
        <v>454</v>
      </c>
    </row>
    <row r="130" spans="1:7">
      <c r="A130" s="103"/>
      <c r="C130" s="6" t="s">
        <v>455</v>
      </c>
      <c r="D130" s="7"/>
      <c r="E130" s="8" t="s">
        <v>456</v>
      </c>
    </row>
    <row r="131" spans="1:7">
      <c r="A131" s="103"/>
      <c r="C131" s="6" t="s">
        <v>457</v>
      </c>
      <c r="D131" s="7"/>
      <c r="E131" s="8" t="s">
        <v>458</v>
      </c>
    </row>
    <row r="132" spans="1:7">
      <c r="A132" s="103"/>
      <c r="C132" s="6" t="s">
        <v>459</v>
      </c>
      <c r="D132" s="7"/>
      <c r="E132" s="8" t="s">
        <v>460</v>
      </c>
    </row>
    <row r="133" spans="1:7">
      <c r="A133" s="103" t="s">
        <v>12</v>
      </c>
      <c r="B133" s="3" t="s">
        <v>153</v>
      </c>
      <c r="C133" s="13" t="s">
        <v>461</v>
      </c>
      <c r="D133" s="8"/>
      <c r="E133" s="13" t="s">
        <v>462</v>
      </c>
    </row>
    <row r="134" spans="1:7">
      <c r="A134" s="103"/>
      <c r="B134" s="3" t="s">
        <v>154</v>
      </c>
      <c r="C134" s="6" t="s">
        <v>154</v>
      </c>
      <c r="D134" s="7"/>
      <c r="E134" s="8" t="s">
        <v>463</v>
      </c>
    </row>
    <row r="135" spans="1:7">
      <c r="A135" s="103"/>
      <c r="C135" s="6" t="s">
        <v>464</v>
      </c>
      <c r="D135" s="7"/>
      <c r="E135" s="8" t="s">
        <v>465</v>
      </c>
    </row>
    <row r="136" spans="1:7">
      <c r="A136" s="103"/>
      <c r="C136" s="6" t="s">
        <v>466</v>
      </c>
      <c r="D136" s="7"/>
      <c r="E136" s="8" t="s">
        <v>467</v>
      </c>
    </row>
    <row r="137" spans="1:7">
      <c r="A137" s="103" t="s">
        <v>13</v>
      </c>
      <c r="B137" s="3" t="s">
        <v>155</v>
      </c>
      <c r="C137" s="6" t="s">
        <v>163</v>
      </c>
      <c r="D137" s="7"/>
      <c r="E137" s="8" t="s">
        <v>468</v>
      </c>
    </row>
    <row r="138" spans="1:7">
      <c r="A138" s="103"/>
      <c r="B138" s="3" t="s">
        <v>156</v>
      </c>
      <c r="C138" s="6" t="s">
        <v>156</v>
      </c>
      <c r="D138" s="7"/>
      <c r="E138" s="8" t="s">
        <v>469</v>
      </c>
    </row>
    <row r="139" spans="1:7">
      <c r="A139" s="103"/>
      <c r="B139" s="3" t="s">
        <v>157</v>
      </c>
      <c r="C139" s="6" t="s">
        <v>167</v>
      </c>
      <c r="D139" s="7"/>
      <c r="E139" s="8" t="s">
        <v>470</v>
      </c>
    </row>
    <row r="140" spans="1:7">
      <c r="A140" s="103"/>
      <c r="B140" s="3" t="s">
        <v>158</v>
      </c>
      <c r="C140" s="6" t="s">
        <v>166</v>
      </c>
      <c r="D140" s="7"/>
      <c r="E140" s="8" t="s">
        <v>471</v>
      </c>
    </row>
    <row r="141" spans="1:7">
      <c r="A141" s="103"/>
      <c r="B141" s="3" t="s">
        <v>159</v>
      </c>
      <c r="C141" s="6" t="s">
        <v>175</v>
      </c>
      <c r="D141" s="7"/>
      <c r="E141" s="8" t="s">
        <v>472</v>
      </c>
    </row>
    <row r="142" spans="1:7">
      <c r="A142" s="103"/>
      <c r="B142" s="3" t="s">
        <v>160</v>
      </c>
      <c r="C142" s="6" t="s">
        <v>164</v>
      </c>
      <c r="D142" s="7"/>
      <c r="E142" s="8" t="s">
        <v>473</v>
      </c>
    </row>
    <row r="143" spans="1:7">
      <c r="A143" s="103"/>
      <c r="B143" s="3" t="s">
        <v>161</v>
      </c>
      <c r="C143" s="6" t="s">
        <v>171</v>
      </c>
      <c r="D143" s="7"/>
      <c r="E143" s="8" t="s">
        <v>474</v>
      </c>
    </row>
    <row r="144" spans="1:7">
      <c r="A144" s="103"/>
      <c r="B144" s="3" t="s">
        <v>162</v>
      </c>
      <c r="C144" s="6" t="s">
        <v>174</v>
      </c>
      <c r="D144" s="3" t="s">
        <v>682</v>
      </c>
      <c r="E144" s="8" t="s">
        <v>475</v>
      </c>
      <c r="F144" s="3">
        <f>468000/2</f>
        <v>234000</v>
      </c>
      <c r="G144" s="9">
        <f t="shared" ref="G144:G147" si="2">F144/SUM(F$144:F$151)</f>
        <v>0.29440442864781557</v>
      </c>
    </row>
    <row r="145" spans="1:7">
      <c r="A145" s="103"/>
      <c r="B145" s="3" t="s">
        <v>163</v>
      </c>
      <c r="C145" s="6" t="s">
        <v>173</v>
      </c>
      <c r="D145" s="7"/>
      <c r="E145" s="8" t="s">
        <v>476</v>
      </c>
    </row>
    <row r="146" spans="1:7">
      <c r="A146" s="103"/>
      <c r="B146" s="3" t="s">
        <v>164</v>
      </c>
      <c r="C146" s="6" t="s">
        <v>172</v>
      </c>
      <c r="D146" s="7"/>
      <c r="E146" s="8" t="s">
        <v>477</v>
      </c>
    </row>
    <row r="147" spans="1:7">
      <c r="A147" s="103"/>
      <c r="B147" s="3" t="s">
        <v>165</v>
      </c>
      <c r="C147" s="6" t="s">
        <v>161</v>
      </c>
      <c r="D147" s="3" t="s">
        <v>683</v>
      </c>
      <c r="E147" s="8" t="s">
        <v>478</v>
      </c>
      <c r="F147" s="3">
        <f>558450/2</f>
        <v>279225</v>
      </c>
      <c r="G147" s="9">
        <f t="shared" si="2"/>
        <v>0.35130374610763376</v>
      </c>
    </row>
    <row r="148" spans="1:7">
      <c r="A148" s="103"/>
      <c r="B148" s="3" t="s">
        <v>166</v>
      </c>
      <c r="C148" s="6" t="s">
        <v>162</v>
      </c>
      <c r="D148" s="7"/>
      <c r="E148" s="8" t="s">
        <v>479</v>
      </c>
    </row>
    <row r="149" spans="1:7" ht="30">
      <c r="A149" s="103"/>
      <c r="B149" s="3" t="s">
        <v>167</v>
      </c>
      <c r="C149" s="6" t="s">
        <v>158</v>
      </c>
      <c r="D149" s="7"/>
      <c r="E149" s="8" t="s">
        <v>480</v>
      </c>
    </row>
    <row r="150" spans="1:7">
      <c r="A150" s="103"/>
      <c r="B150" s="3" t="s">
        <v>168</v>
      </c>
      <c r="C150" s="6" t="s">
        <v>159</v>
      </c>
      <c r="D150" s="7"/>
      <c r="E150" s="8" t="s">
        <v>481</v>
      </c>
    </row>
    <row r="151" spans="1:7">
      <c r="A151" s="103"/>
      <c r="B151" s="3" t="s">
        <v>169</v>
      </c>
      <c r="C151" s="6" t="s">
        <v>155</v>
      </c>
      <c r="D151" s="3" t="s">
        <v>684</v>
      </c>
      <c r="E151" s="8" t="s">
        <v>482</v>
      </c>
      <c r="F151" s="3">
        <f>563200/2</f>
        <v>281600</v>
      </c>
      <c r="G151" s="9">
        <f>F151/SUM(F$144:F$151)</f>
        <v>0.35429182524455066</v>
      </c>
    </row>
    <row r="152" spans="1:7">
      <c r="A152" s="103"/>
      <c r="B152" s="3" t="s">
        <v>170</v>
      </c>
      <c r="C152" s="6" t="s">
        <v>169</v>
      </c>
      <c r="D152" s="7"/>
      <c r="E152" s="8" t="s">
        <v>483</v>
      </c>
    </row>
    <row r="153" spans="1:7">
      <c r="A153" s="103"/>
      <c r="B153" s="3" t="s">
        <v>171</v>
      </c>
      <c r="C153" s="6" t="s">
        <v>170</v>
      </c>
      <c r="D153" s="7"/>
      <c r="E153" s="8" t="s">
        <v>484</v>
      </c>
    </row>
    <row r="154" spans="1:7">
      <c r="A154" s="103"/>
      <c r="B154" s="3" t="s">
        <v>172</v>
      </c>
      <c r="C154" s="6" t="s">
        <v>160</v>
      </c>
      <c r="D154" s="7"/>
      <c r="E154" s="8" t="s">
        <v>485</v>
      </c>
    </row>
    <row r="155" spans="1:7">
      <c r="A155" s="103"/>
      <c r="B155" s="3" t="s">
        <v>173</v>
      </c>
      <c r="C155" s="6" t="s">
        <v>157</v>
      </c>
      <c r="D155" s="7"/>
      <c r="E155" s="8" t="s">
        <v>486</v>
      </c>
    </row>
    <row r="156" spans="1:7">
      <c r="A156" s="103"/>
      <c r="B156" s="3" t="s">
        <v>174</v>
      </c>
      <c r="C156" s="6" t="s">
        <v>165</v>
      </c>
      <c r="D156" s="7"/>
      <c r="E156" s="8" t="s">
        <v>487</v>
      </c>
    </row>
    <row r="157" spans="1:7">
      <c r="A157" s="103"/>
      <c r="B157" s="3" t="s">
        <v>175</v>
      </c>
      <c r="C157" s="6" t="s">
        <v>168</v>
      </c>
      <c r="D157" s="7"/>
      <c r="E157" s="8" t="s">
        <v>488</v>
      </c>
    </row>
    <row r="158" spans="1:7">
      <c r="A158" s="29" t="s">
        <v>625</v>
      </c>
      <c r="C158" s="6" t="s">
        <v>489</v>
      </c>
      <c r="D158" s="7"/>
      <c r="E158" s="8" t="s">
        <v>490</v>
      </c>
    </row>
    <row r="159" spans="1:7">
      <c r="A159" s="29" t="s">
        <v>14</v>
      </c>
      <c r="B159" s="3" t="s">
        <v>176</v>
      </c>
      <c r="C159" s="6" t="s">
        <v>176</v>
      </c>
      <c r="D159" s="7"/>
      <c r="E159" s="8" t="s">
        <v>491</v>
      </c>
    </row>
    <row r="160" spans="1:7">
      <c r="A160" s="103" t="s">
        <v>624</v>
      </c>
      <c r="B160" s="4" t="s">
        <v>492</v>
      </c>
      <c r="C160" s="6" t="s">
        <v>492</v>
      </c>
      <c r="D160" s="7"/>
      <c r="E160" s="8" t="s">
        <v>493</v>
      </c>
    </row>
    <row r="161" spans="1:7">
      <c r="A161" s="103"/>
      <c r="B161" s="4" t="s">
        <v>494</v>
      </c>
      <c r="C161" s="6" t="s">
        <v>494</v>
      </c>
      <c r="D161" s="7"/>
      <c r="E161" s="8" t="s">
        <v>495</v>
      </c>
    </row>
    <row r="162" spans="1:7">
      <c r="A162" s="29" t="s">
        <v>15</v>
      </c>
      <c r="B162" s="3" t="s">
        <v>177</v>
      </c>
      <c r="C162" s="6" t="s">
        <v>177</v>
      </c>
      <c r="D162" s="7"/>
      <c r="E162" s="8" t="s">
        <v>15</v>
      </c>
    </row>
    <row r="163" spans="1:7">
      <c r="A163" s="103" t="s">
        <v>16</v>
      </c>
      <c r="B163" s="3" t="s">
        <v>178</v>
      </c>
      <c r="C163" s="6" t="s">
        <v>182</v>
      </c>
      <c r="D163" s="7"/>
      <c r="E163" s="8" t="s">
        <v>496</v>
      </c>
    </row>
    <row r="164" spans="1:7">
      <c r="A164" s="103"/>
      <c r="B164" s="3" t="s">
        <v>179</v>
      </c>
      <c r="C164" s="6" t="s">
        <v>181</v>
      </c>
      <c r="D164" s="7"/>
      <c r="E164" s="8" t="s">
        <v>497</v>
      </c>
    </row>
    <row r="165" spans="1:7">
      <c r="A165" s="103"/>
      <c r="B165" s="3" t="s">
        <v>180</v>
      </c>
      <c r="C165" s="6" t="s">
        <v>180</v>
      </c>
      <c r="D165" s="7"/>
      <c r="E165" s="8" t="s">
        <v>498</v>
      </c>
    </row>
    <row r="166" spans="1:7">
      <c r="A166" s="103"/>
      <c r="B166" s="3" t="s">
        <v>181</v>
      </c>
      <c r="C166" s="6" t="s">
        <v>179</v>
      </c>
      <c r="D166" s="7"/>
      <c r="E166" s="8" t="s">
        <v>499</v>
      </c>
    </row>
    <row r="167" spans="1:7">
      <c r="A167" s="103"/>
      <c r="B167" s="3" t="s">
        <v>182</v>
      </c>
      <c r="C167" s="6" t="s">
        <v>184</v>
      </c>
      <c r="D167" s="7"/>
      <c r="E167" s="8" t="s">
        <v>500</v>
      </c>
    </row>
    <row r="168" spans="1:7">
      <c r="A168" s="103"/>
      <c r="B168" s="3" t="s">
        <v>183</v>
      </c>
      <c r="C168" s="6" t="s">
        <v>183</v>
      </c>
      <c r="D168" s="3" t="s">
        <v>685</v>
      </c>
      <c r="E168" s="8" t="s">
        <v>501</v>
      </c>
      <c r="F168" s="3">
        <f>665000/2</f>
        <v>332500</v>
      </c>
      <c r="G168" s="9">
        <v>1</v>
      </c>
    </row>
    <row r="169" spans="1:7">
      <c r="A169" s="103"/>
      <c r="B169" s="3" t="s">
        <v>184</v>
      </c>
      <c r="C169" s="6" t="s">
        <v>178</v>
      </c>
      <c r="D169" s="7"/>
      <c r="E169" s="8" t="s">
        <v>502</v>
      </c>
    </row>
    <row r="170" spans="1:7">
      <c r="A170" s="103"/>
      <c r="B170" s="3" t="s">
        <v>185</v>
      </c>
      <c r="C170" s="6" t="s">
        <v>185</v>
      </c>
      <c r="D170" s="7"/>
      <c r="E170" s="8" t="s">
        <v>503</v>
      </c>
    </row>
    <row r="171" spans="1:7">
      <c r="A171" s="29" t="s">
        <v>505</v>
      </c>
      <c r="C171" s="6" t="s">
        <v>504</v>
      </c>
      <c r="D171" s="7"/>
      <c r="E171" s="8" t="s">
        <v>505</v>
      </c>
    </row>
    <row r="172" spans="1:7">
      <c r="A172" s="103" t="s">
        <v>17</v>
      </c>
      <c r="B172" s="3" t="s">
        <v>186</v>
      </c>
      <c r="C172" s="6" t="s">
        <v>193</v>
      </c>
      <c r="D172" s="7"/>
      <c r="E172" s="8" t="s">
        <v>506</v>
      </c>
    </row>
    <row r="173" spans="1:7">
      <c r="A173" s="103"/>
      <c r="B173" s="3" t="s">
        <v>187</v>
      </c>
      <c r="C173" s="6" t="s">
        <v>195</v>
      </c>
      <c r="D173" s="7"/>
      <c r="E173" s="8" t="s">
        <v>507</v>
      </c>
    </row>
    <row r="174" spans="1:7">
      <c r="A174" s="103"/>
      <c r="B174" s="3" t="s">
        <v>188</v>
      </c>
      <c r="C174" s="6" t="s">
        <v>197</v>
      </c>
      <c r="D174" s="7"/>
      <c r="E174" s="8" t="s">
        <v>508</v>
      </c>
    </row>
    <row r="175" spans="1:7">
      <c r="A175" s="103"/>
      <c r="B175" s="3" t="s">
        <v>189</v>
      </c>
      <c r="C175" s="6" t="s">
        <v>188</v>
      </c>
      <c r="D175" s="7"/>
      <c r="E175" s="8" t="s">
        <v>509</v>
      </c>
    </row>
    <row r="176" spans="1:7">
      <c r="A176" s="103"/>
      <c r="B176" s="3" t="s">
        <v>190</v>
      </c>
      <c r="C176" s="6" t="s">
        <v>194</v>
      </c>
      <c r="D176" s="7"/>
      <c r="E176" s="8" t="s">
        <v>510</v>
      </c>
    </row>
    <row r="177" spans="1:7">
      <c r="A177" s="103"/>
      <c r="B177" s="3" t="s">
        <v>191</v>
      </c>
      <c r="C177" s="6" t="s">
        <v>196</v>
      </c>
      <c r="D177" s="7"/>
      <c r="E177" s="8" t="s">
        <v>511</v>
      </c>
    </row>
    <row r="178" spans="1:7">
      <c r="A178" s="103"/>
      <c r="B178" s="3" t="s">
        <v>192</v>
      </c>
      <c r="C178" s="6" t="s">
        <v>190</v>
      </c>
      <c r="D178" s="7"/>
      <c r="E178" s="8" t="s">
        <v>512</v>
      </c>
    </row>
    <row r="179" spans="1:7">
      <c r="A179" s="103"/>
      <c r="B179" s="3" t="s">
        <v>193</v>
      </c>
      <c r="C179" s="6" t="s">
        <v>189</v>
      </c>
      <c r="D179" s="7"/>
      <c r="E179" s="8" t="s">
        <v>513</v>
      </c>
    </row>
    <row r="180" spans="1:7">
      <c r="A180" s="103"/>
      <c r="B180" s="3" t="s">
        <v>194</v>
      </c>
      <c r="C180" s="6" t="s">
        <v>186</v>
      </c>
      <c r="D180" s="7"/>
      <c r="E180" s="8" t="s">
        <v>514</v>
      </c>
    </row>
    <row r="181" spans="1:7">
      <c r="A181" s="103"/>
      <c r="B181" s="3" t="s">
        <v>195</v>
      </c>
      <c r="C181" s="6" t="s">
        <v>187</v>
      </c>
      <c r="D181" s="3" t="s">
        <v>681</v>
      </c>
      <c r="E181" s="8" t="s">
        <v>515</v>
      </c>
      <c r="F181" s="3">
        <f>1825000/2</f>
        <v>912500</v>
      </c>
      <c r="G181" s="9">
        <f>F181/SUM(F$181:F$183)</f>
        <v>0.4466470876162506</v>
      </c>
    </row>
    <row r="182" spans="1:7">
      <c r="A182" s="103"/>
      <c r="B182" s="3" t="s">
        <v>196</v>
      </c>
      <c r="C182" s="6" t="s">
        <v>191</v>
      </c>
      <c r="D182" s="3" t="s">
        <v>680</v>
      </c>
      <c r="E182" s="8" t="s">
        <v>516</v>
      </c>
      <c r="F182" s="3">
        <f>910000/2</f>
        <v>455000</v>
      </c>
      <c r="G182" s="9">
        <f t="shared" ref="G182:G183" si="3">F182/SUM(F$181:F$183)</f>
        <v>0.22271169848262359</v>
      </c>
    </row>
    <row r="183" spans="1:7">
      <c r="A183" s="103"/>
      <c r="B183" s="3" t="s">
        <v>197</v>
      </c>
      <c r="C183" s="6" t="s">
        <v>192</v>
      </c>
      <c r="D183" s="3" t="s">
        <v>679</v>
      </c>
      <c r="E183" s="8" t="s">
        <v>517</v>
      </c>
      <c r="F183" s="3">
        <f>1351000/2</f>
        <v>675500</v>
      </c>
      <c r="G183" s="9">
        <f t="shared" si="3"/>
        <v>0.33064121390112577</v>
      </c>
    </row>
    <row r="184" spans="1:7">
      <c r="A184" s="103" t="s">
        <v>18</v>
      </c>
      <c r="B184" s="3" t="s">
        <v>198</v>
      </c>
      <c r="C184" s="6" t="s">
        <v>206</v>
      </c>
      <c r="D184" s="7"/>
      <c r="E184" s="8" t="s">
        <v>518</v>
      </c>
    </row>
    <row r="185" spans="1:7">
      <c r="A185" s="103"/>
      <c r="B185" s="3" t="s">
        <v>199</v>
      </c>
      <c r="C185" s="6" t="s">
        <v>204</v>
      </c>
      <c r="D185" s="7" t="s">
        <v>664</v>
      </c>
      <c r="E185" s="8" t="s">
        <v>519</v>
      </c>
      <c r="F185" s="3">
        <f>500000/2</f>
        <v>250000</v>
      </c>
      <c r="G185" s="9">
        <v>1</v>
      </c>
    </row>
    <row r="186" spans="1:7">
      <c r="A186" s="103"/>
      <c r="B186" s="3" t="s">
        <v>200</v>
      </c>
      <c r="C186" s="6" t="s">
        <v>203</v>
      </c>
      <c r="D186" s="7"/>
      <c r="E186" s="8" t="s">
        <v>520</v>
      </c>
    </row>
    <row r="187" spans="1:7">
      <c r="A187" s="103"/>
      <c r="B187" s="3" t="s">
        <v>201</v>
      </c>
      <c r="C187" s="6" t="s">
        <v>205</v>
      </c>
      <c r="D187" s="7"/>
      <c r="E187" s="8" t="s">
        <v>521</v>
      </c>
    </row>
    <row r="188" spans="1:7">
      <c r="A188" s="103"/>
      <c r="B188" s="3" t="s">
        <v>202</v>
      </c>
      <c r="C188" s="6" t="s">
        <v>200</v>
      </c>
      <c r="D188" s="7"/>
      <c r="E188" s="8" t="s">
        <v>522</v>
      </c>
    </row>
    <row r="189" spans="1:7">
      <c r="A189" s="103"/>
      <c r="B189" s="3" t="s">
        <v>203</v>
      </c>
      <c r="C189" s="6" t="s">
        <v>202</v>
      </c>
      <c r="D189" s="7"/>
      <c r="E189" s="8" t="s">
        <v>523</v>
      </c>
    </row>
    <row r="190" spans="1:7">
      <c r="A190" s="103"/>
      <c r="B190" s="3" t="s">
        <v>204</v>
      </c>
      <c r="C190" s="6" t="s">
        <v>201</v>
      </c>
      <c r="D190" s="7"/>
      <c r="E190" s="8" t="s">
        <v>524</v>
      </c>
    </row>
    <row r="191" spans="1:7">
      <c r="A191" s="103"/>
      <c r="B191" s="3" t="s">
        <v>205</v>
      </c>
      <c r="C191" s="6" t="s">
        <v>199</v>
      </c>
      <c r="D191" s="7"/>
      <c r="E191" s="8" t="s">
        <v>525</v>
      </c>
    </row>
    <row r="192" spans="1:7">
      <c r="A192" s="103"/>
      <c r="B192" s="3" t="s">
        <v>206</v>
      </c>
      <c r="C192" s="6" t="s">
        <v>198</v>
      </c>
      <c r="D192" s="7"/>
      <c r="E192" s="8" t="s">
        <v>526</v>
      </c>
    </row>
    <row r="193" spans="1:5">
      <c r="A193" s="103" t="s">
        <v>19</v>
      </c>
      <c r="B193" s="3" t="s">
        <v>207</v>
      </c>
      <c r="C193" s="6" t="s">
        <v>219</v>
      </c>
      <c r="D193" s="7"/>
      <c r="E193" s="8" t="s">
        <v>527</v>
      </c>
    </row>
    <row r="194" spans="1:5">
      <c r="A194" s="103"/>
      <c r="B194" s="3" t="s">
        <v>208</v>
      </c>
      <c r="C194" s="6" t="s">
        <v>210</v>
      </c>
      <c r="D194" s="7"/>
      <c r="E194" s="8" t="s">
        <v>528</v>
      </c>
    </row>
    <row r="195" spans="1:5">
      <c r="A195" s="103"/>
      <c r="B195" s="3" t="s">
        <v>209</v>
      </c>
      <c r="C195" s="6" t="s">
        <v>221</v>
      </c>
      <c r="D195" s="7"/>
      <c r="E195" s="8" t="s">
        <v>529</v>
      </c>
    </row>
    <row r="196" spans="1:5">
      <c r="A196" s="103"/>
      <c r="B196" s="3" t="s">
        <v>210</v>
      </c>
      <c r="C196" s="6" t="s">
        <v>207</v>
      </c>
      <c r="D196" s="7"/>
      <c r="E196" s="8" t="s">
        <v>530</v>
      </c>
    </row>
    <row r="197" spans="1:5">
      <c r="A197" s="103"/>
      <c r="B197" s="3" t="s">
        <v>211</v>
      </c>
      <c r="C197" s="6" t="s">
        <v>216</v>
      </c>
      <c r="D197" s="7"/>
      <c r="E197" s="8" t="s">
        <v>531</v>
      </c>
    </row>
    <row r="198" spans="1:5">
      <c r="A198" s="103"/>
      <c r="B198" s="3" t="s">
        <v>212</v>
      </c>
      <c r="C198" s="6" t="s">
        <v>218</v>
      </c>
      <c r="D198" s="7"/>
      <c r="E198" s="8" t="s">
        <v>532</v>
      </c>
    </row>
    <row r="199" spans="1:5">
      <c r="A199" s="103"/>
      <c r="B199" s="3" t="s">
        <v>213</v>
      </c>
      <c r="C199" s="6" t="s">
        <v>213</v>
      </c>
      <c r="D199" s="7"/>
      <c r="E199" s="8" t="s">
        <v>533</v>
      </c>
    </row>
    <row r="200" spans="1:5">
      <c r="A200" s="103"/>
      <c r="B200" s="3" t="s">
        <v>214</v>
      </c>
      <c r="C200" s="6" t="s">
        <v>220</v>
      </c>
      <c r="D200" s="7"/>
      <c r="E200" s="8" t="s">
        <v>534</v>
      </c>
    </row>
    <row r="201" spans="1:5">
      <c r="A201" s="103"/>
      <c r="B201" s="3" t="s">
        <v>215</v>
      </c>
      <c r="C201" s="6" t="s">
        <v>208</v>
      </c>
      <c r="D201" s="7"/>
      <c r="E201" s="8" t="s">
        <v>535</v>
      </c>
    </row>
    <row r="202" spans="1:5">
      <c r="A202" s="103"/>
      <c r="B202" s="3" t="s">
        <v>216</v>
      </c>
      <c r="C202" s="6" t="s">
        <v>211</v>
      </c>
      <c r="D202" s="7"/>
      <c r="E202" s="8" t="s">
        <v>536</v>
      </c>
    </row>
    <row r="203" spans="1:5">
      <c r="A203" s="103"/>
      <c r="B203" s="3" t="s">
        <v>217</v>
      </c>
      <c r="C203" s="6" t="s">
        <v>223</v>
      </c>
      <c r="D203" s="7"/>
      <c r="E203" s="8" t="s">
        <v>537</v>
      </c>
    </row>
    <row r="204" spans="1:5">
      <c r="A204" s="103"/>
      <c r="B204" s="3" t="s">
        <v>218</v>
      </c>
      <c r="C204" s="6" t="s">
        <v>222</v>
      </c>
      <c r="D204" s="7"/>
      <c r="E204" s="8" t="s">
        <v>538</v>
      </c>
    </row>
    <row r="205" spans="1:5">
      <c r="A205" s="103"/>
      <c r="B205" s="3" t="s">
        <v>219</v>
      </c>
      <c r="C205" s="6" t="s">
        <v>217</v>
      </c>
      <c r="D205" s="7"/>
      <c r="E205" s="8" t="s">
        <v>539</v>
      </c>
    </row>
    <row r="206" spans="1:5">
      <c r="A206" s="103"/>
      <c r="B206" s="3" t="s">
        <v>220</v>
      </c>
      <c r="C206" s="6" t="s">
        <v>209</v>
      </c>
      <c r="D206" s="7"/>
      <c r="E206" s="8" t="s">
        <v>540</v>
      </c>
    </row>
    <row r="207" spans="1:5">
      <c r="A207" s="103"/>
      <c r="B207" s="3" t="s">
        <v>221</v>
      </c>
      <c r="C207" s="6" t="s">
        <v>212</v>
      </c>
      <c r="D207" s="7"/>
      <c r="E207" s="8" t="s">
        <v>541</v>
      </c>
    </row>
    <row r="208" spans="1:5">
      <c r="A208" s="103"/>
      <c r="B208" s="3" t="s">
        <v>222</v>
      </c>
      <c r="C208" s="6" t="s">
        <v>214</v>
      </c>
      <c r="D208" s="7"/>
      <c r="E208" s="8" t="s">
        <v>542</v>
      </c>
    </row>
    <row r="209" spans="1:7">
      <c r="A209" s="103"/>
      <c r="B209" s="3" t="s">
        <v>223</v>
      </c>
      <c r="C209" s="6" t="s">
        <v>215</v>
      </c>
      <c r="D209" s="3" t="s">
        <v>678</v>
      </c>
      <c r="E209" s="8" t="s">
        <v>543</v>
      </c>
      <c r="F209" s="3">
        <f>700000/2</f>
        <v>350000</v>
      </c>
      <c r="G209" s="9">
        <v>1</v>
      </c>
    </row>
    <row r="210" spans="1:7">
      <c r="A210" s="103" t="s">
        <v>20</v>
      </c>
      <c r="B210" s="3" t="s">
        <v>224</v>
      </c>
      <c r="C210" s="6" t="s">
        <v>226</v>
      </c>
      <c r="D210" s="7"/>
      <c r="E210" s="8" t="s">
        <v>544</v>
      </c>
    </row>
    <row r="211" spans="1:7">
      <c r="A211" s="103"/>
      <c r="B211" s="3" t="s">
        <v>225</v>
      </c>
      <c r="C211" s="6" t="s">
        <v>225</v>
      </c>
      <c r="D211" s="7"/>
      <c r="E211" s="8" t="s">
        <v>545</v>
      </c>
    </row>
    <row r="212" spans="1:7">
      <c r="A212" s="103"/>
      <c r="B212" s="3" t="s">
        <v>226</v>
      </c>
      <c r="C212" s="6" t="s">
        <v>228</v>
      </c>
      <c r="D212" s="7"/>
      <c r="E212" s="8" t="s">
        <v>546</v>
      </c>
    </row>
    <row r="213" spans="1:7">
      <c r="A213" s="103"/>
      <c r="B213" s="3" t="s">
        <v>227</v>
      </c>
      <c r="C213" s="6" t="s">
        <v>224</v>
      </c>
      <c r="D213" s="7"/>
      <c r="E213" s="8" t="s">
        <v>547</v>
      </c>
    </row>
    <row r="214" spans="1:7">
      <c r="A214" s="103"/>
      <c r="B214" s="3" t="s">
        <v>228</v>
      </c>
      <c r="C214" s="6" t="s">
        <v>227</v>
      </c>
      <c r="D214" s="3" t="s">
        <v>677</v>
      </c>
      <c r="E214" s="8" t="s">
        <v>548</v>
      </c>
      <c r="F214" s="3">
        <f>1000000/2</f>
        <v>500000</v>
      </c>
      <c r="G214" s="9">
        <v>1</v>
      </c>
    </row>
    <row r="215" spans="1:7">
      <c r="A215" s="103"/>
      <c r="C215" s="6" t="s">
        <v>549</v>
      </c>
      <c r="D215" s="7"/>
      <c r="E215" s="8" t="s">
        <v>550</v>
      </c>
    </row>
    <row r="216" spans="1:7">
      <c r="A216" s="103"/>
      <c r="C216" s="6" t="s">
        <v>551</v>
      </c>
      <c r="D216" s="7"/>
      <c r="E216" s="8" t="s">
        <v>552</v>
      </c>
    </row>
    <row r="217" spans="1:7">
      <c r="A217" s="103" t="s">
        <v>21</v>
      </c>
      <c r="B217" s="3" t="s">
        <v>229</v>
      </c>
      <c r="C217" s="6" t="s">
        <v>231</v>
      </c>
      <c r="D217" s="7"/>
      <c r="E217" s="8" t="s">
        <v>553</v>
      </c>
    </row>
    <row r="218" spans="1:7">
      <c r="A218" s="103"/>
      <c r="B218" s="3" t="s">
        <v>230</v>
      </c>
      <c r="C218" s="6" t="s">
        <v>236</v>
      </c>
      <c r="D218" s="7"/>
      <c r="E218" s="8" t="s">
        <v>554</v>
      </c>
    </row>
    <row r="219" spans="1:7">
      <c r="A219" s="103"/>
      <c r="B219" s="3" t="s">
        <v>231</v>
      </c>
      <c r="C219" s="6" t="s">
        <v>232</v>
      </c>
      <c r="D219" s="7"/>
      <c r="E219" s="8" t="s">
        <v>555</v>
      </c>
    </row>
    <row r="220" spans="1:7">
      <c r="A220" s="103"/>
      <c r="B220" s="3" t="s">
        <v>232</v>
      </c>
      <c r="C220" s="6" t="s">
        <v>230</v>
      </c>
      <c r="D220" s="7"/>
      <c r="E220" s="8" t="s">
        <v>556</v>
      </c>
    </row>
    <row r="221" spans="1:7">
      <c r="A221" s="103"/>
      <c r="B221" s="3" t="s">
        <v>233</v>
      </c>
      <c r="C221" s="6" t="s">
        <v>234</v>
      </c>
      <c r="D221" s="7"/>
      <c r="E221" s="8" t="s">
        <v>557</v>
      </c>
    </row>
    <row r="222" spans="1:7">
      <c r="A222" s="103"/>
      <c r="B222" s="3" t="s">
        <v>234</v>
      </c>
      <c r="C222" s="6" t="s">
        <v>233</v>
      </c>
      <c r="D222" s="7"/>
      <c r="E222" s="8" t="s">
        <v>558</v>
      </c>
    </row>
    <row r="223" spans="1:7">
      <c r="A223" s="103"/>
      <c r="B223" s="3" t="s">
        <v>235</v>
      </c>
      <c r="C223" s="6" t="s">
        <v>229</v>
      </c>
      <c r="D223" s="7"/>
      <c r="E223" s="8" t="s">
        <v>559</v>
      </c>
    </row>
    <row r="224" spans="1:7">
      <c r="A224" s="103"/>
      <c r="B224" s="3" t="s">
        <v>236</v>
      </c>
      <c r="C224" s="6" t="s">
        <v>235</v>
      </c>
      <c r="D224" s="7"/>
      <c r="E224" s="8" t="s">
        <v>560</v>
      </c>
    </row>
    <row r="225" spans="1:7">
      <c r="A225" s="103" t="s">
        <v>22</v>
      </c>
      <c r="B225" s="3" t="s">
        <v>237</v>
      </c>
      <c r="C225" s="6" t="s">
        <v>237</v>
      </c>
      <c r="D225" s="7"/>
      <c r="E225" s="8" t="s">
        <v>561</v>
      </c>
    </row>
    <row r="226" spans="1:7">
      <c r="A226" s="103"/>
      <c r="B226" s="3" t="s">
        <v>238</v>
      </c>
      <c r="C226" s="6" t="s">
        <v>238</v>
      </c>
      <c r="D226" s="7"/>
      <c r="E226" s="8" t="s">
        <v>562</v>
      </c>
    </row>
    <row r="227" spans="1:7">
      <c r="A227" s="103" t="s">
        <v>23</v>
      </c>
      <c r="B227" s="3" t="s">
        <v>239</v>
      </c>
      <c r="C227" s="6" t="s">
        <v>241</v>
      </c>
      <c r="D227" s="7" t="s">
        <v>676</v>
      </c>
      <c r="E227" s="8" t="s">
        <v>563</v>
      </c>
      <c r="F227" s="3">
        <f>220000/2</f>
        <v>110000</v>
      </c>
      <c r="G227" s="9">
        <v>1</v>
      </c>
    </row>
    <row r="228" spans="1:7">
      <c r="A228" s="103"/>
      <c r="B228" s="3" t="s">
        <v>240</v>
      </c>
      <c r="C228" s="6" t="s">
        <v>239</v>
      </c>
      <c r="D228" s="7"/>
      <c r="E228" s="8" t="s">
        <v>564</v>
      </c>
    </row>
    <row r="229" spans="1:7">
      <c r="A229" s="103"/>
      <c r="B229" s="3" t="s">
        <v>241</v>
      </c>
      <c r="C229" s="6" t="s">
        <v>242</v>
      </c>
      <c r="D229" s="7"/>
      <c r="E229" s="8" t="s">
        <v>565</v>
      </c>
    </row>
    <row r="230" spans="1:7">
      <c r="A230" s="103"/>
      <c r="B230" s="3" t="s">
        <v>242</v>
      </c>
      <c r="C230" s="6" t="s">
        <v>240</v>
      </c>
      <c r="D230" s="7"/>
      <c r="E230" s="8" t="s">
        <v>566</v>
      </c>
    </row>
    <row r="231" spans="1:7">
      <c r="A231" s="103" t="s">
        <v>24</v>
      </c>
      <c r="B231" s="3" t="s">
        <v>243</v>
      </c>
      <c r="C231" s="6" t="s">
        <v>243</v>
      </c>
      <c r="D231" s="7"/>
      <c r="E231" s="8" t="s">
        <v>567</v>
      </c>
    </row>
    <row r="232" spans="1:7">
      <c r="A232" s="103"/>
      <c r="B232" s="3" t="s">
        <v>244</v>
      </c>
      <c r="C232" s="6" t="s">
        <v>245</v>
      </c>
      <c r="D232" s="7" t="s">
        <v>665</v>
      </c>
      <c r="E232" s="8" t="s">
        <v>568</v>
      </c>
      <c r="F232" s="3">
        <f>420000/2</f>
        <v>210000</v>
      </c>
      <c r="G232" s="9">
        <v>1</v>
      </c>
    </row>
    <row r="233" spans="1:7">
      <c r="A233" s="103"/>
      <c r="B233" s="3" t="s">
        <v>245</v>
      </c>
      <c r="C233" s="6" t="s">
        <v>244</v>
      </c>
      <c r="D233" s="7"/>
      <c r="E233" s="8" t="s">
        <v>569</v>
      </c>
    </row>
    <row r="234" spans="1:7">
      <c r="A234" s="103"/>
      <c r="B234" s="3" t="s">
        <v>246</v>
      </c>
      <c r="C234" s="6" t="s">
        <v>246</v>
      </c>
      <c r="D234" s="7"/>
      <c r="E234" s="8" t="s">
        <v>570</v>
      </c>
    </row>
    <row r="235" spans="1:7">
      <c r="A235" s="103"/>
      <c r="C235" s="6" t="s">
        <v>571</v>
      </c>
      <c r="D235" s="7"/>
      <c r="E235" s="8" t="s">
        <v>572</v>
      </c>
    </row>
    <row r="236" spans="1:7">
      <c r="A236" s="103" t="s">
        <v>25</v>
      </c>
      <c r="B236" s="3" t="s">
        <v>247</v>
      </c>
      <c r="C236" s="6" t="s">
        <v>247</v>
      </c>
      <c r="D236" s="7"/>
      <c r="E236" s="8" t="s">
        <v>573</v>
      </c>
    </row>
    <row r="237" spans="1:7">
      <c r="A237" s="103"/>
      <c r="B237" s="3" t="s">
        <v>248</v>
      </c>
      <c r="C237" s="6" t="s">
        <v>248</v>
      </c>
      <c r="D237" s="7"/>
      <c r="E237" s="8" t="s">
        <v>574</v>
      </c>
    </row>
    <row r="238" spans="1:7">
      <c r="A238" s="103"/>
      <c r="B238" s="3" t="s">
        <v>249</v>
      </c>
      <c r="C238" s="6" t="s">
        <v>252</v>
      </c>
      <c r="D238" s="7"/>
      <c r="E238" s="8" t="s">
        <v>575</v>
      </c>
    </row>
    <row r="239" spans="1:7">
      <c r="A239" s="103"/>
      <c r="B239" s="3" t="s">
        <v>250</v>
      </c>
      <c r="C239" s="6" t="s">
        <v>254</v>
      </c>
      <c r="D239" s="7"/>
      <c r="E239" s="8" t="s">
        <v>576</v>
      </c>
    </row>
    <row r="240" spans="1:7">
      <c r="A240" s="103"/>
      <c r="B240" s="3" t="s">
        <v>251</v>
      </c>
      <c r="C240" s="6" t="s">
        <v>251</v>
      </c>
      <c r="D240" s="3" t="s">
        <v>672</v>
      </c>
      <c r="E240" s="8" t="s">
        <v>577</v>
      </c>
      <c r="F240" s="3">
        <f>625000/2</f>
        <v>312500</v>
      </c>
      <c r="G240" s="9">
        <v>1</v>
      </c>
    </row>
    <row r="241" spans="1:7">
      <c r="A241" s="103"/>
      <c r="B241" s="3" t="s">
        <v>252</v>
      </c>
      <c r="C241" s="6" t="s">
        <v>253</v>
      </c>
      <c r="D241" s="7"/>
      <c r="E241" s="8" t="s">
        <v>578</v>
      </c>
    </row>
    <row r="242" spans="1:7">
      <c r="A242" s="103"/>
      <c r="B242" s="3" t="s">
        <v>253</v>
      </c>
      <c r="C242" s="6" t="s">
        <v>250</v>
      </c>
      <c r="D242" s="7"/>
      <c r="E242" s="8" t="s">
        <v>579</v>
      </c>
    </row>
    <row r="243" spans="1:7">
      <c r="A243" s="103"/>
      <c r="B243" s="3" t="s">
        <v>254</v>
      </c>
      <c r="C243" s="6" t="s">
        <v>249</v>
      </c>
      <c r="D243" s="7"/>
      <c r="E243" s="8" t="s">
        <v>580</v>
      </c>
    </row>
    <row r="244" spans="1:7">
      <c r="A244" s="103" t="s">
        <v>26</v>
      </c>
      <c r="B244" s="3" t="s">
        <v>255</v>
      </c>
      <c r="C244" s="6" t="s">
        <v>294</v>
      </c>
      <c r="D244" s="3" t="s">
        <v>675</v>
      </c>
      <c r="E244" s="8" t="s">
        <v>581</v>
      </c>
      <c r="F244" s="3">
        <f>865000/2</f>
        <v>432500</v>
      </c>
      <c r="G244" s="9">
        <f>F244/(F244+F281)</f>
        <v>0.37044967880085655</v>
      </c>
    </row>
    <row r="245" spans="1:7">
      <c r="A245" s="103"/>
      <c r="B245" s="3" t="s">
        <v>256</v>
      </c>
      <c r="C245" s="6" t="s">
        <v>268</v>
      </c>
      <c r="D245" s="7"/>
      <c r="E245" s="8" t="s">
        <v>582</v>
      </c>
    </row>
    <row r="246" spans="1:7">
      <c r="A246" s="103"/>
      <c r="B246" s="3" t="s">
        <v>257</v>
      </c>
      <c r="C246" s="6" t="s">
        <v>280</v>
      </c>
      <c r="D246" s="7"/>
      <c r="E246" s="8" t="s">
        <v>583</v>
      </c>
    </row>
    <row r="247" spans="1:7">
      <c r="A247" s="103"/>
      <c r="B247" s="3" t="s">
        <v>258</v>
      </c>
      <c r="C247" s="6" t="s">
        <v>270</v>
      </c>
      <c r="D247" s="7"/>
      <c r="E247" s="8" t="s">
        <v>584</v>
      </c>
    </row>
    <row r="248" spans="1:7">
      <c r="A248" s="103"/>
      <c r="B248" s="3" t="s">
        <v>259</v>
      </c>
      <c r="C248" s="6" t="s">
        <v>285</v>
      </c>
      <c r="D248" s="7"/>
      <c r="E248" s="8" t="s">
        <v>585</v>
      </c>
    </row>
    <row r="249" spans="1:7">
      <c r="A249" s="103"/>
      <c r="B249" s="3" t="s">
        <v>260</v>
      </c>
      <c r="C249" s="6" t="s">
        <v>264</v>
      </c>
      <c r="D249" s="7"/>
      <c r="E249" s="8" t="s">
        <v>586</v>
      </c>
    </row>
    <row r="250" spans="1:7">
      <c r="A250" s="103"/>
      <c r="B250" s="3" t="s">
        <v>261</v>
      </c>
      <c r="C250" s="6" t="s">
        <v>269</v>
      </c>
      <c r="D250" s="7"/>
      <c r="E250" s="8" t="s">
        <v>587</v>
      </c>
    </row>
    <row r="251" spans="1:7" ht="30">
      <c r="A251" s="103"/>
      <c r="B251" s="3" t="s">
        <v>262</v>
      </c>
      <c r="C251" s="6" t="s">
        <v>277</v>
      </c>
      <c r="D251" s="7"/>
      <c r="E251" s="8" t="s">
        <v>588</v>
      </c>
    </row>
    <row r="252" spans="1:7">
      <c r="A252" s="103"/>
      <c r="B252" s="3" t="s">
        <v>263</v>
      </c>
      <c r="C252" s="6" t="s">
        <v>295</v>
      </c>
      <c r="D252" s="7"/>
      <c r="E252" s="8" t="s">
        <v>589</v>
      </c>
    </row>
    <row r="253" spans="1:7">
      <c r="A253" s="103"/>
      <c r="B253" s="3" t="s">
        <v>264</v>
      </c>
      <c r="C253" s="6" t="s">
        <v>266</v>
      </c>
      <c r="D253" s="7"/>
      <c r="E253" s="8" t="s">
        <v>590</v>
      </c>
    </row>
    <row r="254" spans="1:7">
      <c r="A254" s="103"/>
      <c r="B254" s="3" t="s">
        <v>265</v>
      </c>
      <c r="C254" s="6" t="s">
        <v>263</v>
      </c>
      <c r="D254" s="7"/>
      <c r="E254" s="8" t="s">
        <v>591</v>
      </c>
    </row>
    <row r="255" spans="1:7">
      <c r="A255" s="103"/>
      <c r="B255" s="3" t="s">
        <v>266</v>
      </c>
      <c r="C255" s="6" t="s">
        <v>279</v>
      </c>
      <c r="D255" s="7"/>
      <c r="E255" s="8" t="s">
        <v>592</v>
      </c>
    </row>
    <row r="256" spans="1:7" ht="30">
      <c r="A256" s="103"/>
      <c r="B256" s="3" t="s">
        <v>267</v>
      </c>
      <c r="C256" s="6" t="s">
        <v>272</v>
      </c>
      <c r="D256" s="7"/>
      <c r="E256" s="8" t="s">
        <v>593</v>
      </c>
    </row>
    <row r="257" spans="1:5">
      <c r="A257" s="103"/>
      <c r="B257" s="3" t="s">
        <v>268</v>
      </c>
      <c r="C257" s="6" t="s">
        <v>271</v>
      </c>
      <c r="D257" s="7"/>
      <c r="E257" s="8" t="s">
        <v>594</v>
      </c>
    </row>
    <row r="258" spans="1:5" ht="30">
      <c r="A258" s="103"/>
      <c r="B258" s="3" t="s">
        <v>269</v>
      </c>
      <c r="C258" s="6" t="s">
        <v>275</v>
      </c>
      <c r="D258" s="7"/>
      <c r="E258" s="8" t="s">
        <v>595</v>
      </c>
    </row>
    <row r="259" spans="1:5">
      <c r="A259" s="103"/>
      <c r="B259" s="3" t="s">
        <v>270</v>
      </c>
      <c r="C259" s="6" t="s">
        <v>267</v>
      </c>
      <c r="D259" s="7"/>
      <c r="E259" s="8" t="s">
        <v>596</v>
      </c>
    </row>
    <row r="260" spans="1:5">
      <c r="A260" s="103"/>
      <c r="B260" s="3" t="s">
        <v>271</v>
      </c>
      <c r="C260" s="6" t="s">
        <v>274</v>
      </c>
      <c r="D260" s="7"/>
      <c r="E260" s="8" t="s">
        <v>597</v>
      </c>
    </row>
    <row r="261" spans="1:5">
      <c r="A261" s="103"/>
      <c r="B261" s="3" t="s">
        <v>272</v>
      </c>
      <c r="C261" s="6" t="s">
        <v>282</v>
      </c>
      <c r="D261" s="7"/>
      <c r="E261" s="8" t="s">
        <v>598</v>
      </c>
    </row>
    <row r="262" spans="1:5">
      <c r="A262" s="103"/>
      <c r="B262" s="3" t="s">
        <v>273</v>
      </c>
      <c r="C262" s="6" t="s">
        <v>287</v>
      </c>
      <c r="D262" s="7"/>
      <c r="E262" s="8" t="s">
        <v>599</v>
      </c>
    </row>
    <row r="263" spans="1:5">
      <c r="A263" s="103"/>
      <c r="B263" s="3" t="s">
        <v>274</v>
      </c>
      <c r="C263" s="6" t="s">
        <v>265</v>
      </c>
      <c r="D263" s="7"/>
      <c r="E263" s="8" t="s">
        <v>600</v>
      </c>
    </row>
    <row r="264" spans="1:5">
      <c r="A264" s="103"/>
      <c r="B264" s="3" t="s">
        <v>275</v>
      </c>
      <c r="C264" s="6" t="s">
        <v>293</v>
      </c>
      <c r="D264" s="7"/>
      <c r="E264" s="8" t="s">
        <v>601</v>
      </c>
    </row>
    <row r="265" spans="1:5">
      <c r="A265" s="103"/>
      <c r="B265" s="3" t="s">
        <v>276</v>
      </c>
      <c r="C265" s="6" t="s">
        <v>292</v>
      </c>
      <c r="D265" s="7"/>
      <c r="E265" s="8" t="s">
        <v>602</v>
      </c>
    </row>
    <row r="266" spans="1:5">
      <c r="A266" s="103"/>
      <c r="B266" s="3" t="s">
        <v>277</v>
      </c>
      <c r="C266" s="6" t="s">
        <v>291</v>
      </c>
      <c r="D266" s="7"/>
      <c r="E266" s="8" t="s">
        <v>603</v>
      </c>
    </row>
    <row r="267" spans="1:5">
      <c r="A267" s="103"/>
      <c r="B267" s="3" t="s">
        <v>278</v>
      </c>
      <c r="C267" s="6" t="s">
        <v>290</v>
      </c>
      <c r="D267" s="7"/>
      <c r="E267" s="8" t="s">
        <v>604</v>
      </c>
    </row>
    <row r="268" spans="1:5" ht="30">
      <c r="A268" s="103"/>
      <c r="B268" s="3" t="s">
        <v>279</v>
      </c>
      <c r="C268" s="6" t="s">
        <v>289</v>
      </c>
      <c r="D268" s="7"/>
      <c r="E268" s="8" t="s">
        <v>605</v>
      </c>
    </row>
    <row r="269" spans="1:5" ht="30">
      <c r="A269" s="103"/>
      <c r="B269" s="3" t="s">
        <v>280</v>
      </c>
      <c r="C269" s="6" t="s">
        <v>286</v>
      </c>
      <c r="D269" s="7"/>
      <c r="E269" s="8" t="s">
        <v>606</v>
      </c>
    </row>
    <row r="270" spans="1:5">
      <c r="A270" s="103"/>
      <c r="B270" s="3" t="s">
        <v>281</v>
      </c>
      <c r="C270" s="6" t="s">
        <v>283</v>
      </c>
      <c r="D270" s="7"/>
      <c r="E270" s="8" t="s">
        <v>607</v>
      </c>
    </row>
    <row r="271" spans="1:5">
      <c r="A271" s="103"/>
      <c r="B271" s="3" t="s">
        <v>282</v>
      </c>
      <c r="C271" s="6" t="s">
        <v>276</v>
      </c>
      <c r="D271" s="7"/>
      <c r="E271" s="8" t="s">
        <v>608</v>
      </c>
    </row>
    <row r="272" spans="1:5">
      <c r="A272" s="103"/>
      <c r="B272" s="3" t="s">
        <v>283</v>
      </c>
      <c r="C272" s="6" t="s">
        <v>273</v>
      </c>
      <c r="D272" s="7"/>
      <c r="E272" s="8" t="s">
        <v>609</v>
      </c>
    </row>
    <row r="273" spans="1:7" ht="30">
      <c r="A273" s="103"/>
      <c r="B273" s="3" t="s">
        <v>284</v>
      </c>
      <c r="C273" s="6" t="s">
        <v>288</v>
      </c>
      <c r="D273" s="7"/>
      <c r="E273" s="8" t="s">
        <v>610</v>
      </c>
    </row>
    <row r="274" spans="1:7">
      <c r="A274" s="103"/>
      <c r="B274" s="3" t="s">
        <v>285</v>
      </c>
      <c r="C274" s="6" t="s">
        <v>284</v>
      </c>
      <c r="D274" s="7"/>
      <c r="E274" s="8" t="s">
        <v>611</v>
      </c>
    </row>
    <row r="275" spans="1:7">
      <c r="A275" s="103"/>
      <c r="B275" s="3" t="s">
        <v>286</v>
      </c>
      <c r="C275" s="6" t="s">
        <v>281</v>
      </c>
      <c r="D275" s="7"/>
      <c r="E275" s="8" t="s">
        <v>612</v>
      </c>
    </row>
    <row r="276" spans="1:7">
      <c r="A276" s="103"/>
      <c r="B276" s="3" t="s">
        <v>287</v>
      </c>
      <c r="C276" s="6" t="s">
        <v>278</v>
      </c>
      <c r="D276" s="7"/>
      <c r="E276" s="8" t="s">
        <v>613</v>
      </c>
    </row>
    <row r="277" spans="1:7">
      <c r="A277" s="103"/>
      <c r="B277" s="3" t="s">
        <v>288</v>
      </c>
      <c r="C277" s="6" t="s">
        <v>255</v>
      </c>
      <c r="D277" s="7"/>
      <c r="E277" s="8" t="s">
        <v>614</v>
      </c>
    </row>
    <row r="278" spans="1:7">
      <c r="A278" s="103"/>
      <c r="B278" s="3" t="s">
        <v>289</v>
      </c>
      <c r="C278" s="6" t="s">
        <v>256</v>
      </c>
      <c r="D278" s="7"/>
      <c r="E278" s="8" t="s">
        <v>615</v>
      </c>
    </row>
    <row r="279" spans="1:7">
      <c r="A279" s="103"/>
      <c r="B279" s="3" t="s">
        <v>290</v>
      </c>
      <c r="C279" s="6" t="s">
        <v>261</v>
      </c>
      <c r="D279" s="7"/>
      <c r="E279" s="8" t="s">
        <v>616</v>
      </c>
    </row>
    <row r="280" spans="1:7">
      <c r="A280" s="103"/>
      <c r="B280" s="3" t="s">
        <v>291</v>
      </c>
      <c r="C280" s="6" t="s">
        <v>259</v>
      </c>
      <c r="D280" s="7"/>
      <c r="E280" s="8" t="s">
        <v>617</v>
      </c>
    </row>
    <row r="281" spans="1:7" ht="30">
      <c r="A281" s="103"/>
      <c r="B281" s="3" t="s">
        <v>292</v>
      </c>
      <c r="C281" s="6" t="s">
        <v>260</v>
      </c>
      <c r="D281" s="28" t="s">
        <v>674</v>
      </c>
      <c r="E281" s="8" t="s">
        <v>618</v>
      </c>
      <c r="F281" s="3">
        <f>(700000+770000)/2</f>
        <v>735000</v>
      </c>
      <c r="G281" s="9">
        <f>F281/(F281+F244)</f>
        <v>0.62955032119914345</v>
      </c>
    </row>
    <row r="282" spans="1:7">
      <c r="A282" s="103"/>
      <c r="B282" s="3" t="s">
        <v>293</v>
      </c>
      <c r="C282" s="6" t="s">
        <v>258</v>
      </c>
      <c r="D282" s="7"/>
      <c r="E282" s="8" t="s">
        <v>619</v>
      </c>
    </row>
    <row r="283" spans="1:7">
      <c r="A283" s="103"/>
      <c r="B283" s="3" t="s">
        <v>294</v>
      </c>
      <c r="C283" s="6" t="s">
        <v>257</v>
      </c>
      <c r="D283" s="7"/>
      <c r="E283" s="8" t="s">
        <v>620</v>
      </c>
    </row>
    <row r="284" spans="1:7">
      <c r="A284" s="103"/>
      <c r="B284" s="3" t="s">
        <v>295</v>
      </c>
      <c r="C284" s="6" t="s">
        <v>262</v>
      </c>
      <c r="D284" s="7"/>
      <c r="E284" s="8" t="s">
        <v>621</v>
      </c>
    </row>
    <row r="285" spans="1:7">
      <c r="A285" s="103" t="s">
        <v>27</v>
      </c>
      <c r="B285" s="3" t="s">
        <v>296</v>
      </c>
      <c r="C285" s="14" t="s">
        <v>298</v>
      </c>
      <c r="E285" s="13" t="s">
        <v>630</v>
      </c>
    </row>
    <row r="286" spans="1:7">
      <c r="A286" s="103"/>
      <c r="B286" s="3" t="s">
        <v>297</v>
      </c>
      <c r="C286" s="13" t="s">
        <v>297</v>
      </c>
      <c r="E286" s="13" t="s">
        <v>631</v>
      </c>
    </row>
    <row r="287" spans="1:7">
      <c r="A287" s="103"/>
      <c r="B287" s="3" t="s">
        <v>298</v>
      </c>
      <c r="C287" s="13" t="s">
        <v>299</v>
      </c>
      <c r="E287" s="13" t="s">
        <v>632</v>
      </c>
    </row>
    <row r="288" spans="1:7">
      <c r="A288" s="103"/>
      <c r="B288" s="3" t="s">
        <v>299</v>
      </c>
      <c r="C288" s="6" t="s">
        <v>626</v>
      </c>
      <c r="E288" s="13" t="s">
        <v>633</v>
      </c>
    </row>
    <row r="289" spans="1:5">
      <c r="A289" s="103"/>
      <c r="B289" s="3" t="s">
        <v>300</v>
      </c>
      <c r="C289" s="14" t="s">
        <v>627</v>
      </c>
      <c r="E289" s="13" t="s">
        <v>634</v>
      </c>
    </row>
    <row r="290" spans="1:5">
      <c r="A290" s="103"/>
      <c r="B290" s="3" t="s">
        <v>301</v>
      </c>
      <c r="C290" s="14" t="s">
        <v>628</v>
      </c>
      <c r="E290" s="13" t="s">
        <v>635</v>
      </c>
    </row>
    <row r="291" spans="1:5">
      <c r="A291" s="103"/>
      <c r="B291" s="3" t="s">
        <v>302</v>
      </c>
      <c r="C291" s="14" t="s">
        <v>629</v>
      </c>
      <c r="E291" s="13" t="s">
        <v>636</v>
      </c>
    </row>
    <row r="292" spans="1:5">
      <c r="A292" s="103" t="s">
        <v>637</v>
      </c>
      <c r="B292" s="3" t="s">
        <v>303</v>
      </c>
      <c r="C292" s="14" t="s">
        <v>305</v>
      </c>
      <c r="D292" s="15"/>
      <c r="E292" s="14" t="s">
        <v>638</v>
      </c>
    </row>
    <row r="293" spans="1:5">
      <c r="A293" s="103"/>
      <c r="B293" s="3" t="s">
        <v>304</v>
      </c>
      <c r="C293" s="14" t="s">
        <v>307</v>
      </c>
      <c r="D293" s="15"/>
      <c r="E293" s="14" t="s">
        <v>639</v>
      </c>
    </row>
    <row r="294" spans="1:5">
      <c r="A294" s="103"/>
      <c r="B294" s="3" t="s">
        <v>305</v>
      </c>
      <c r="C294" s="14" t="s">
        <v>309</v>
      </c>
      <c r="D294" s="15"/>
      <c r="E294" s="14" t="s">
        <v>640</v>
      </c>
    </row>
    <row r="295" spans="1:5">
      <c r="A295" s="103"/>
      <c r="B295" s="3" t="s">
        <v>306</v>
      </c>
      <c r="C295" s="14" t="s">
        <v>303</v>
      </c>
      <c r="D295" s="15"/>
      <c r="E295" s="14" t="s">
        <v>641</v>
      </c>
    </row>
    <row r="296" spans="1:5">
      <c r="A296" s="103"/>
      <c r="B296" s="3" t="s">
        <v>307</v>
      </c>
      <c r="C296" s="14" t="s">
        <v>308</v>
      </c>
      <c r="D296" s="15"/>
      <c r="E296" s="14" t="s">
        <v>642</v>
      </c>
    </row>
    <row r="297" spans="1:5">
      <c r="A297" s="103"/>
      <c r="B297" s="3" t="s">
        <v>308</v>
      </c>
      <c r="C297" s="14" t="s">
        <v>304</v>
      </c>
      <c r="D297" s="15"/>
      <c r="E297" s="14" t="s">
        <v>643</v>
      </c>
    </row>
    <row r="298" spans="1:5">
      <c r="A298" s="103"/>
      <c r="B298" s="3" t="s">
        <v>309</v>
      </c>
      <c r="C298" s="14" t="s">
        <v>306</v>
      </c>
      <c r="D298" s="15"/>
      <c r="E298" s="14" t="s">
        <v>644</v>
      </c>
    </row>
    <row r="299" spans="1:5">
      <c r="A299" s="29" t="s">
        <v>28</v>
      </c>
      <c r="B299" s="3" t="s">
        <v>310</v>
      </c>
      <c r="C299" s="31" t="s">
        <v>310</v>
      </c>
      <c r="D299" s="30"/>
      <c r="E299" s="31" t="s">
        <v>645</v>
      </c>
    </row>
    <row r="300" spans="1:5">
      <c r="A300" s="27" t="s">
        <v>29</v>
      </c>
      <c r="B300" s="3" t="s">
        <v>311</v>
      </c>
      <c r="C300" s="13" t="s">
        <v>311</v>
      </c>
      <c r="D300" s="8"/>
      <c r="E300" s="8" t="s">
        <v>646</v>
      </c>
    </row>
    <row r="301" spans="1:5">
      <c r="A301" s="103" t="s">
        <v>30</v>
      </c>
      <c r="B301" s="3" t="s">
        <v>35</v>
      </c>
      <c r="C301" s="13" t="s">
        <v>33</v>
      </c>
      <c r="D301" s="8"/>
      <c r="E301" s="13" t="s">
        <v>647</v>
      </c>
    </row>
    <row r="302" spans="1:5">
      <c r="A302" s="103"/>
      <c r="B302" s="3" t="s">
        <v>34</v>
      </c>
      <c r="C302" s="13" t="s">
        <v>34</v>
      </c>
      <c r="D302" s="8"/>
      <c r="E302" s="13" t="s">
        <v>648</v>
      </c>
    </row>
    <row r="303" spans="1:5">
      <c r="A303" s="103"/>
      <c r="B303" s="3" t="s">
        <v>33</v>
      </c>
      <c r="C303" s="13" t="s">
        <v>35</v>
      </c>
      <c r="D303" s="8"/>
      <c r="E303" s="13" t="s">
        <v>649</v>
      </c>
    </row>
    <row r="304" spans="1:5">
      <c r="A304" s="103" t="s">
        <v>31</v>
      </c>
      <c r="B304" s="3" t="s">
        <v>312</v>
      </c>
      <c r="C304" s="13" t="s">
        <v>315</v>
      </c>
      <c r="D304" s="8"/>
      <c r="E304" s="13" t="s">
        <v>650</v>
      </c>
    </row>
    <row r="305" spans="1:5">
      <c r="A305" s="103"/>
      <c r="B305" s="3" t="s">
        <v>313</v>
      </c>
      <c r="C305" s="13" t="s">
        <v>314</v>
      </c>
      <c r="D305" s="8"/>
      <c r="E305" s="13" t="s">
        <v>651</v>
      </c>
    </row>
    <row r="306" spans="1:5" ht="30">
      <c r="A306" s="103"/>
      <c r="B306" s="3" t="s">
        <v>314</v>
      </c>
      <c r="C306" s="13" t="s">
        <v>313</v>
      </c>
      <c r="D306" s="8"/>
      <c r="E306" s="8" t="s">
        <v>652</v>
      </c>
    </row>
    <row r="307" spans="1:5">
      <c r="A307" s="103"/>
      <c r="B307" s="3" t="s">
        <v>315</v>
      </c>
      <c r="C307" s="13" t="s">
        <v>312</v>
      </c>
      <c r="D307" s="8"/>
      <c r="E307" s="8" t="s">
        <v>653</v>
      </c>
    </row>
    <row r="308" spans="1:5">
      <c r="A308" s="29" t="s">
        <v>32</v>
      </c>
      <c r="B308" s="3" t="s">
        <v>316</v>
      </c>
      <c r="C308" s="32" t="s">
        <v>656</v>
      </c>
    </row>
    <row r="309" spans="1:5">
      <c r="A309" s="29" t="s">
        <v>655</v>
      </c>
      <c r="B309" s="3" t="s">
        <v>658</v>
      </c>
      <c r="C309" s="32" t="s">
        <v>658</v>
      </c>
      <c r="E309" s="3" t="s">
        <v>655</v>
      </c>
    </row>
    <row r="310" spans="1:5">
      <c r="A310" s="29" t="s">
        <v>654</v>
      </c>
      <c r="C310" s="32" t="s">
        <v>657</v>
      </c>
      <c r="E310" s="3" t="s">
        <v>654</v>
      </c>
    </row>
  </sheetData>
  <mergeCells count="27">
    <mergeCell ref="A292:A298"/>
    <mergeCell ref="A301:A303"/>
    <mergeCell ref="A304:A307"/>
    <mergeCell ref="A225:A226"/>
    <mergeCell ref="A227:A230"/>
    <mergeCell ref="A231:A235"/>
    <mergeCell ref="A236:A243"/>
    <mergeCell ref="A244:A284"/>
    <mergeCell ref="A285:A291"/>
    <mergeCell ref="A217:A224"/>
    <mergeCell ref="A74:A86"/>
    <mergeCell ref="A87:A105"/>
    <mergeCell ref="A106:A132"/>
    <mergeCell ref="A133:A136"/>
    <mergeCell ref="A137:A157"/>
    <mergeCell ref="A160:A161"/>
    <mergeCell ref="A163:A170"/>
    <mergeCell ref="A172:A183"/>
    <mergeCell ref="A184:A192"/>
    <mergeCell ref="A193:A209"/>
    <mergeCell ref="A210:A216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0"/>
  <sheetViews>
    <sheetView zoomScale="85" workbookViewId="0">
      <selection activeCell="I28" sqref="I28"/>
    </sheetView>
  </sheetViews>
  <sheetFormatPr baseColWidth="10" defaultColWidth="10.875" defaultRowHeight="15"/>
  <cols>
    <col min="1" max="1" width="19.625" style="3" bestFit="1" customWidth="1"/>
    <col min="2" max="2" width="13.625" style="3" hidden="1" customWidth="1"/>
    <col min="3" max="3" width="6.375" style="3" bestFit="1" customWidth="1"/>
    <col min="4" max="4" width="17" style="3" bestFit="1" customWidth="1"/>
    <col min="5" max="5" width="30" style="3" bestFit="1" customWidth="1"/>
    <col min="6" max="6" width="22.875" style="3" bestFit="1" customWidth="1"/>
    <col min="7" max="7" width="10.875" style="9" bestFit="1" customWidth="1"/>
    <col min="8" max="8" width="24" style="3" bestFit="1" customWidth="1"/>
    <col min="9" max="9" width="16.875" style="3" bestFit="1" customWidth="1"/>
    <col min="10" max="10" width="20.625" style="3" bestFit="1" customWidth="1"/>
    <col min="11" max="16384" width="10.875" style="3"/>
  </cols>
  <sheetData>
    <row r="1" spans="1:15">
      <c r="A1" s="25" t="s">
        <v>0</v>
      </c>
      <c r="B1" s="25" t="s">
        <v>659</v>
      </c>
      <c r="C1" s="25" t="s">
        <v>1</v>
      </c>
      <c r="D1" s="25" t="s">
        <v>2</v>
      </c>
      <c r="E1" s="25" t="s">
        <v>660</v>
      </c>
      <c r="F1" s="25" t="s">
        <v>698</v>
      </c>
      <c r="G1" s="26" t="s">
        <v>694</v>
      </c>
      <c r="H1" s="2"/>
      <c r="I1" s="2"/>
      <c r="J1" s="2"/>
      <c r="L1" s="4"/>
      <c r="M1" s="4"/>
      <c r="N1" s="4"/>
      <c r="O1" s="4"/>
    </row>
    <row r="2" spans="1:15" ht="30">
      <c r="A2" s="103" t="s">
        <v>3</v>
      </c>
      <c r="B2" s="3" t="s">
        <v>37</v>
      </c>
      <c r="C2" s="6" t="s">
        <v>36</v>
      </c>
      <c r="D2" s="7"/>
      <c r="E2" s="8" t="s">
        <v>622</v>
      </c>
      <c r="L2" s="4"/>
      <c r="M2" s="4"/>
      <c r="N2" s="5"/>
      <c r="O2" s="4"/>
    </row>
    <row r="3" spans="1:15">
      <c r="A3" s="103"/>
      <c r="B3" s="3" t="s">
        <v>38</v>
      </c>
      <c r="C3" s="6" t="s">
        <v>46</v>
      </c>
      <c r="D3" s="7" t="s">
        <v>661</v>
      </c>
      <c r="E3" s="8" t="s">
        <v>317</v>
      </c>
      <c r="F3" s="3">
        <f>(1080000+610000+550000)/2</f>
        <v>1120000</v>
      </c>
      <c r="G3" s="9">
        <f>F3/(F3+F5)</f>
        <v>0.82352941176470584</v>
      </c>
      <c r="K3" s="10"/>
      <c r="L3" s="11"/>
      <c r="M3" s="4"/>
      <c r="N3" s="5"/>
      <c r="O3" s="4"/>
    </row>
    <row r="4" spans="1:15">
      <c r="A4" s="103"/>
      <c r="B4" s="3" t="s">
        <v>39</v>
      </c>
      <c r="C4" s="6" t="s">
        <v>40</v>
      </c>
      <c r="D4" s="7"/>
      <c r="E4" s="8" t="s">
        <v>318</v>
      </c>
      <c r="L4" s="4"/>
      <c r="M4" s="4"/>
      <c r="N4" s="5"/>
      <c r="O4" s="4"/>
    </row>
    <row r="5" spans="1:15">
      <c r="A5" s="103"/>
      <c r="B5" s="3" t="s">
        <v>40</v>
      </c>
      <c r="C5" s="6" t="s">
        <v>44</v>
      </c>
      <c r="D5" s="7" t="s">
        <v>662</v>
      </c>
      <c r="E5" s="8" t="s">
        <v>319</v>
      </c>
      <c r="F5" s="3">
        <f>480000/2</f>
        <v>240000</v>
      </c>
      <c r="G5" s="9">
        <f>F5/(F3+F5)</f>
        <v>0.17647058823529413</v>
      </c>
      <c r="L5" s="4"/>
      <c r="M5" s="4"/>
      <c r="N5" s="5"/>
      <c r="O5" s="4"/>
    </row>
    <row r="6" spans="1:15">
      <c r="A6" s="103"/>
      <c r="B6" s="3" t="s">
        <v>41</v>
      </c>
      <c r="C6" s="6" t="s">
        <v>45</v>
      </c>
      <c r="D6" s="7"/>
      <c r="E6" s="8" t="s">
        <v>320</v>
      </c>
      <c r="L6" s="4"/>
      <c r="M6" s="4"/>
      <c r="N6" s="5"/>
      <c r="O6" s="4"/>
    </row>
    <row r="7" spans="1:15">
      <c r="A7" s="103"/>
      <c r="B7" s="3" t="s">
        <v>42</v>
      </c>
      <c r="C7" s="6" t="s">
        <v>37</v>
      </c>
      <c r="D7" s="7"/>
      <c r="E7" s="8" t="s">
        <v>321</v>
      </c>
      <c r="L7" s="4"/>
      <c r="M7" s="4"/>
      <c r="N7" s="5"/>
      <c r="O7" s="4"/>
    </row>
    <row r="8" spans="1:15">
      <c r="A8" s="103"/>
      <c r="B8" s="3" t="s">
        <v>43</v>
      </c>
      <c r="C8" s="6" t="s">
        <v>43</v>
      </c>
      <c r="D8" s="7"/>
      <c r="E8" s="8" t="s">
        <v>322</v>
      </c>
      <c r="L8" s="4"/>
      <c r="M8" s="4"/>
      <c r="N8" s="5"/>
      <c r="O8" s="4"/>
    </row>
    <row r="9" spans="1:15">
      <c r="A9" s="103"/>
      <c r="B9" s="3" t="s">
        <v>44</v>
      </c>
      <c r="C9" s="6" t="s">
        <v>42</v>
      </c>
      <c r="D9" s="7"/>
      <c r="E9" s="8" t="s">
        <v>323</v>
      </c>
      <c r="L9" s="4"/>
      <c r="M9" s="4"/>
      <c r="N9" s="5"/>
      <c r="O9" s="4"/>
    </row>
    <row r="10" spans="1:15">
      <c r="A10" s="103"/>
      <c r="B10" s="3" t="s">
        <v>45</v>
      </c>
      <c r="C10" s="6" t="s">
        <v>41</v>
      </c>
      <c r="D10" s="7"/>
      <c r="E10" s="8" t="s">
        <v>324</v>
      </c>
      <c r="L10" s="4"/>
      <c r="M10" s="4"/>
      <c r="N10" s="5"/>
      <c r="O10" s="4"/>
    </row>
    <row r="11" spans="1:15">
      <c r="A11" s="103"/>
      <c r="B11" s="3" t="s">
        <v>36</v>
      </c>
      <c r="C11" s="6" t="s">
        <v>39</v>
      </c>
      <c r="D11" s="7"/>
      <c r="E11" s="8" t="s">
        <v>325</v>
      </c>
      <c r="L11" s="4"/>
      <c r="M11" s="4"/>
      <c r="N11" s="5"/>
      <c r="O11" s="4"/>
    </row>
    <row r="12" spans="1:15">
      <c r="A12" s="103"/>
      <c r="B12" s="3" t="s">
        <v>46</v>
      </c>
      <c r="C12" s="6" t="s">
        <v>38</v>
      </c>
      <c r="D12" s="7"/>
      <c r="E12" s="8" t="s">
        <v>326</v>
      </c>
      <c r="L12" s="4"/>
      <c r="M12" s="4"/>
      <c r="N12" s="5"/>
      <c r="O12" s="4"/>
    </row>
    <row r="13" spans="1:15">
      <c r="A13" s="103" t="s">
        <v>4</v>
      </c>
      <c r="B13" s="3" t="s">
        <v>47</v>
      </c>
      <c r="C13" s="6" t="s">
        <v>47</v>
      </c>
      <c r="D13" s="7"/>
      <c r="E13" s="8" t="s">
        <v>327</v>
      </c>
      <c r="L13" s="4"/>
      <c r="M13" s="4"/>
      <c r="N13" s="5"/>
      <c r="O13" s="4"/>
    </row>
    <row r="14" spans="1:15">
      <c r="A14" s="103"/>
      <c r="B14" s="3" t="s">
        <v>48</v>
      </c>
      <c r="C14" s="6" t="s">
        <v>49</v>
      </c>
      <c r="D14" s="7"/>
      <c r="E14" s="8" t="s">
        <v>328</v>
      </c>
      <c r="L14" s="4"/>
      <c r="M14" s="4"/>
      <c r="N14" s="5"/>
      <c r="O14" s="4"/>
    </row>
    <row r="15" spans="1:15">
      <c r="A15" s="103"/>
      <c r="B15" s="3" t="s">
        <v>49</v>
      </c>
      <c r="C15" s="6" t="s">
        <v>50</v>
      </c>
      <c r="D15" s="7"/>
      <c r="E15" s="8" t="s">
        <v>329</v>
      </c>
      <c r="L15" s="4"/>
      <c r="M15" s="4"/>
      <c r="N15" s="5"/>
      <c r="O15" s="4"/>
    </row>
    <row r="16" spans="1:15">
      <c r="A16" s="103"/>
      <c r="B16" s="3" t="s">
        <v>50</v>
      </c>
      <c r="C16" s="6" t="s">
        <v>51</v>
      </c>
      <c r="D16" s="7"/>
      <c r="E16" s="8" t="s">
        <v>330</v>
      </c>
      <c r="L16" s="4"/>
      <c r="M16" s="4"/>
      <c r="N16" s="5"/>
      <c r="O16" s="4"/>
    </row>
    <row r="17" spans="1:15">
      <c r="A17" s="103"/>
      <c r="B17" s="3" t="s">
        <v>51</v>
      </c>
      <c r="C17" s="6" t="s">
        <v>52</v>
      </c>
      <c r="D17" s="7"/>
      <c r="E17" s="8" t="s">
        <v>331</v>
      </c>
      <c r="L17" s="4"/>
      <c r="M17" s="4"/>
      <c r="N17" s="5"/>
      <c r="O17" s="4"/>
    </row>
    <row r="18" spans="1:15">
      <c r="A18" s="103"/>
      <c r="B18" s="3" t="s">
        <v>52</v>
      </c>
      <c r="C18" s="6" t="s">
        <v>48</v>
      </c>
      <c r="D18" s="7"/>
      <c r="E18" s="8" t="s">
        <v>332</v>
      </c>
      <c r="L18" s="4"/>
      <c r="M18" s="4"/>
      <c r="N18" s="5"/>
      <c r="O18" s="4"/>
    </row>
    <row r="19" spans="1:15">
      <c r="A19" s="103" t="s">
        <v>5</v>
      </c>
      <c r="B19" s="3" t="s">
        <v>53</v>
      </c>
      <c r="C19" s="6" t="s">
        <v>54</v>
      </c>
      <c r="D19" s="7"/>
      <c r="E19" s="8" t="s">
        <v>333</v>
      </c>
      <c r="L19" s="4"/>
      <c r="M19" s="4"/>
      <c r="N19" s="5"/>
      <c r="O19" s="4"/>
    </row>
    <row r="20" spans="1:15">
      <c r="A20" s="103"/>
      <c r="B20" s="3" t="s">
        <v>54</v>
      </c>
      <c r="C20" s="6" t="s">
        <v>53</v>
      </c>
      <c r="D20" s="7"/>
      <c r="E20" s="8" t="s">
        <v>334</v>
      </c>
      <c r="L20" s="4"/>
      <c r="M20" s="4"/>
      <c r="N20" s="5"/>
      <c r="O20" s="4"/>
    </row>
    <row r="21" spans="1:15">
      <c r="A21" s="103"/>
      <c r="B21" s="3" t="s">
        <v>55</v>
      </c>
      <c r="C21" s="6" t="s">
        <v>60</v>
      </c>
      <c r="D21" s="7"/>
      <c r="E21" s="8" t="s">
        <v>335</v>
      </c>
      <c r="L21" s="4"/>
      <c r="M21" s="4"/>
      <c r="N21" s="5"/>
      <c r="O21" s="4"/>
    </row>
    <row r="22" spans="1:15">
      <c r="A22" s="103"/>
      <c r="B22" s="3" t="s">
        <v>56</v>
      </c>
      <c r="C22" s="6" t="s">
        <v>58</v>
      </c>
      <c r="D22" s="3" t="s">
        <v>663</v>
      </c>
      <c r="E22" s="8" t="s">
        <v>336</v>
      </c>
      <c r="F22" s="3">
        <f>544000/2</f>
        <v>272000</v>
      </c>
      <c r="G22" s="9">
        <v>1</v>
      </c>
      <c r="L22" s="4"/>
      <c r="M22" s="4"/>
      <c r="N22" s="5"/>
      <c r="O22" s="4"/>
    </row>
    <row r="23" spans="1:15">
      <c r="A23" s="103"/>
      <c r="B23" s="3" t="s">
        <v>57</v>
      </c>
      <c r="C23" s="6" t="s">
        <v>57</v>
      </c>
      <c r="D23" s="7"/>
      <c r="E23" s="8" t="s">
        <v>337</v>
      </c>
      <c r="L23" s="4"/>
      <c r="M23" s="4"/>
      <c r="N23" s="5"/>
      <c r="O23" s="4"/>
    </row>
    <row r="24" spans="1:15">
      <c r="A24" s="103"/>
      <c r="B24" s="3" t="s">
        <v>58</v>
      </c>
      <c r="C24" s="6" t="s">
        <v>59</v>
      </c>
      <c r="D24" s="7"/>
      <c r="E24" s="8" t="s">
        <v>338</v>
      </c>
      <c r="L24" s="4"/>
      <c r="M24" s="4"/>
      <c r="N24" s="5"/>
      <c r="O24" s="4"/>
    </row>
    <row r="25" spans="1:15">
      <c r="A25" s="103"/>
      <c r="B25" s="3" t="s">
        <v>59</v>
      </c>
      <c r="C25" s="6" t="s">
        <v>55</v>
      </c>
      <c r="D25" s="7"/>
      <c r="E25" s="8" t="s">
        <v>339</v>
      </c>
      <c r="L25" s="4"/>
      <c r="M25" s="4"/>
      <c r="N25" s="5"/>
      <c r="O25" s="4"/>
    </row>
    <row r="26" spans="1:15">
      <c r="A26" s="103"/>
      <c r="B26" s="3" t="s">
        <v>60</v>
      </c>
      <c r="C26" s="6" t="s">
        <v>56</v>
      </c>
      <c r="D26" s="7"/>
      <c r="E26" s="8" t="s">
        <v>340</v>
      </c>
      <c r="L26" s="4"/>
      <c r="M26" s="4"/>
      <c r="N26" s="5"/>
      <c r="O26" s="4"/>
    </row>
    <row r="27" spans="1:15">
      <c r="A27" s="103" t="s">
        <v>6</v>
      </c>
      <c r="B27" s="3" t="s">
        <v>61</v>
      </c>
      <c r="C27" s="6" t="s">
        <v>64</v>
      </c>
      <c r="D27" s="7"/>
      <c r="E27" s="8" t="s">
        <v>341</v>
      </c>
      <c r="L27" s="4"/>
      <c r="M27" s="4"/>
      <c r="N27" s="5"/>
      <c r="O27" s="4"/>
    </row>
    <row r="28" spans="1:15">
      <c r="A28" s="103"/>
      <c r="B28" s="3" t="s">
        <v>62</v>
      </c>
      <c r="C28" s="6" t="s">
        <v>61</v>
      </c>
      <c r="D28" s="7"/>
      <c r="E28" s="8" t="s">
        <v>342</v>
      </c>
      <c r="L28" s="4"/>
      <c r="M28" s="4"/>
      <c r="N28" s="5"/>
      <c r="O28" s="4"/>
    </row>
    <row r="29" spans="1:15">
      <c r="A29" s="103"/>
      <c r="B29" s="3" t="s">
        <v>63</v>
      </c>
      <c r="C29" s="6" t="s">
        <v>63</v>
      </c>
      <c r="D29" s="7"/>
      <c r="E29" s="8" t="s">
        <v>343</v>
      </c>
      <c r="L29" s="4"/>
      <c r="M29" s="4"/>
      <c r="N29" s="5"/>
      <c r="O29" s="4"/>
    </row>
    <row r="30" spans="1:15">
      <c r="A30" s="103"/>
      <c r="B30" s="3" t="s">
        <v>64</v>
      </c>
      <c r="C30" s="6" t="s">
        <v>65</v>
      </c>
      <c r="D30" s="7"/>
      <c r="E30" s="8" t="s">
        <v>344</v>
      </c>
      <c r="L30" s="4"/>
      <c r="M30" s="4"/>
      <c r="N30" s="5"/>
      <c r="O30" s="4"/>
    </row>
    <row r="31" spans="1:15">
      <c r="A31" s="103"/>
      <c r="B31" s="3" t="s">
        <v>65</v>
      </c>
      <c r="C31" s="6" t="s">
        <v>62</v>
      </c>
      <c r="D31" s="7"/>
      <c r="E31" s="8" t="s">
        <v>345</v>
      </c>
      <c r="L31" s="4"/>
      <c r="M31" s="4"/>
      <c r="N31" s="5"/>
      <c r="O31" s="4"/>
    </row>
    <row r="32" spans="1:15">
      <c r="A32" s="103" t="s">
        <v>7</v>
      </c>
      <c r="B32" s="3" t="s">
        <v>66</v>
      </c>
      <c r="C32" s="6" t="s">
        <v>101</v>
      </c>
      <c r="D32" s="7"/>
      <c r="E32" s="8" t="s">
        <v>346</v>
      </c>
      <c r="L32" s="4"/>
      <c r="M32" s="4"/>
      <c r="N32" s="5"/>
      <c r="O32" s="4"/>
    </row>
    <row r="33" spans="1:15">
      <c r="A33" s="103"/>
      <c r="B33" s="3" t="s">
        <v>67</v>
      </c>
      <c r="C33" s="6" t="s">
        <v>102</v>
      </c>
      <c r="D33" s="7"/>
      <c r="E33" s="8" t="s">
        <v>347</v>
      </c>
      <c r="L33" s="4"/>
      <c r="M33" s="4"/>
      <c r="N33" s="5"/>
      <c r="O33" s="4"/>
    </row>
    <row r="34" spans="1:15">
      <c r="A34" s="103"/>
      <c r="B34" s="3" t="s">
        <v>68</v>
      </c>
      <c r="C34" s="6" t="s">
        <v>103</v>
      </c>
      <c r="D34" s="7"/>
      <c r="E34" s="8" t="s">
        <v>348</v>
      </c>
      <c r="L34" s="4"/>
      <c r="M34" s="4"/>
      <c r="N34" s="5"/>
      <c r="O34" s="4"/>
    </row>
    <row r="35" spans="1:15">
      <c r="A35" s="103"/>
      <c r="B35" s="3" t="s">
        <v>69</v>
      </c>
      <c r="C35" s="6" t="s">
        <v>100</v>
      </c>
      <c r="D35" s="7"/>
      <c r="E35" s="8" t="s">
        <v>349</v>
      </c>
      <c r="L35" s="4"/>
      <c r="M35" s="4"/>
      <c r="N35" s="5"/>
      <c r="O35" s="4"/>
    </row>
    <row r="36" spans="1:15" ht="30">
      <c r="A36" s="103"/>
      <c r="B36" s="3" t="s">
        <v>70</v>
      </c>
      <c r="C36" s="6" t="s">
        <v>97</v>
      </c>
      <c r="D36" s="28" t="s">
        <v>691</v>
      </c>
      <c r="E36" s="8" t="s">
        <v>350</v>
      </c>
      <c r="F36" s="3">
        <f>(450000+400000)/2</f>
        <v>425000</v>
      </c>
      <c r="G36" s="9">
        <f>F36/SUM($F$36:$F$68)</f>
        <v>0.15044247787610621</v>
      </c>
      <c r="L36" s="4"/>
      <c r="M36" s="4"/>
      <c r="N36" s="5"/>
      <c r="O36" s="4"/>
    </row>
    <row r="37" spans="1:15">
      <c r="A37" s="103"/>
      <c r="B37" s="3" t="s">
        <v>71</v>
      </c>
      <c r="C37" s="6" t="s">
        <v>98</v>
      </c>
      <c r="D37" s="7"/>
      <c r="E37" s="8" t="s">
        <v>351</v>
      </c>
      <c r="L37" s="4"/>
      <c r="M37" s="4"/>
      <c r="N37" s="5"/>
      <c r="O37" s="4"/>
    </row>
    <row r="38" spans="1:15">
      <c r="A38" s="103"/>
      <c r="B38" s="3" t="s">
        <v>72</v>
      </c>
      <c r="C38" s="6" t="s">
        <v>95</v>
      </c>
      <c r="D38" s="7"/>
      <c r="E38" s="8" t="s">
        <v>352</v>
      </c>
      <c r="L38" s="4"/>
      <c r="M38" s="4"/>
      <c r="N38" s="5"/>
      <c r="O38" s="4"/>
    </row>
    <row r="39" spans="1:15">
      <c r="A39" s="103"/>
      <c r="B39" s="3" t="s">
        <v>73</v>
      </c>
      <c r="C39" s="6" t="s">
        <v>96</v>
      </c>
      <c r="D39" s="7"/>
      <c r="E39" s="8" t="s">
        <v>353</v>
      </c>
      <c r="L39" s="4"/>
      <c r="M39" s="4"/>
      <c r="N39" s="5"/>
      <c r="O39" s="4"/>
    </row>
    <row r="40" spans="1:15">
      <c r="A40" s="103"/>
      <c r="B40" s="3" t="s">
        <v>74</v>
      </c>
      <c r="C40" s="6" t="s">
        <v>99</v>
      </c>
      <c r="D40" s="7"/>
      <c r="E40" s="8" t="s">
        <v>354</v>
      </c>
      <c r="L40" s="4"/>
      <c r="M40" s="4"/>
      <c r="N40" s="5"/>
      <c r="O40" s="4"/>
    </row>
    <row r="41" spans="1:15">
      <c r="A41" s="103"/>
      <c r="B41" s="3" t="s">
        <v>75</v>
      </c>
      <c r="C41" s="6" t="s">
        <v>93</v>
      </c>
      <c r="D41" s="7"/>
      <c r="E41" s="8" t="s">
        <v>355</v>
      </c>
      <c r="L41" s="4"/>
      <c r="M41" s="4"/>
      <c r="N41" s="5"/>
      <c r="O41" s="4"/>
    </row>
    <row r="42" spans="1:15">
      <c r="A42" s="103"/>
      <c r="B42" s="3" t="s">
        <v>76</v>
      </c>
      <c r="C42" s="6" t="s">
        <v>94</v>
      </c>
      <c r="D42" s="7"/>
      <c r="E42" s="8" t="s">
        <v>356</v>
      </c>
      <c r="L42" s="4"/>
      <c r="M42" s="4"/>
      <c r="N42" s="5"/>
      <c r="O42" s="4"/>
    </row>
    <row r="43" spans="1:15">
      <c r="A43" s="103"/>
      <c r="B43" s="3" t="s">
        <v>77</v>
      </c>
      <c r="C43" s="6" t="s">
        <v>92</v>
      </c>
      <c r="D43" s="7"/>
      <c r="E43" s="8" t="s">
        <v>357</v>
      </c>
      <c r="L43" s="4"/>
      <c r="M43" s="4"/>
      <c r="N43" s="5"/>
      <c r="O43" s="4"/>
    </row>
    <row r="44" spans="1:15">
      <c r="A44" s="103"/>
      <c r="B44" s="3" t="s">
        <v>78</v>
      </c>
      <c r="C44" s="6" t="s">
        <v>91</v>
      </c>
      <c r="D44" s="7"/>
      <c r="E44" s="8" t="s">
        <v>358</v>
      </c>
      <c r="N44" s="10"/>
    </row>
    <row r="45" spans="1:15">
      <c r="A45" s="103"/>
      <c r="B45" s="3" t="s">
        <v>79</v>
      </c>
      <c r="C45" s="6" t="s">
        <v>90</v>
      </c>
      <c r="D45" s="7"/>
      <c r="E45" s="8" t="s">
        <v>359</v>
      </c>
      <c r="N45" s="10"/>
    </row>
    <row r="46" spans="1:15">
      <c r="A46" s="103"/>
      <c r="B46" s="3" t="s">
        <v>80</v>
      </c>
      <c r="C46" s="6" t="s">
        <v>89</v>
      </c>
      <c r="D46" s="7"/>
      <c r="E46" s="8" t="s">
        <v>360</v>
      </c>
      <c r="N46" s="10"/>
    </row>
    <row r="47" spans="1:15">
      <c r="A47" s="103"/>
      <c r="B47" s="3" t="s">
        <v>81</v>
      </c>
      <c r="C47" s="6" t="s">
        <v>88</v>
      </c>
      <c r="D47" s="7"/>
      <c r="E47" s="8" t="s">
        <v>361</v>
      </c>
      <c r="N47" s="10"/>
    </row>
    <row r="48" spans="1:15">
      <c r="A48" s="103"/>
      <c r="B48" s="3" t="s">
        <v>82</v>
      </c>
      <c r="C48" s="6" t="s">
        <v>87</v>
      </c>
      <c r="D48" s="7"/>
      <c r="E48" s="8" t="s">
        <v>362</v>
      </c>
      <c r="N48" s="10"/>
    </row>
    <row r="49" spans="1:14">
      <c r="A49" s="103"/>
      <c r="B49" s="3" t="s">
        <v>83</v>
      </c>
      <c r="C49" s="6" t="s">
        <v>86</v>
      </c>
      <c r="D49" s="7"/>
      <c r="E49" s="8" t="s">
        <v>363</v>
      </c>
      <c r="N49" s="10"/>
    </row>
    <row r="50" spans="1:14">
      <c r="A50" s="103"/>
      <c r="B50" s="3" t="s">
        <v>84</v>
      </c>
      <c r="C50" s="6" t="s">
        <v>85</v>
      </c>
      <c r="D50" s="7"/>
      <c r="E50" s="8" t="s">
        <v>364</v>
      </c>
      <c r="N50" s="10"/>
    </row>
    <row r="51" spans="1:14">
      <c r="A51" s="103"/>
      <c r="B51" s="3" t="s">
        <v>85</v>
      </c>
      <c r="C51" s="6" t="s">
        <v>84</v>
      </c>
      <c r="D51" s="7"/>
      <c r="E51" s="8" t="s">
        <v>365</v>
      </c>
      <c r="N51" s="10"/>
    </row>
    <row r="52" spans="1:14">
      <c r="A52" s="103"/>
      <c r="B52" s="3" t="s">
        <v>86</v>
      </c>
      <c r="C52" s="6" t="s">
        <v>83</v>
      </c>
      <c r="D52" s="7"/>
      <c r="E52" s="8" t="s">
        <v>366</v>
      </c>
      <c r="N52" s="10"/>
    </row>
    <row r="53" spans="1:14">
      <c r="A53" s="103"/>
      <c r="B53" s="3" t="s">
        <v>87</v>
      </c>
      <c r="C53" s="6" t="s">
        <v>82</v>
      </c>
      <c r="D53" s="7"/>
      <c r="E53" s="8" t="s">
        <v>367</v>
      </c>
      <c r="N53" s="10"/>
    </row>
    <row r="54" spans="1:14">
      <c r="A54" s="103"/>
      <c r="B54" s="3" t="s">
        <v>88</v>
      </c>
      <c r="C54" s="6" t="s">
        <v>81</v>
      </c>
      <c r="D54" s="7"/>
      <c r="E54" s="8" t="s">
        <v>368</v>
      </c>
      <c r="N54" s="10"/>
    </row>
    <row r="55" spans="1:14">
      <c r="A55" s="103"/>
      <c r="B55" s="3" t="s">
        <v>89</v>
      </c>
      <c r="C55" s="6" t="s">
        <v>78</v>
      </c>
      <c r="D55" s="3" t="s">
        <v>688</v>
      </c>
      <c r="E55" s="8" t="s">
        <v>369</v>
      </c>
      <c r="F55" s="3">
        <f>1050000/2</f>
        <v>525000</v>
      </c>
      <c r="G55" s="9">
        <f t="shared" ref="G55:G68" si="0">F55/SUM($F$36:$F$68)</f>
        <v>0.18584070796460178</v>
      </c>
      <c r="N55" s="10"/>
    </row>
    <row r="56" spans="1:14" ht="30">
      <c r="A56" s="103"/>
      <c r="B56" s="3" t="s">
        <v>90</v>
      </c>
      <c r="C56" s="6" t="s">
        <v>77</v>
      </c>
      <c r="D56" s="28" t="s">
        <v>692</v>
      </c>
      <c r="E56" s="8" t="s">
        <v>370</v>
      </c>
      <c r="F56" s="3">
        <f>(1165000+1040000+260000)/2</f>
        <v>1232500</v>
      </c>
      <c r="G56" s="9">
        <f t="shared" si="0"/>
        <v>0.43628318584070797</v>
      </c>
      <c r="N56" s="10"/>
    </row>
    <row r="57" spans="1:14">
      <c r="A57" s="103"/>
      <c r="B57" s="3" t="s">
        <v>91</v>
      </c>
      <c r="C57" s="6" t="s">
        <v>76</v>
      </c>
      <c r="D57" s="7"/>
      <c r="E57" s="8" t="s">
        <v>371</v>
      </c>
      <c r="N57" s="10"/>
    </row>
    <row r="58" spans="1:14">
      <c r="A58" s="103"/>
      <c r="B58" s="3" t="s">
        <v>92</v>
      </c>
      <c r="C58" s="6" t="s">
        <v>79</v>
      </c>
      <c r="D58" s="7"/>
      <c r="E58" s="8" t="s">
        <v>372</v>
      </c>
      <c r="N58" s="10"/>
    </row>
    <row r="59" spans="1:14">
      <c r="A59" s="103"/>
      <c r="B59" s="3" t="s">
        <v>93</v>
      </c>
      <c r="C59" s="6" t="s">
        <v>80</v>
      </c>
      <c r="D59" s="7"/>
      <c r="E59" s="8" t="s">
        <v>373</v>
      </c>
      <c r="N59" s="10"/>
    </row>
    <row r="60" spans="1:14">
      <c r="A60" s="103"/>
      <c r="B60" s="3" t="s">
        <v>94</v>
      </c>
      <c r="C60" s="6" t="s">
        <v>75</v>
      </c>
      <c r="D60" s="7"/>
      <c r="E60" s="8" t="s">
        <v>374</v>
      </c>
      <c r="N60" s="10"/>
    </row>
    <row r="61" spans="1:14">
      <c r="A61" s="103"/>
      <c r="B61" s="3" t="s">
        <v>95</v>
      </c>
      <c r="C61" s="6" t="s">
        <v>73</v>
      </c>
      <c r="D61" s="7"/>
      <c r="E61" s="8" t="s">
        <v>375</v>
      </c>
      <c r="N61" s="10"/>
    </row>
    <row r="62" spans="1:14">
      <c r="A62" s="103"/>
      <c r="B62" s="3" t="s">
        <v>96</v>
      </c>
      <c r="C62" s="6" t="s">
        <v>74</v>
      </c>
      <c r="D62" s="3" t="s">
        <v>690</v>
      </c>
      <c r="E62" s="8" t="s">
        <v>376</v>
      </c>
      <c r="F62" s="3">
        <f>620000/2</f>
        <v>310000</v>
      </c>
      <c r="G62" s="9">
        <f t="shared" si="0"/>
        <v>0.10973451327433628</v>
      </c>
      <c r="N62" s="10"/>
    </row>
    <row r="63" spans="1:14">
      <c r="A63" s="103"/>
      <c r="B63" s="3" t="s">
        <v>97</v>
      </c>
      <c r="C63" s="6" t="s">
        <v>72</v>
      </c>
      <c r="D63" s="7"/>
      <c r="E63" s="8" t="s">
        <v>377</v>
      </c>
      <c r="N63" s="10"/>
    </row>
    <row r="64" spans="1:14">
      <c r="A64" s="103"/>
      <c r="B64" s="3" t="s">
        <v>98</v>
      </c>
      <c r="C64" s="6" t="s">
        <v>69</v>
      </c>
      <c r="D64" s="7"/>
      <c r="E64" s="8" t="s">
        <v>378</v>
      </c>
      <c r="N64" s="10"/>
    </row>
    <row r="65" spans="1:14">
      <c r="A65" s="103"/>
      <c r="B65" s="3" t="s">
        <v>99</v>
      </c>
      <c r="C65" s="6" t="s">
        <v>70</v>
      </c>
      <c r="D65" s="7"/>
      <c r="E65" s="8" t="s">
        <v>379</v>
      </c>
      <c r="N65" s="10"/>
    </row>
    <row r="66" spans="1:14">
      <c r="A66" s="103"/>
      <c r="B66" s="3" t="s">
        <v>100</v>
      </c>
      <c r="C66" s="6" t="s">
        <v>68</v>
      </c>
      <c r="D66" s="3" t="s">
        <v>686</v>
      </c>
      <c r="E66" s="8" t="s">
        <v>380</v>
      </c>
      <c r="F66" s="3">
        <f>565000/2</f>
        <v>282500</v>
      </c>
      <c r="G66" s="9">
        <f t="shared" si="0"/>
        <v>0.1</v>
      </c>
      <c r="N66" s="10"/>
    </row>
    <row r="67" spans="1:14">
      <c r="A67" s="103"/>
      <c r="B67" s="3" t="s">
        <v>101</v>
      </c>
      <c r="C67" s="6" t="s">
        <v>71</v>
      </c>
      <c r="D67" s="7"/>
      <c r="E67" s="8" t="s">
        <v>381</v>
      </c>
      <c r="N67" s="10"/>
    </row>
    <row r="68" spans="1:14">
      <c r="A68" s="103"/>
      <c r="B68" s="3" t="s">
        <v>102</v>
      </c>
      <c r="C68" s="6" t="s">
        <v>67</v>
      </c>
      <c r="D68" s="3" t="s">
        <v>689</v>
      </c>
      <c r="E68" s="8" t="s">
        <v>382</v>
      </c>
      <c r="F68" s="3">
        <f>100000/2</f>
        <v>50000</v>
      </c>
      <c r="G68" s="9">
        <f t="shared" si="0"/>
        <v>1.7699115044247787E-2</v>
      </c>
      <c r="N68" s="10"/>
    </row>
    <row r="69" spans="1:14">
      <c r="A69" s="103"/>
      <c r="B69" s="3" t="s">
        <v>103</v>
      </c>
      <c r="C69" s="6" t="s">
        <v>66</v>
      </c>
      <c r="D69" s="7"/>
      <c r="E69" s="8" t="s">
        <v>383</v>
      </c>
      <c r="N69" s="10"/>
    </row>
    <row r="70" spans="1:14">
      <c r="A70" s="27" t="s">
        <v>623</v>
      </c>
      <c r="B70" s="3" t="s">
        <v>384</v>
      </c>
      <c r="C70" s="6" t="s">
        <v>384</v>
      </c>
      <c r="D70" s="7"/>
      <c r="E70" s="8" t="s">
        <v>385</v>
      </c>
      <c r="N70" s="10"/>
    </row>
    <row r="71" spans="1:14">
      <c r="A71" s="103" t="s">
        <v>8</v>
      </c>
      <c r="B71" s="3" t="s">
        <v>104</v>
      </c>
      <c r="C71" s="6" t="s">
        <v>106</v>
      </c>
      <c r="D71" s="7"/>
      <c r="E71" s="8" t="s">
        <v>386</v>
      </c>
      <c r="N71" s="10"/>
    </row>
    <row r="72" spans="1:14">
      <c r="A72" s="103"/>
      <c r="B72" s="3" t="s">
        <v>105</v>
      </c>
      <c r="C72" s="6" t="s">
        <v>105</v>
      </c>
      <c r="D72" s="7"/>
      <c r="E72" s="8" t="s">
        <v>387</v>
      </c>
      <c r="N72" s="10"/>
    </row>
    <row r="73" spans="1:14">
      <c r="A73" s="103"/>
      <c r="B73" s="3" t="s">
        <v>106</v>
      </c>
      <c r="C73" s="6" t="s">
        <v>104</v>
      </c>
      <c r="D73" s="7"/>
      <c r="E73" s="8" t="s">
        <v>388</v>
      </c>
      <c r="N73" s="10"/>
    </row>
    <row r="74" spans="1:14">
      <c r="A74" s="103" t="s">
        <v>9</v>
      </c>
      <c r="B74" s="3" t="s">
        <v>107</v>
      </c>
      <c r="C74" s="6" t="s">
        <v>114</v>
      </c>
      <c r="D74" s="7"/>
      <c r="E74" s="8" t="s">
        <v>389</v>
      </c>
      <c r="N74" s="10"/>
    </row>
    <row r="75" spans="1:14">
      <c r="A75" s="103"/>
      <c r="B75" s="3" t="s">
        <v>108</v>
      </c>
      <c r="C75" s="6" t="s">
        <v>390</v>
      </c>
      <c r="D75" s="7"/>
      <c r="E75" s="8" t="s">
        <v>391</v>
      </c>
      <c r="N75" s="10"/>
    </row>
    <row r="76" spans="1:14">
      <c r="A76" s="103"/>
      <c r="B76" s="3" t="s">
        <v>109</v>
      </c>
      <c r="C76" s="6" t="s">
        <v>392</v>
      </c>
      <c r="D76" s="7"/>
      <c r="E76" s="8" t="s">
        <v>393</v>
      </c>
    </row>
    <row r="77" spans="1:14">
      <c r="A77" s="103"/>
      <c r="B77" s="3" t="s">
        <v>110</v>
      </c>
      <c r="C77" s="6" t="s">
        <v>394</v>
      </c>
      <c r="D77" s="7"/>
      <c r="E77" s="8" t="s">
        <v>395</v>
      </c>
    </row>
    <row r="78" spans="1:14">
      <c r="A78" s="103"/>
      <c r="B78" s="3" t="s">
        <v>111</v>
      </c>
      <c r="C78" s="6" t="s">
        <v>115</v>
      </c>
      <c r="D78" s="7"/>
      <c r="E78" s="8" t="s">
        <v>396</v>
      </c>
    </row>
    <row r="79" spans="1:14">
      <c r="A79" s="103"/>
      <c r="B79" s="3" t="s">
        <v>112</v>
      </c>
      <c r="C79" s="6" t="s">
        <v>110</v>
      </c>
      <c r="D79" s="7"/>
      <c r="E79" s="8" t="s">
        <v>397</v>
      </c>
    </row>
    <row r="80" spans="1:14">
      <c r="A80" s="103"/>
      <c r="B80" s="3" t="s">
        <v>113</v>
      </c>
      <c r="C80" s="6" t="s">
        <v>112</v>
      </c>
      <c r="D80" s="7"/>
      <c r="E80" s="8" t="s">
        <v>398</v>
      </c>
    </row>
    <row r="81" spans="1:7">
      <c r="A81" s="103"/>
      <c r="B81" s="3" t="s">
        <v>114</v>
      </c>
      <c r="C81" s="6" t="s">
        <v>111</v>
      </c>
      <c r="D81" s="7"/>
      <c r="E81" s="8" t="s">
        <v>399</v>
      </c>
    </row>
    <row r="82" spans="1:7">
      <c r="A82" s="103"/>
      <c r="B82" s="3" t="s">
        <v>115</v>
      </c>
      <c r="C82" s="6" t="s">
        <v>107</v>
      </c>
      <c r="D82" s="7"/>
      <c r="E82" s="8" t="s">
        <v>400</v>
      </c>
    </row>
    <row r="83" spans="1:7">
      <c r="A83" s="103"/>
      <c r="C83" s="6" t="s">
        <v>401</v>
      </c>
      <c r="D83" s="7"/>
      <c r="E83" s="8" t="s">
        <v>402</v>
      </c>
    </row>
    <row r="84" spans="1:7">
      <c r="A84" s="103"/>
      <c r="C84" s="6" t="s">
        <v>113</v>
      </c>
      <c r="D84" s="7"/>
      <c r="E84" s="8" t="s">
        <v>403</v>
      </c>
    </row>
    <row r="85" spans="1:7">
      <c r="A85" s="103"/>
      <c r="C85" s="6" t="s">
        <v>108</v>
      </c>
      <c r="D85" s="7"/>
      <c r="E85" s="8" t="s">
        <v>404</v>
      </c>
    </row>
    <row r="86" spans="1:7">
      <c r="A86" s="103"/>
      <c r="C86" s="6" t="s">
        <v>109</v>
      </c>
      <c r="D86" s="7"/>
      <c r="E86" s="8" t="s">
        <v>405</v>
      </c>
    </row>
    <row r="87" spans="1:7">
      <c r="A87" s="103" t="s">
        <v>10</v>
      </c>
      <c r="B87" s="3" t="s">
        <v>116</v>
      </c>
      <c r="C87" s="6" t="s">
        <v>120</v>
      </c>
      <c r="D87" s="7"/>
      <c r="E87" s="8" t="s">
        <v>406</v>
      </c>
    </row>
    <row r="88" spans="1:7">
      <c r="A88" s="103"/>
      <c r="B88" s="3" t="s">
        <v>117</v>
      </c>
      <c r="C88" s="6" t="s">
        <v>117</v>
      </c>
      <c r="D88" s="7"/>
      <c r="E88" s="8" t="s">
        <v>407</v>
      </c>
    </row>
    <row r="89" spans="1:7">
      <c r="A89" s="103"/>
      <c r="B89" s="3" t="s">
        <v>118</v>
      </c>
      <c r="C89" s="6" t="s">
        <v>128</v>
      </c>
      <c r="D89" s="7"/>
      <c r="E89" s="8" t="s">
        <v>408</v>
      </c>
    </row>
    <row r="90" spans="1:7">
      <c r="A90" s="103"/>
      <c r="B90" s="3" t="s">
        <v>119</v>
      </c>
      <c r="C90" s="6" t="s">
        <v>118</v>
      </c>
      <c r="D90" s="7"/>
      <c r="E90" s="8" t="s">
        <v>409</v>
      </c>
    </row>
    <row r="91" spans="1:7">
      <c r="A91" s="103"/>
      <c r="B91" s="3" t="s">
        <v>120</v>
      </c>
      <c r="C91" s="6" t="s">
        <v>123</v>
      </c>
      <c r="D91" s="7"/>
      <c r="E91" s="8" t="s">
        <v>410</v>
      </c>
    </row>
    <row r="92" spans="1:7">
      <c r="A92" s="103"/>
      <c r="B92" s="3" t="s">
        <v>121</v>
      </c>
      <c r="C92" s="6" t="s">
        <v>119</v>
      </c>
      <c r="D92" s="7"/>
      <c r="E92" s="8" t="s">
        <v>411</v>
      </c>
    </row>
    <row r="93" spans="1:7">
      <c r="A93" s="103"/>
      <c r="B93" s="3" t="s">
        <v>122</v>
      </c>
      <c r="C93" s="6" t="s">
        <v>129</v>
      </c>
      <c r="D93" s="7"/>
      <c r="E93" s="8" t="s">
        <v>412</v>
      </c>
    </row>
    <row r="94" spans="1:7">
      <c r="A94" s="103"/>
      <c r="B94" s="3" t="s">
        <v>123</v>
      </c>
      <c r="C94" s="6" t="s">
        <v>124</v>
      </c>
      <c r="D94" s="7"/>
      <c r="E94" s="8" t="s">
        <v>413</v>
      </c>
    </row>
    <row r="95" spans="1:7">
      <c r="A95" s="103"/>
      <c r="B95" s="3" t="s">
        <v>124</v>
      </c>
      <c r="C95" s="6" t="s">
        <v>126</v>
      </c>
      <c r="D95" s="7"/>
      <c r="E95" s="8" t="s">
        <v>414</v>
      </c>
    </row>
    <row r="96" spans="1:7">
      <c r="A96" s="103"/>
      <c r="B96" s="3" t="s">
        <v>125</v>
      </c>
      <c r="C96" s="6" t="s">
        <v>127</v>
      </c>
      <c r="D96" s="7" t="s">
        <v>667</v>
      </c>
      <c r="E96" s="8" t="s">
        <v>415</v>
      </c>
      <c r="F96" s="3">
        <f>102000/2</f>
        <v>51000</v>
      </c>
      <c r="G96" s="9">
        <f>F96/(F96+F98)</f>
        <v>6.8965517241379309E-2</v>
      </c>
    </row>
    <row r="97" spans="1:7">
      <c r="A97" s="103"/>
      <c r="B97" s="3" t="s">
        <v>126</v>
      </c>
      <c r="C97" s="6" t="s">
        <v>121</v>
      </c>
      <c r="D97" s="7"/>
      <c r="E97" s="8" t="s">
        <v>416</v>
      </c>
    </row>
    <row r="98" spans="1:7">
      <c r="A98" s="103"/>
      <c r="B98" s="3" t="s">
        <v>127</v>
      </c>
      <c r="C98" s="6" t="s">
        <v>125</v>
      </c>
      <c r="D98" s="7" t="s">
        <v>666</v>
      </c>
      <c r="E98" s="8" t="s">
        <v>417</v>
      </c>
      <c r="F98" s="3">
        <f>(675000+702000)/2</f>
        <v>688500</v>
      </c>
      <c r="G98" s="9">
        <f>F98/(F98+F96)</f>
        <v>0.93103448275862066</v>
      </c>
    </row>
    <row r="99" spans="1:7">
      <c r="A99" s="103"/>
      <c r="B99" s="3" t="s">
        <v>128</v>
      </c>
      <c r="C99" s="6" t="s">
        <v>122</v>
      </c>
      <c r="D99" s="7"/>
      <c r="E99" s="8" t="s">
        <v>418</v>
      </c>
    </row>
    <row r="100" spans="1:7">
      <c r="A100" s="103"/>
      <c r="B100" s="3" t="s">
        <v>129</v>
      </c>
      <c r="C100" s="6" t="s">
        <v>419</v>
      </c>
      <c r="D100" s="7"/>
      <c r="E100" s="8" t="s">
        <v>420</v>
      </c>
    </row>
    <row r="101" spans="1:7">
      <c r="A101" s="103"/>
      <c r="B101" s="3" t="s">
        <v>130</v>
      </c>
      <c r="C101" s="6" t="s">
        <v>130</v>
      </c>
      <c r="D101" s="7"/>
      <c r="E101" s="8" t="s">
        <v>421</v>
      </c>
    </row>
    <row r="102" spans="1:7">
      <c r="A102" s="103"/>
      <c r="C102" s="6" t="s">
        <v>116</v>
      </c>
      <c r="D102" s="7"/>
      <c r="E102" s="8" t="s">
        <v>422</v>
      </c>
    </row>
    <row r="103" spans="1:7">
      <c r="A103" s="103"/>
      <c r="C103" s="6" t="s">
        <v>423</v>
      </c>
      <c r="D103" s="7"/>
      <c r="E103" s="8" t="s">
        <v>424</v>
      </c>
    </row>
    <row r="104" spans="1:7">
      <c r="A104" s="103"/>
      <c r="C104" s="6" t="s">
        <v>425</v>
      </c>
      <c r="D104" s="7"/>
      <c r="E104" s="8" t="s">
        <v>426</v>
      </c>
    </row>
    <row r="105" spans="1:7">
      <c r="A105" s="103"/>
      <c r="C105" s="6" t="s">
        <v>427</v>
      </c>
      <c r="D105" s="7"/>
      <c r="E105" s="8" t="s">
        <v>428</v>
      </c>
    </row>
    <row r="106" spans="1:7">
      <c r="A106" s="103" t="s">
        <v>11</v>
      </c>
      <c r="B106" s="3" t="s">
        <v>131</v>
      </c>
      <c r="C106" s="6" t="s">
        <v>132</v>
      </c>
      <c r="D106" s="7"/>
      <c r="E106" s="8" t="s">
        <v>429</v>
      </c>
    </row>
    <row r="107" spans="1:7">
      <c r="A107" s="103"/>
      <c r="B107" s="3" t="s">
        <v>132</v>
      </c>
      <c r="C107" s="6" t="s">
        <v>143</v>
      </c>
      <c r="D107" s="7"/>
      <c r="E107" s="8" t="s">
        <v>430</v>
      </c>
    </row>
    <row r="108" spans="1:7">
      <c r="A108" s="103"/>
      <c r="B108" s="3" t="s">
        <v>133</v>
      </c>
      <c r="C108" s="6" t="s">
        <v>141</v>
      </c>
      <c r="D108" s="7"/>
      <c r="E108" s="8" t="s">
        <v>431</v>
      </c>
    </row>
    <row r="109" spans="1:7">
      <c r="A109" s="103"/>
      <c r="B109" s="3" t="s">
        <v>134</v>
      </c>
      <c r="C109" s="6" t="s">
        <v>138</v>
      </c>
      <c r="D109" s="7"/>
      <c r="E109" s="8" t="s">
        <v>432</v>
      </c>
    </row>
    <row r="110" spans="1:7">
      <c r="A110" s="103"/>
      <c r="B110" s="3" t="s">
        <v>135</v>
      </c>
      <c r="C110" s="12" t="s">
        <v>145</v>
      </c>
      <c r="D110" s="8"/>
      <c r="E110" s="13" t="s">
        <v>433</v>
      </c>
    </row>
    <row r="111" spans="1:7" ht="30">
      <c r="A111" s="103"/>
      <c r="B111" s="3" t="s">
        <v>136</v>
      </c>
      <c r="C111" s="12" t="s">
        <v>137</v>
      </c>
      <c r="D111" s="28" t="s">
        <v>671</v>
      </c>
      <c r="E111" s="13" t="s">
        <v>434</v>
      </c>
      <c r="F111" s="3">
        <f>(525000+425000)/2</f>
        <v>475000</v>
      </c>
      <c r="G111" s="9">
        <f>F111/(F$111+F$112+F$125+F$126)</f>
        <v>0.34050179211469533</v>
      </c>
    </row>
    <row r="112" spans="1:7">
      <c r="A112" s="103"/>
      <c r="B112" s="3" t="s">
        <v>137</v>
      </c>
      <c r="C112" s="6" t="s">
        <v>134</v>
      </c>
      <c r="D112" s="3" t="s">
        <v>668</v>
      </c>
      <c r="E112" s="8" t="s">
        <v>435</v>
      </c>
      <c r="F112" s="3">
        <f>380000/2</f>
        <v>190000</v>
      </c>
      <c r="G112" s="9">
        <f t="shared" ref="G112:G126" si="1">F112/(F$111+F$112+F$125+F$126)</f>
        <v>0.13620071684587814</v>
      </c>
    </row>
    <row r="113" spans="1:7">
      <c r="A113" s="103"/>
      <c r="B113" s="3" t="s">
        <v>138</v>
      </c>
      <c r="C113" s="6" t="s">
        <v>151</v>
      </c>
      <c r="D113" s="7"/>
      <c r="E113" s="8" t="s">
        <v>436</v>
      </c>
    </row>
    <row r="114" spans="1:7">
      <c r="A114" s="103"/>
      <c r="B114" s="3" t="s">
        <v>139</v>
      </c>
      <c r="C114" s="6" t="s">
        <v>133</v>
      </c>
      <c r="D114" s="7"/>
      <c r="E114" s="8" t="s">
        <v>437</v>
      </c>
    </row>
    <row r="115" spans="1:7">
      <c r="A115" s="103"/>
      <c r="B115" s="3" t="s">
        <v>140</v>
      </c>
      <c r="C115" s="6" t="s">
        <v>148</v>
      </c>
      <c r="D115" s="7"/>
      <c r="E115" s="8" t="s">
        <v>438</v>
      </c>
    </row>
    <row r="116" spans="1:7">
      <c r="A116" s="103"/>
      <c r="B116" s="3" t="s">
        <v>141</v>
      </c>
      <c r="C116" s="6" t="s">
        <v>135</v>
      </c>
      <c r="D116" s="7"/>
      <c r="E116" s="8" t="s">
        <v>439</v>
      </c>
    </row>
    <row r="117" spans="1:7">
      <c r="A117" s="103"/>
      <c r="B117" s="3" t="s">
        <v>142</v>
      </c>
      <c r="C117" s="6" t="s">
        <v>136</v>
      </c>
      <c r="D117" s="7"/>
      <c r="E117" s="8" t="s">
        <v>440</v>
      </c>
    </row>
    <row r="118" spans="1:7">
      <c r="A118" s="103"/>
      <c r="B118" s="3" t="s">
        <v>143</v>
      </c>
      <c r="C118" s="6" t="s">
        <v>140</v>
      </c>
      <c r="D118" s="7"/>
      <c r="E118" s="8" t="s">
        <v>441</v>
      </c>
    </row>
    <row r="119" spans="1:7">
      <c r="A119" s="103"/>
      <c r="B119" s="3" t="s">
        <v>144</v>
      </c>
      <c r="C119" s="6" t="s">
        <v>139</v>
      </c>
      <c r="D119" s="7"/>
      <c r="E119" s="8" t="s">
        <v>442</v>
      </c>
    </row>
    <row r="120" spans="1:7">
      <c r="A120" s="103"/>
      <c r="B120" s="3" t="s">
        <v>145</v>
      </c>
      <c r="C120" s="6" t="s">
        <v>142</v>
      </c>
      <c r="D120" s="7"/>
      <c r="E120" s="8" t="s">
        <v>443</v>
      </c>
    </row>
    <row r="121" spans="1:7">
      <c r="A121" s="103"/>
      <c r="B121" s="3" t="s">
        <v>146</v>
      </c>
      <c r="C121" s="6" t="s">
        <v>144</v>
      </c>
      <c r="D121" s="7"/>
      <c r="E121" s="8" t="s">
        <v>444</v>
      </c>
    </row>
    <row r="122" spans="1:7">
      <c r="A122" s="103"/>
      <c r="B122" s="3" t="s">
        <v>147</v>
      </c>
      <c r="C122" s="6" t="s">
        <v>146</v>
      </c>
      <c r="D122" s="7"/>
      <c r="E122" s="8" t="s">
        <v>445</v>
      </c>
    </row>
    <row r="123" spans="1:7">
      <c r="A123" s="103"/>
      <c r="B123" s="3" t="s">
        <v>148</v>
      </c>
      <c r="C123" s="6" t="s">
        <v>147</v>
      </c>
      <c r="D123" s="7"/>
      <c r="E123" s="8" t="s">
        <v>446</v>
      </c>
    </row>
    <row r="124" spans="1:7">
      <c r="A124" s="103"/>
      <c r="B124" s="3" t="s">
        <v>149</v>
      </c>
      <c r="C124" s="6" t="s">
        <v>150</v>
      </c>
      <c r="D124" s="7"/>
      <c r="E124" s="8" t="s">
        <v>447</v>
      </c>
    </row>
    <row r="125" spans="1:7">
      <c r="A125" s="103"/>
      <c r="B125" s="3" t="s">
        <v>150</v>
      </c>
      <c r="C125" s="6" t="s">
        <v>152</v>
      </c>
      <c r="D125" s="7" t="s">
        <v>669</v>
      </c>
      <c r="E125" s="8" t="s">
        <v>448</v>
      </c>
      <c r="F125" s="3">
        <f>250000/2</f>
        <v>125000</v>
      </c>
      <c r="G125" s="9">
        <f t="shared" si="1"/>
        <v>8.9605734767025089E-2</v>
      </c>
    </row>
    <row r="126" spans="1:7" ht="30">
      <c r="A126" s="103"/>
      <c r="B126" s="3" t="s">
        <v>151</v>
      </c>
      <c r="C126" s="6" t="s">
        <v>149</v>
      </c>
      <c r="D126" s="7" t="s">
        <v>670</v>
      </c>
      <c r="E126" s="8" t="s">
        <v>449</v>
      </c>
      <c r="F126" s="3">
        <f>(470000+740000)/2</f>
        <v>605000</v>
      </c>
      <c r="G126" s="9">
        <f t="shared" si="1"/>
        <v>0.43369175627240142</v>
      </c>
    </row>
    <row r="127" spans="1:7">
      <c r="A127" s="103"/>
      <c r="B127" s="3" t="s">
        <v>152</v>
      </c>
      <c r="C127" s="6" t="s">
        <v>131</v>
      </c>
      <c r="D127" s="7"/>
      <c r="E127" s="8" t="s">
        <v>450</v>
      </c>
    </row>
    <row r="128" spans="1:7">
      <c r="A128" s="103"/>
      <c r="C128" s="6" t="s">
        <v>451</v>
      </c>
      <c r="D128" s="7"/>
      <c r="E128" s="8" t="s">
        <v>452</v>
      </c>
    </row>
    <row r="129" spans="1:7">
      <c r="A129" s="103"/>
      <c r="C129" s="6" t="s">
        <v>453</v>
      </c>
      <c r="D129" s="7"/>
      <c r="E129" s="8" t="s">
        <v>454</v>
      </c>
    </row>
    <row r="130" spans="1:7">
      <c r="A130" s="103"/>
      <c r="C130" s="6" t="s">
        <v>455</v>
      </c>
      <c r="D130" s="7"/>
      <c r="E130" s="8" t="s">
        <v>456</v>
      </c>
    </row>
    <row r="131" spans="1:7">
      <c r="A131" s="103"/>
      <c r="C131" s="6" t="s">
        <v>457</v>
      </c>
      <c r="D131" s="7"/>
      <c r="E131" s="8" t="s">
        <v>458</v>
      </c>
    </row>
    <row r="132" spans="1:7">
      <c r="A132" s="103"/>
      <c r="C132" s="6" t="s">
        <v>459</v>
      </c>
      <c r="D132" s="7"/>
      <c r="E132" s="8" t="s">
        <v>460</v>
      </c>
    </row>
    <row r="133" spans="1:7">
      <c r="A133" s="103" t="s">
        <v>12</v>
      </c>
      <c r="B133" s="3" t="s">
        <v>153</v>
      </c>
      <c r="C133" s="13" t="s">
        <v>461</v>
      </c>
      <c r="D133" s="8"/>
      <c r="E133" s="13" t="s">
        <v>462</v>
      </c>
    </row>
    <row r="134" spans="1:7">
      <c r="A134" s="103"/>
      <c r="B134" s="3" t="s">
        <v>154</v>
      </c>
      <c r="C134" s="6" t="s">
        <v>154</v>
      </c>
      <c r="D134" s="7"/>
      <c r="E134" s="8" t="s">
        <v>463</v>
      </c>
    </row>
    <row r="135" spans="1:7">
      <c r="A135" s="103"/>
      <c r="C135" s="6" t="s">
        <v>464</v>
      </c>
      <c r="D135" s="7"/>
      <c r="E135" s="8" t="s">
        <v>465</v>
      </c>
    </row>
    <row r="136" spans="1:7">
      <c r="A136" s="103"/>
      <c r="C136" s="6" t="s">
        <v>466</v>
      </c>
      <c r="D136" s="7"/>
      <c r="E136" s="8" t="s">
        <v>467</v>
      </c>
    </row>
    <row r="137" spans="1:7">
      <c r="A137" s="103" t="s">
        <v>13</v>
      </c>
      <c r="B137" s="3" t="s">
        <v>155</v>
      </c>
      <c r="C137" s="6" t="s">
        <v>163</v>
      </c>
      <c r="D137" s="7"/>
      <c r="E137" s="8" t="s">
        <v>468</v>
      </c>
    </row>
    <row r="138" spans="1:7">
      <c r="A138" s="103"/>
      <c r="B138" s="3" t="s">
        <v>156</v>
      </c>
      <c r="C138" s="6" t="s">
        <v>156</v>
      </c>
      <c r="D138" s="7"/>
      <c r="E138" s="8" t="s">
        <v>469</v>
      </c>
    </row>
    <row r="139" spans="1:7">
      <c r="A139" s="103"/>
      <c r="B139" s="3" t="s">
        <v>157</v>
      </c>
      <c r="C139" s="6" t="s">
        <v>167</v>
      </c>
      <c r="D139" s="7"/>
      <c r="E139" s="8" t="s">
        <v>470</v>
      </c>
    </row>
    <row r="140" spans="1:7">
      <c r="A140" s="103"/>
      <c r="B140" s="3" t="s">
        <v>158</v>
      </c>
      <c r="C140" s="6" t="s">
        <v>166</v>
      </c>
      <c r="D140" s="7"/>
      <c r="E140" s="8" t="s">
        <v>471</v>
      </c>
    </row>
    <row r="141" spans="1:7">
      <c r="A141" s="103"/>
      <c r="B141" s="3" t="s">
        <v>159</v>
      </c>
      <c r="C141" s="6" t="s">
        <v>175</v>
      </c>
      <c r="D141" s="7"/>
      <c r="E141" s="8" t="s">
        <v>472</v>
      </c>
    </row>
    <row r="142" spans="1:7">
      <c r="A142" s="103"/>
      <c r="B142" s="3" t="s">
        <v>160</v>
      </c>
      <c r="C142" s="6" t="s">
        <v>164</v>
      </c>
      <c r="D142" s="7"/>
      <c r="E142" s="8" t="s">
        <v>473</v>
      </c>
    </row>
    <row r="143" spans="1:7">
      <c r="A143" s="103"/>
      <c r="B143" s="3" t="s">
        <v>161</v>
      </c>
      <c r="C143" s="6" t="s">
        <v>171</v>
      </c>
      <c r="D143" s="7"/>
      <c r="E143" s="8" t="s">
        <v>474</v>
      </c>
    </row>
    <row r="144" spans="1:7">
      <c r="A144" s="103"/>
      <c r="B144" s="3" t="s">
        <v>162</v>
      </c>
      <c r="C144" s="6" t="s">
        <v>174</v>
      </c>
      <c r="D144" s="3" t="s">
        <v>682</v>
      </c>
      <c r="E144" s="8" t="s">
        <v>475</v>
      </c>
      <c r="F144" s="3">
        <f>468000/2</f>
        <v>234000</v>
      </c>
      <c r="G144" s="9">
        <f t="shared" ref="G144:G147" si="2">F144/SUM(F$144:F$151)</f>
        <v>0.29440442864781557</v>
      </c>
    </row>
    <row r="145" spans="1:7">
      <c r="A145" s="103"/>
      <c r="B145" s="3" t="s">
        <v>163</v>
      </c>
      <c r="C145" s="6" t="s">
        <v>173</v>
      </c>
      <c r="D145" s="7"/>
      <c r="E145" s="8" t="s">
        <v>476</v>
      </c>
    </row>
    <row r="146" spans="1:7">
      <c r="A146" s="103"/>
      <c r="B146" s="3" t="s">
        <v>164</v>
      </c>
      <c r="C146" s="6" t="s">
        <v>172</v>
      </c>
      <c r="D146" s="7"/>
      <c r="E146" s="8" t="s">
        <v>477</v>
      </c>
    </row>
    <row r="147" spans="1:7">
      <c r="A147" s="103"/>
      <c r="B147" s="3" t="s">
        <v>165</v>
      </c>
      <c r="C147" s="6" t="s">
        <v>161</v>
      </c>
      <c r="D147" s="3" t="s">
        <v>683</v>
      </c>
      <c r="E147" s="8" t="s">
        <v>478</v>
      </c>
      <c r="F147" s="3">
        <f>558450/2</f>
        <v>279225</v>
      </c>
      <c r="G147" s="9">
        <f t="shared" si="2"/>
        <v>0.35130374610763376</v>
      </c>
    </row>
    <row r="148" spans="1:7">
      <c r="A148" s="103"/>
      <c r="B148" s="3" t="s">
        <v>166</v>
      </c>
      <c r="C148" s="6" t="s">
        <v>162</v>
      </c>
      <c r="D148" s="7"/>
      <c r="E148" s="8" t="s">
        <v>479</v>
      </c>
    </row>
    <row r="149" spans="1:7" ht="30">
      <c r="A149" s="103"/>
      <c r="B149" s="3" t="s">
        <v>167</v>
      </c>
      <c r="C149" s="6" t="s">
        <v>158</v>
      </c>
      <c r="D149" s="7"/>
      <c r="E149" s="8" t="s">
        <v>480</v>
      </c>
    </row>
    <row r="150" spans="1:7">
      <c r="A150" s="103"/>
      <c r="B150" s="3" t="s">
        <v>168</v>
      </c>
      <c r="C150" s="6" t="s">
        <v>159</v>
      </c>
      <c r="D150" s="7"/>
      <c r="E150" s="8" t="s">
        <v>481</v>
      </c>
    </row>
    <row r="151" spans="1:7">
      <c r="A151" s="103"/>
      <c r="B151" s="3" t="s">
        <v>169</v>
      </c>
      <c r="C151" s="6" t="s">
        <v>155</v>
      </c>
      <c r="D151" s="3" t="s">
        <v>684</v>
      </c>
      <c r="E151" s="8" t="s">
        <v>482</v>
      </c>
      <c r="F151" s="3">
        <f>563200/2</f>
        <v>281600</v>
      </c>
      <c r="G151" s="9">
        <f>F151/SUM(F$144:F$151)</f>
        <v>0.35429182524455066</v>
      </c>
    </row>
    <row r="152" spans="1:7">
      <c r="A152" s="103"/>
      <c r="B152" s="3" t="s">
        <v>170</v>
      </c>
      <c r="C152" s="6" t="s">
        <v>169</v>
      </c>
      <c r="D152" s="7"/>
      <c r="E152" s="8" t="s">
        <v>483</v>
      </c>
    </row>
    <row r="153" spans="1:7">
      <c r="A153" s="103"/>
      <c r="B153" s="3" t="s">
        <v>171</v>
      </c>
      <c r="C153" s="6" t="s">
        <v>170</v>
      </c>
      <c r="D153" s="7"/>
      <c r="E153" s="8" t="s">
        <v>484</v>
      </c>
    </row>
    <row r="154" spans="1:7">
      <c r="A154" s="103"/>
      <c r="B154" s="3" t="s">
        <v>172</v>
      </c>
      <c r="C154" s="6" t="s">
        <v>160</v>
      </c>
      <c r="D154" s="7"/>
      <c r="E154" s="8" t="s">
        <v>485</v>
      </c>
    </row>
    <row r="155" spans="1:7">
      <c r="A155" s="103"/>
      <c r="B155" s="3" t="s">
        <v>173</v>
      </c>
      <c r="C155" s="6" t="s">
        <v>157</v>
      </c>
      <c r="D155" s="7"/>
      <c r="E155" s="8" t="s">
        <v>486</v>
      </c>
    </row>
    <row r="156" spans="1:7">
      <c r="A156" s="103"/>
      <c r="B156" s="3" t="s">
        <v>174</v>
      </c>
      <c r="C156" s="6" t="s">
        <v>165</v>
      </c>
      <c r="D156" s="7"/>
      <c r="E156" s="8" t="s">
        <v>487</v>
      </c>
    </row>
    <row r="157" spans="1:7">
      <c r="A157" s="103"/>
      <c r="B157" s="3" t="s">
        <v>175</v>
      </c>
      <c r="C157" s="6" t="s">
        <v>168</v>
      </c>
      <c r="D157" s="7"/>
      <c r="E157" s="8" t="s">
        <v>488</v>
      </c>
    </row>
    <row r="158" spans="1:7">
      <c r="A158" s="29" t="s">
        <v>625</v>
      </c>
      <c r="C158" s="6" t="s">
        <v>489</v>
      </c>
      <c r="D158" s="7"/>
      <c r="E158" s="8" t="s">
        <v>490</v>
      </c>
    </row>
    <row r="159" spans="1:7">
      <c r="A159" s="29" t="s">
        <v>14</v>
      </c>
      <c r="B159" s="3" t="s">
        <v>176</v>
      </c>
      <c r="C159" s="6" t="s">
        <v>176</v>
      </c>
      <c r="D159" s="7"/>
      <c r="E159" s="8" t="s">
        <v>491</v>
      </c>
    </row>
    <row r="160" spans="1:7">
      <c r="A160" s="103" t="s">
        <v>624</v>
      </c>
      <c r="B160" s="4" t="s">
        <v>492</v>
      </c>
      <c r="C160" s="6" t="s">
        <v>492</v>
      </c>
      <c r="D160" s="7"/>
      <c r="E160" s="8" t="s">
        <v>493</v>
      </c>
    </row>
    <row r="161" spans="1:7">
      <c r="A161" s="103"/>
      <c r="B161" s="4" t="s">
        <v>494</v>
      </c>
      <c r="C161" s="6" t="s">
        <v>494</v>
      </c>
      <c r="D161" s="7"/>
      <c r="E161" s="8" t="s">
        <v>495</v>
      </c>
    </row>
    <row r="162" spans="1:7">
      <c r="A162" s="29" t="s">
        <v>15</v>
      </c>
      <c r="B162" s="3" t="s">
        <v>177</v>
      </c>
      <c r="C162" s="6" t="s">
        <v>177</v>
      </c>
      <c r="D162" s="7"/>
      <c r="E162" s="8" t="s">
        <v>15</v>
      </c>
    </row>
    <row r="163" spans="1:7">
      <c r="A163" s="103" t="s">
        <v>16</v>
      </c>
      <c r="B163" s="3" t="s">
        <v>178</v>
      </c>
      <c r="C163" s="6" t="s">
        <v>182</v>
      </c>
      <c r="D163" s="7"/>
      <c r="E163" s="8" t="s">
        <v>496</v>
      </c>
    </row>
    <row r="164" spans="1:7">
      <c r="A164" s="103"/>
      <c r="B164" s="3" t="s">
        <v>179</v>
      </c>
      <c r="C164" s="6" t="s">
        <v>181</v>
      </c>
      <c r="D164" s="7"/>
      <c r="E164" s="8" t="s">
        <v>497</v>
      </c>
    </row>
    <row r="165" spans="1:7">
      <c r="A165" s="103"/>
      <c r="B165" s="3" t="s">
        <v>180</v>
      </c>
      <c r="C165" s="6" t="s">
        <v>180</v>
      </c>
      <c r="D165" s="7"/>
      <c r="E165" s="8" t="s">
        <v>498</v>
      </c>
    </row>
    <row r="166" spans="1:7">
      <c r="A166" s="103"/>
      <c r="B166" s="3" t="s">
        <v>181</v>
      </c>
      <c r="C166" s="6" t="s">
        <v>179</v>
      </c>
      <c r="D166" s="7"/>
      <c r="E166" s="8" t="s">
        <v>499</v>
      </c>
    </row>
    <row r="167" spans="1:7">
      <c r="A167" s="103"/>
      <c r="B167" s="3" t="s">
        <v>182</v>
      </c>
      <c r="C167" s="6" t="s">
        <v>184</v>
      </c>
      <c r="D167" s="7"/>
      <c r="E167" s="8" t="s">
        <v>500</v>
      </c>
    </row>
    <row r="168" spans="1:7">
      <c r="A168" s="103"/>
      <c r="B168" s="3" t="s">
        <v>183</v>
      </c>
      <c r="C168" s="6" t="s">
        <v>183</v>
      </c>
      <c r="D168" s="3" t="s">
        <v>685</v>
      </c>
      <c r="E168" s="8" t="s">
        <v>501</v>
      </c>
      <c r="F168" s="3">
        <f>665000/2</f>
        <v>332500</v>
      </c>
      <c r="G168" s="9">
        <v>1</v>
      </c>
    </row>
    <row r="169" spans="1:7">
      <c r="A169" s="103"/>
      <c r="B169" s="3" t="s">
        <v>184</v>
      </c>
      <c r="C169" s="6" t="s">
        <v>178</v>
      </c>
      <c r="D169" s="7"/>
      <c r="E169" s="8" t="s">
        <v>502</v>
      </c>
    </row>
    <row r="170" spans="1:7">
      <c r="A170" s="103"/>
      <c r="B170" s="3" t="s">
        <v>185</v>
      </c>
      <c r="C170" s="6" t="s">
        <v>185</v>
      </c>
      <c r="D170" s="7"/>
      <c r="E170" s="8" t="s">
        <v>503</v>
      </c>
    </row>
    <row r="171" spans="1:7">
      <c r="A171" s="29" t="s">
        <v>505</v>
      </c>
      <c r="C171" s="6" t="s">
        <v>504</v>
      </c>
      <c r="D171" s="7"/>
      <c r="E171" s="8" t="s">
        <v>505</v>
      </c>
    </row>
    <row r="172" spans="1:7">
      <c r="A172" s="103" t="s">
        <v>17</v>
      </c>
      <c r="B172" s="3" t="s">
        <v>186</v>
      </c>
      <c r="C172" s="6" t="s">
        <v>193</v>
      </c>
      <c r="D172" s="7"/>
      <c r="E172" s="8" t="s">
        <v>506</v>
      </c>
    </row>
    <row r="173" spans="1:7">
      <c r="A173" s="103"/>
      <c r="B173" s="3" t="s">
        <v>187</v>
      </c>
      <c r="C173" s="6" t="s">
        <v>195</v>
      </c>
      <c r="D173" s="7"/>
      <c r="E173" s="8" t="s">
        <v>507</v>
      </c>
    </row>
    <row r="174" spans="1:7">
      <c r="A174" s="103"/>
      <c r="B174" s="3" t="s">
        <v>188</v>
      </c>
      <c r="C174" s="6" t="s">
        <v>197</v>
      </c>
      <c r="D174" s="7"/>
      <c r="E174" s="8" t="s">
        <v>508</v>
      </c>
    </row>
    <row r="175" spans="1:7">
      <c r="A175" s="103"/>
      <c r="B175" s="3" t="s">
        <v>189</v>
      </c>
      <c r="C175" s="6" t="s">
        <v>188</v>
      </c>
      <c r="D175" s="7"/>
      <c r="E175" s="8" t="s">
        <v>509</v>
      </c>
    </row>
    <row r="176" spans="1:7">
      <c r="A176" s="103"/>
      <c r="B176" s="3" t="s">
        <v>190</v>
      </c>
      <c r="C176" s="6" t="s">
        <v>194</v>
      </c>
      <c r="D176" s="7"/>
      <c r="E176" s="8" t="s">
        <v>510</v>
      </c>
    </row>
    <row r="177" spans="1:7">
      <c r="A177" s="103"/>
      <c r="B177" s="3" t="s">
        <v>191</v>
      </c>
      <c r="C177" s="6" t="s">
        <v>196</v>
      </c>
      <c r="D177" s="7"/>
      <c r="E177" s="8" t="s">
        <v>511</v>
      </c>
    </row>
    <row r="178" spans="1:7">
      <c r="A178" s="103"/>
      <c r="B178" s="3" t="s">
        <v>192</v>
      </c>
      <c r="C178" s="6" t="s">
        <v>190</v>
      </c>
      <c r="D178" s="7"/>
      <c r="E178" s="8" t="s">
        <v>512</v>
      </c>
    </row>
    <row r="179" spans="1:7">
      <c r="A179" s="103"/>
      <c r="B179" s="3" t="s">
        <v>193</v>
      </c>
      <c r="C179" s="6" t="s">
        <v>189</v>
      </c>
      <c r="D179" s="7"/>
      <c r="E179" s="8" t="s">
        <v>513</v>
      </c>
    </row>
    <row r="180" spans="1:7">
      <c r="A180" s="103"/>
      <c r="B180" s="3" t="s">
        <v>194</v>
      </c>
      <c r="C180" s="6" t="s">
        <v>186</v>
      </c>
      <c r="D180" s="7"/>
      <c r="E180" s="8" t="s">
        <v>514</v>
      </c>
    </row>
    <row r="181" spans="1:7">
      <c r="A181" s="103"/>
      <c r="B181" s="3" t="s">
        <v>195</v>
      </c>
      <c r="C181" s="6" t="s">
        <v>187</v>
      </c>
      <c r="D181" s="3" t="s">
        <v>681</v>
      </c>
      <c r="E181" s="8" t="s">
        <v>515</v>
      </c>
      <c r="F181" s="3">
        <f>1825000/2</f>
        <v>912500</v>
      </c>
      <c r="G181" s="9">
        <f>F181/SUM(F$181:F$183)</f>
        <v>0.4466470876162506</v>
      </c>
    </row>
    <row r="182" spans="1:7">
      <c r="A182" s="103"/>
      <c r="B182" s="3" t="s">
        <v>196</v>
      </c>
      <c r="C182" s="6" t="s">
        <v>191</v>
      </c>
      <c r="D182" s="3" t="s">
        <v>680</v>
      </c>
      <c r="E182" s="8" t="s">
        <v>516</v>
      </c>
      <c r="F182" s="3">
        <f>910000/2</f>
        <v>455000</v>
      </c>
      <c r="G182" s="9">
        <f t="shared" ref="G182:G183" si="3">F182/SUM(F$181:F$183)</f>
        <v>0.22271169848262359</v>
      </c>
    </row>
    <row r="183" spans="1:7">
      <c r="A183" s="103"/>
      <c r="B183" s="3" t="s">
        <v>197</v>
      </c>
      <c r="C183" s="6" t="s">
        <v>192</v>
      </c>
      <c r="D183" s="3" t="s">
        <v>679</v>
      </c>
      <c r="E183" s="8" t="s">
        <v>517</v>
      </c>
      <c r="F183" s="3">
        <f>1351000/2</f>
        <v>675500</v>
      </c>
      <c r="G183" s="9">
        <f t="shared" si="3"/>
        <v>0.33064121390112577</v>
      </c>
    </row>
    <row r="184" spans="1:7">
      <c r="A184" s="103" t="s">
        <v>18</v>
      </c>
      <c r="B184" s="3" t="s">
        <v>198</v>
      </c>
      <c r="C184" s="6" t="s">
        <v>206</v>
      </c>
      <c r="D184" s="7"/>
      <c r="E184" s="8" t="s">
        <v>518</v>
      </c>
    </row>
    <row r="185" spans="1:7">
      <c r="A185" s="103"/>
      <c r="B185" s="3" t="s">
        <v>199</v>
      </c>
      <c r="C185" s="6" t="s">
        <v>204</v>
      </c>
      <c r="D185" s="7" t="s">
        <v>664</v>
      </c>
      <c r="E185" s="8" t="s">
        <v>519</v>
      </c>
      <c r="F185" s="3">
        <f>500000/2</f>
        <v>250000</v>
      </c>
      <c r="G185" s="9">
        <v>1</v>
      </c>
    </row>
    <row r="186" spans="1:7">
      <c r="A186" s="103"/>
      <c r="B186" s="3" t="s">
        <v>200</v>
      </c>
      <c r="C186" s="6" t="s">
        <v>203</v>
      </c>
      <c r="D186" s="7"/>
      <c r="E186" s="8" t="s">
        <v>520</v>
      </c>
    </row>
    <row r="187" spans="1:7">
      <c r="A187" s="103"/>
      <c r="B187" s="3" t="s">
        <v>201</v>
      </c>
      <c r="C187" s="6" t="s">
        <v>205</v>
      </c>
      <c r="D187" s="7"/>
      <c r="E187" s="8" t="s">
        <v>521</v>
      </c>
    </row>
    <row r="188" spans="1:7">
      <c r="A188" s="103"/>
      <c r="B188" s="3" t="s">
        <v>202</v>
      </c>
      <c r="C188" s="6" t="s">
        <v>200</v>
      </c>
      <c r="D188" s="7"/>
      <c r="E188" s="8" t="s">
        <v>522</v>
      </c>
    </row>
    <row r="189" spans="1:7">
      <c r="A189" s="103"/>
      <c r="B189" s="3" t="s">
        <v>203</v>
      </c>
      <c r="C189" s="6" t="s">
        <v>202</v>
      </c>
      <c r="D189" s="7"/>
      <c r="E189" s="8" t="s">
        <v>523</v>
      </c>
    </row>
    <row r="190" spans="1:7">
      <c r="A190" s="103"/>
      <c r="B190" s="3" t="s">
        <v>204</v>
      </c>
      <c r="C190" s="6" t="s">
        <v>201</v>
      </c>
      <c r="D190" s="7"/>
      <c r="E190" s="8" t="s">
        <v>524</v>
      </c>
    </row>
    <row r="191" spans="1:7">
      <c r="A191" s="103"/>
      <c r="B191" s="3" t="s">
        <v>205</v>
      </c>
      <c r="C191" s="6" t="s">
        <v>199</v>
      </c>
      <c r="D191" s="7"/>
      <c r="E191" s="8" t="s">
        <v>525</v>
      </c>
    </row>
    <row r="192" spans="1:7">
      <c r="A192" s="103"/>
      <c r="B192" s="3" t="s">
        <v>206</v>
      </c>
      <c r="C192" s="6" t="s">
        <v>198</v>
      </c>
      <c r="D192" s="7"/>
      <c r="E192" s="8" t="s">
        <v>526</v>
      </c>
    </row>
    <row r="193" spans="1:5">
      <c r="A193" s="103" t="s">
        <v>19</v>
      </c>
      <c r="B193" s="3" t="s">
        <v>207</v>
      </c>
      <c r="C193" s="6" t="s">
        <v>219</v>
      </c>
      <c r="D193" s="7"/>
      <c r="E193" s="8" t="s">
        <v>527</v>
      </c>
    </row>
    <row r="194" spans="1:5">
      <c r="A194" s="103"/>
      <c r="B194" s="3" t="s">
        <v>208</v>
      </c>
      <c r="C194" s="6" t="s">
        <v>210</v>
      </c>
      <c r="D194" s="7"/>
      <c r="E194" s="8" t="s">
        <v>528</v>
      </c>
    </row>
    <row r="195" spans="1:5">
      <c r="A195" s="103"/>
      <c r="B195" s="3" t="s">
        <v>209</v>
      </c>
      <c r="C195" s="6" t="s">
        <v>221</v>
      </c>
      <c r="D195" s="7"/>
      <c r="E195" s="8" t="s">
        <v>529</v>
      </c>
    </row>
    <row r="196" spans="1:5">
      <c r="A196" s="103"/>
      <c r="B196" s="3" t="s">
        <v>210</v>
      </c>
      <c r="C196" s="6" t="s">
        <v>207</v>
      </c>
      <c r="D196" s="7"/>
      <c r="E196" s="8" t="s">
        <v>530</v>
      </c>
    </row>
    <row r="197" spans="1:5">
      <c r="A197" s="103"/>
      <c r="B197" s="3" t="s">
        <v>211</v>
      </c>
      <c r="C197" s="6" t="s">
        <v>216</v>
      </c>
      <c r="D197" s="7"/>
      <c r="E197" s="8" t="s">
        <v>531</v>
      </c>
    </row>
    <row r="198" spans="1:5">
      <c r="A198" s="103"/>
      <c r="B198" s="3" t="s">
        <v>212</v>
      </c>
      <c r="C198" s="6" t="s">
        <v>218</v>
      </c>
      <c r="D198" s="7"/>
      <c r="E198" s="8" t="s">
        <v>532</v>
      </c>
    </row>
    <row r="199" spans="1:5">
      <c r="A199" s="103"/>
      <c r="B199" s="3" t="s">
        <v>213</v>
      </c>
      <c r="C199" s="6" t="s">
        <v>213</v>
      </c>
      <c r="D199" s="7"/>
      <c r="E199" s="8" t="s">
        <v>533</v>
      </c>
    </row>
    <row r="200" spans="1:5">
      <c r="A200" s="103"/>
      <c r="B200" s="3" t="s">
        <v>214</v>
      </c>
      <c r="C200" s="6" t="s">
        <v>220</v>
      </c>
      <c r="D200" s="7"/>
      <c r="E200" s="8" t="s">
        <v>534</v>
      </c>
    </row>
    <row r="201" spans="1:5">
      <c r="A201" s="103"/>
      <c r="B201" s="3" t="s">
        <v>215</v>
      </c>
      <c r="C201" s="6" t="s">
        <v>208</v>
      </c>
      <c r="D201" s="7"/>
      <c r="E201" s="8" t="s">
        <v>535</v>
      </c>
    </row>
    <row r="202" spans="1:5">
      <c r="A202" s="103"/>
      <c r="B202" s="3" t="s">
        <v>216</v>
      </c>
      <c r="C202" s="6" t="s">
        <v>211</v>
      </c>
      <c r="D202" s="7"/>
      <c r="E202" s="8" t="s">
        <v>536</v>
      </c>
    </row>
    <row r="203" spans="1:5">
      <c r="A203" s="103"/>
      <c r="B203" s="3" t="s">
        <v>217</v>
      </c>
      <c r="C203" s="6" t="s">
        <v>223</v>
      </c>
      <c r="D203" s="7"/>
      <c r="E203" s="8" t="s">
        <v>537</v>
      </c>
    </row>
    <row r="204" spans="1:5">
      <c r="A204" s="103"/>
      <c r="B204" s="3" t="s">
        <v>218</v>
      </c>
      <c r="C204" s="6" t="s">
        <v>222</v>
      </c>
      <c r="D204" s="7"/>
      <c r="E204" s="8" t="s">
        <v>538</v>
      </c>
    </row>
    <row r="205" spans="1:5">
      <c r="A205" s="103"/>
      <c r="B205" s="3" t="s">
        <v>219</v>
      </c>
      <c r="C205" s="6" t="s">
        <v>217</v>
      </c>
      <c r="D205" s="7"/>
      <c r="E205" s="8" t="s">
        <v>539</v>
      </c>
    </row>
    <row r="206" spans="1:5">
      <c r="A206" s="103"/>
      <c r="B206" s="3" t="s">
        <v>220</v>
      </c>
      <c r="C206" s="6" t="s">
        <v>209</v>
      </c>
      <c r="D206" s="7"/>
      <c r="E206" s="8" t="s">
        <v>540</v>
      </c>
    </row>
    <row r="207" spans="1:5">
      <c r="A207" s="103"/>
      <c r="B207" s="3" t="s">
        <v>221</v>
      </c>
      <c r="C207" s="6" t="s">
        <v>212</v>
      </c>
      <c r="D207" s="7"/>
      <c r="E207" s="8" t="s">
        <v>541</v>
      </c>
    </row>
    <row r="208" spans="1:5">
      <c r="A208" s="103"/>
      <c r="B208" s="3" t="s">
        <v>222</v>
      </c>
      <c r="C208" s="6" t="s">
        <v>214</v>
      </c>
      <c r="D208" s="7"/>
      <c r="E208" s="8" t="s">
        <v>542</v>
      </c>
    </row>
    <row r="209" spans="1:7">
      <c r="A209" s="103"/>
      <c r="B209" s="3" t="s">
        <v>223</v>
      </c>
      <c r="C209" s="6" t="s">
        <v>215</v>
      </c>
      <c r="D209" s="3" t="s">
        <v>678</v>
      </c>
      <c r="E209" s="8" t="s">
        <v>543</v>
      </c>
      <c r="F209" s="3">
        <f>700000/2</f>
        <v>350000</v>
      </c>
      <c r="G209" s="9">
        <v>1</v>
      </c>
    </row>
    <row r="210" spans="1:7">
      <c r="A210" s="103" t="s">
        <v>20</v>
      </c>
      <c r="B210" s="3" t="s">
        <v>224</v>
      </c>
      <c r="C210" s="6" t="s">
        <v>226</v>
      </c>
      <c r="D210" s="7"/>
      <c r="E210" s="8" t="s">
        <v>544</v>
      </c>
    </row>
    <row r="211" spans="1:7">
      <c r="A211" s="103"/>
      <c r="B211" s="3" t="s">
        <v>225</v>
      </c>
      <c r="C211" s="6" t="s">
        <v>225</v>
      </c>
      <c r="D211" s="7"/>
      <c r="E211" s="8" t="s">
        <v>545</v>
      </c>
    </row>
    <row r="212" spans="1:7">
      <c r="A212" s="103"/>
      <c r="B212" s="3" t="s">
        <v>226</v>
      </c>
      <c r="C212" s="6" t="s">
        <v>228</v>
      </c>
      <c r="D212" s="7"/>
      <c r="E212" s="8" t="s">
        <v>546</v>
      </c>
    </row>
    <row r="213" spans="1:7">
      <c r="A213" s="103"/>
      <c r="B213" s="3" t="s">
        <v>227</v>
      </c>
      <c r="C213" s="6" t="s">
        <v>224</v>
      </c>
      <c r="D213" s="7"/>
      <c r="E213" s="8" t="s">
        <v>547</v>
      </c>
    </row>
    <row r="214" spans="1:7">
      <c r="A214" s="103"/>
      <c r="B214" s="3" t="s">
        <v>228</v>
      </c>
      <c r="C214" s="6" t="s">
        <v>227</v>
      </c>
      <c r="D214" s="3" t="s">
        <v>677</v>
      </c>
      <c r="E214" s="8" t="s">
        <v>548</v>
      </c>
      <c r="F214" s="3">
        <f>1000000/2</f>
        <v>500000</v>
      </c>
      <c r="G214" s="9">
        <v>1</v>
      </c>
    </row>
    <row r="215" spans="1:7">
      <c r="A215" s="103"/>
      <c r="C215" s="6" t="s">
        <v>549</v>
      </c>
      <c r="D215" s="7"/>
      <c r="E215" s="8" t="s">
        <v>550</v>
      </c>
    </row>
    <row r="216" spans="1:7">
      <c r="A216" s="103"/>
      <c r="C216" s="6" t="s">
        <v>551</v>
      </c>
      <c r="D216" s="7"/>
      <c r="E216" s="8" t="s">
        <v>552</v>
      </c>
    </row>
    <row r="217" spans="1:7">
      <c r="A217" s="103" t="s">
        <v>21</v>
      </c>
      <c r="B217" s="3" t="s">
        <v>229</v>
      </c>
      <c r="C217" s="6" t="s">
        <v>231</v>
      </c>
      <c r="D217" s="7"/>
      <c r="E217" s="8" t="s">
        <v>553</v>
      </c>
    </row>
    <row r="218" spans="1:7">
      <c r="A218" s="103"/>
      <c r="B218" s="3" t="s">
        <v>230</v>
      </c>
      <c r="C218" s="6" t="s">
        <v>236</v>
      </c>
      <c r="D218" s="7"/>
      <c r="E218" s="8" t="s">
        <v>554</v>
      </c>
    </row>
    <row r="219" spans="1:7">
      <c r="A219" s="103"/>
      <c r="B219" s="3" t="s">
        <v>231</v>
      </c>
      <c r="C219" s="6" t="s">
        <v>232</v>
      </c>
      <c r="D219" s="7"/>
      <c r="E219" s="8" t="s">
        <v>555</v>
      </c>
    </row>
    <row r="220" spans="1:7">
      <c r="A220" s="103"/>
      <c r="B220" s="3" t="s">
        <v>232</v>
      </c>
      <c r="C220" s="6" t="s">
        <v>230</v>
      </c>
      <c r="D220" s="7"/>
      <c r="E220" s="8" t="s">
        <v>556</v>
      </c>
    </row>
    <row r="221" spans="1:7">
      <c r="A221" s="103"/>
      <c r="B221" s="3" t="s">
        <v>233</v>
      </c>
      <c r="C221" s="6" t="s">
        <v>234</v>
      </c>
      <c r="D221" s="7"/>
      <c r="E221" s="8" t="s">
        <v>557</v>
      </c>
    </row>
    <row r="222" spans="1:7">
      <c r="A222" s="103"/>
      <c r="B222" s="3" t="s">
        <v>234</v>
      </c>
      <c r="C222" s="6" t="s">
        <v>233</v>
      </c>
      <c r="D222" s="7"/>
      <c r="E222" s="8" t="s">
        <v>558</v>
      </c>
    </row>
    <row r="223" spans="1:7">
      <c r="A223" s="103"/>
      <c r="B223" s="3" t="s">
        <v>235</v>
      </c>
      <c r="C223" s="6" t="s">
        <v>229</v>
      </c>
      <c r="D223" s="7"/>
      <c r="E223" s="8" t="s">
        <v>559</v>
      </c>
    </row>
    <row r="224" spans="1:7">
      <c r="A224" s="103"/>
      <c r="B224" s="3" t="s">
        <v>236</v>
      </c>
      <c r="C224" s="6" t="s">
        <v>235</v>
      </c>
      <c r="D224" s="7"/>
      <c r="E224" s="8" t="s">
        <v>560</v>
      </c>
    </row>
    <row r="225" spans="1:7">
      <c r="A225" s="103" t="s">
        <v>22</v>
      </c>
      <c r="B225" s="3" t="s">
        <v>237</v>
      </c>
      <c r="C225" s="6" t="s">
        <v>237</v>
      </c>
      <c r="D225" s="7"/>
      <c r="E225" s="8" t="s">
        <v>561</v>
      </c>
    </row>
    <row r="226" spans="1:7">
      <c r="A226" s="103"/>
      <c r="B226" s="3" t="s">
        <v>238</v>
      </c>
      <c r="C226" s="6" t="s">
        <v>238</v>
      </c>
      <c r="D226" s="7"/>
      <c r="E226" s="8" t="s">
        <v>562</v>
      </c>
    </row>
    <row r="227" spans="1:7">
      <c r="A227" s="103" t="s">
        <v>23</v>
      </c>
      <c r="B227" s="3" t="s">
        <v>239</v>
      </c>
      <c r="C227" s="6" t="s">
        <v>241</v>
      </c>
      <c r="D227" s="7" t="s">
        <v>676</v>
      </c>
      <c r="E227" s="8" t="s">
        <v>563</v>
      </c>
      <c r="F227" s="3">
        <f>220000/2</f>
        <v>110000</v>
      </c>
      <c r="G227" s="9">
        <v>1</v>
      </c>
    </row>
    <row r="228" spans="1:7">
      <c r="A228" s="103"/>
      <c r="B228" s="3" t="s">
        <v>240</v>
      </c>
      <c r="C228" s="6" t="s">
        <v>239</v>
      </c>
      <c r="D228" s="7"/>
      <c r="E228" s="8" t="s">
        <v>564</v>
      </c>
    </row>
    <row r="229" spans="1:7">
      <c r="A229" s="103"/>
      <c r="B229" s="3" t="s">
        <v>241</v>
      </c>
      <c r="C229" s="6" t="s">
        <v>242</v>
      </c>
      <c r="D229" s="7"/>
      <c r="E229" s="8" t="s">
        <v>565</v>
      </c>
    </row>
    <row r="230" spans="1:7">
      <c r="A230" s="103"/>
      <c r="B230" s="3" t="s">
        <v>242</v>
      </c>
      <c r="C230" s="6" t="s">
        <v>240</v>
      </c>
      <c r="D230" s="7"/>
      <c r="E230" s="8" t="s">
        <v>566</v>
      </c>
    </row>
    <row r="231" spans="1:7">
      <c r="A231" s="103" t="s">
        <v>24</v>
      </c>
      <c r="B231" s="3" t="s">
        <v>243</v>
      </c>
      <c r="C231" s="6" t="s">
        <v>243</v>
      </c>
      <c r="D231" s="7"/>
      <c r="E231" s="8" t="s">
        <v>567</v>
      </c>
    </row>
    <row r="232" spans="1:7">
      <c r="A232" s="103"/>
      <c r="B232" s="3" t="s">
        <v>244</v>
      </c>
      <c r="C232" s="6" t="s">
        <v>245</v>
      </c>
      <c r="D232" s="7" t="s">
        <v>665</v>
      </c>
      <c r="E232" s="8" t="s">
        <v>568</v>
      </c>
      <c r="F232" s="3">
        <f>420000/2</f>
        <v>210000</v>
      </c>
      <c r="G232" s="9">
        <v>1</v>
      </c>
    </row>
    <row r="233" spans="1:7">
      <c r="A233" s="103"/>
      <c r="B233" s="3" t="s">
        <v>245</v>
      </c>
      <c r="C233" s="6" t="s">
        <v>244</v>
      </c>
      <c r="D233" s="7"/>
      <c r="E233" s="8" t="s">
        <v>569</v>
      </c>
    </row>
    <row r="234" spans="1:7">
      <c r="A234" s="103"/>
      <c r="B234" s="3" t="s">
        <v>246</v>
      </c>
      <c r="C234" s="6" t="s">
        <v>246</v>
      </c>
      <c r="D234" s="7"/>
      <c r="E234" s="8" t="s">
        <v>570</v>
      </c>
    </row>
    <row r="235" spans="1:7">
      <c r="A235" s="103"/>
      <c r="C235" s="6" t="s">
        <v>571</v>
      </c>
      <c r="D235" s="7"/>
      <c r="E235" s="8" t="s">
        <v>572</v>
      </c>
    </row>
    <row r="236" spans="1:7">
      <c r="A236" s="103" t="s">
        <v>25</v>
      </c>
      <c r="B236" s="3" t="s">
        <v>247</v>
      </c>
      <c r="C236" s="6" t="s">
        <v>247</v>
      </c>
      <c r="D236" s="7"/>
      <c r="E236" s="8" t="s">
        <v>573</v>
      </c>
    </row>
    <row r="237" spans="1:7">
      <c r="A237" s="103"/>
      <c r="B237" s="3" t="s">
        <v>248</v>
      </c>
      <c r="C237" s="6" t="s">
        <v>248</v>
      </c>
      <c r="D237" s="7"/>
      <c r="E237" s="8" t="s">
        <v>574</v>
      </c>
    </row>
    <row r="238" spans="1:7">
      <c r="A238" s="103"/>
      <c r="B238" s="3" t="s">
        <v>249</v>
      </c>
      <c r="C238" s="6" t="s">
        <v>252</v>
      </c>
      <c r="D238" s="7"/>
      <c r="E238" s="8" t="s">
        <v>575</v>
      </c>
    </row>
    <row r="239" spans="1:7">
      <c r="A239" s="103"/>
      <c r="B239" s="3" t="s">
        <v>250</v>
      </c>
      <c r="C239" s="6" t="s">
        <v>254</v>
      </c>
      <c r="D239" s="7"/>
      <c r="E239" s="8" t="s">
        <v>576</v>
      </c>
    </row>
    <row r="240" spans="1:7">
      <c r="A240" s="103"/>
      <c r="B240" s="3" t="s">
        <v>251</v>
      </c>
      <c r="C240" s="6" t="s">
        <v>251</v>
      </c>
      <c r="D240" s="3" t="s">
        <v>672</v>
      </c>
      <c r="E240" s="8" t="s">
        <v>577</v>
      </c>
      <c r="F240" s="3">
        <f>625000/2</f>
        <v>312500</v>
      </c>
      <c r="G240" s="9">
        <v>1</v>
      </c>
    </row>
    <row r="241" spans="1:7">
      <c r="A241" s="103"/>
      <c r="B241" s="3" t="s">
        <v>252</v>
      </c>
      <c r="C241" s="6" t="s">
        <v>253</v>
      </c>
      <c r="D241" s="7"/>
      <c r="E241" s="8" t="s">
        <v>578</v>
      </c>
    </row>
    <row r="242" spans="1:7">
      <c r="A242" s="103"/>
      <c r="B242" s="3" t="s">
        <v>253</v>
      </c>
      <c r="C242" s="6" t="s">
        <v>250</v>
      </c>
      <c r="D242" s="7"/>
      <c r="E242" s="8" t="s">
        <v>579</v>
      </c>
    </row>
    <row r="243" spans="1:7">
      <c r="A243" s="103"/>
      <c r="B243" s="3" t="s">
        <v>254</v>
      </c>
      <c r="C243" s="6" t="s">
        <v>249</v>
      </c>
      <c r="D243" s="7"/>
      <c r="E243" s="8" t="s">
        <v>580</v>
      </c>
    </row>
    <row r="244" spans="1:7">
      <c r="A244" s="103" t="s">
        <v>26</v>
      </c>
      <c r="B244" s="3" t="s">
        <v>255</v>
      </c>
      <c r="C244" s="6" t="s">
        <v>294</v>
      </c>
      <c r="D244" s="3" t="s">
        <v>675</v>
      </c>
      <c r="E244" s="8" t="s">
        <v>581</v>
      </c>
      <c r="F244" s="3">
        <f>865000/2</f>
        <v>432500</v>
      </c>
      <c r="G244" s="9">
        <f>F244/(F244+F281)</f>
        <v>0.37044967880085655</v>
      </c>
    </row>
    <row r="245" spans="1:7">
      <c r="A245" s="103"/>
      <c r="B245" s="3" t="s">
        <v>256</v>
      </c>
      <c r="C245" s="6" t="s">
        <v>268</v>
      </c>
      <c r="D245" s="7"/>
      <c r="E245" s="8" t="s">
        <v>582</v>
      </c>
    </row>
    <row r="246" spans="1:7">
      <c r="A246" s="103"/>
      <c r="B246" s="3" t="s">
        <v>257</v>
      </c>
      <c r="C246" s="6" t="s">
        <v>280</v>
      </c>
      <c r="D246" s="7"/>
      <c r="E246" s="8" t="s">
        <v>583</v>
      </c>
    </row>
    <row r="247" spans="1:7">
      <c r="A247" s="103"/>
      <c r="B247" s="3" t="s">
        <v>258</v>
      </c>
      <c r="C247" s="6" t="s">
        <v>270</v>
      </c>
      <c r="D247" s="7"/>
      <c r="E247" s="8" t="s">
        <v>584</v>
      </c>
    </row>
    <row r="248" spans="1:7">
      <c r="A248" s="103"/>
      <c r="B248" s="3" t="s">
        <v>259</v>
      </c>
      <c r="C248" s="6" t="s">
        <v>285</v>
      </c>
      <c r="D248" s="7"/>
      <c r="E248" s="8" t="s">
        <v>585</v>
      </c>
    </row>
    <row r="249" spans="1:7">
      <c r="A249" s="103"/>
      <c r="B249" s="3" t="s">
        <v>260</v>
      </c>
      <c r="C249" s="6" t="s">
        <v>264</v>
      </c>
      <c r="D249" s="7"/>
      <c r="E249" s="8" t="s">
        <v>586</v>
      </c>
    </row>
    <row r="250" spans="1:7">
      <c r="A250" s="103"/>
      <c r="B250" s="3" t="s">
        <v>261</v>
      </c>
      <c r="C250" s="6" t="s">
        <v>269</v>
      </c>
      <c r="D250" s="7"/>
      <c r="E250" s="8" t="s">
        <v>587</v>
      </c>
    </row>
    <row r="251" spans="1:7" ht="30">
      <c r="A251" s="103"/>
      <c r="B251" s="3" t="s">
        <v>262</v>
      </c>
      <c r="C251" s="6" t="s">
        <v>277</v>
      </c>
      <c r="D251" s="7"/>
      <c r="E251" s="8" t="s">
        <v>588</v>
      </c>
    </row>
    <row r="252" spans="1:7">
      <c r="A252" s="103"/>
      <c r="B252" s="3" t="s">
        <v>263</v>
      </c>
      <c r="C252" s="6" t="s">
        <v>295</v>
      </c>
      <c r="D252" s="7"/>
      <c r="E252" s="8" t="s">
        <v>589</v>
      </c>
    </row>
    <row r="253" spans="1:7">
      <c r="A253" s="103"/>
      <c r="B253" s="3" t="s">
        <v>264</v>
      </c>
      <c r="C253" s="6" t="s">
        <v>266</v>
      </c>
      <c r="D253" s="7"/>
      <c r="E253" s="8" t="s">
        <v>590</v>
      </c>
    </row>
    <row r="254" spans="1:7">
      <c r="A254" s="103"/>
      <c r="B254" s="3" t="s">
        <v>265</v>
      </c>
      <c r="C254" s="6" t="s">
        <v>263</v>
      </c>
      <c r="D254" s="7"/>
      <c r="E254" s="8" t="s">
        <v>591</v>
      </c>
    </row>
    <row r="255" spans="1:7">
      <c r="A255" s="103"/>
      <c r="B255" s="3" t="s">
        <v>266</v>
      </c>
      <c r="C255" s="6" t="s">
        <v>279</v>
      </c>
      <c r="D255" s="7"/>
      <c r="E255" s="8" t="s">
        <v>592</v>
      </c>
    </row>
    <row r="256" spans="1:7" ht="30">
      <c r="A256" s="103"/>
      <c r="B256" s="3" t="s">
        <v>267</v>
      </c>
      <c r="C256" s="6" t="s">
        <v>272</v>
      </c>
      <c r="D256" s="7"/>
      <c r="E256" s="8" t="s">
        <v>593</v>
      </c>
    </row>
    <row r="257" spans="1:5">
      <c r="A257" s="103"/>
      <c r="B257" s="3" t="s">
        <v>268</v>
      </c>
      <c r="C257" s="6" t="s">
        <v>271</v>
      </c>
      <c r="D257" s="7"/>
      <c r="E257" s="8" t="s">
        <v>594</v>
      </c>
    </row>
    <row r="258" spans="1:5" ht="30">
      <c r="A258" s="103"/>
      <c r="B258" s="3" t="s">
        <v>269</v>
      </c>
      <c r="C258" s="6" t="s">
        <v>275</v>
      </c>
      <c r="D258" s="7"/>
      <c r="E258" s="8" t="s">
        <v>595</v>
      </c>
    </row>
    <row r="259" spans="1:5">
      <c r="A259" s="103"/>
      <c r="B259" s="3" t="s">
        <v>270</v>
      </c>
      <c r="C259" s="6" t="s">
        <v>267</v>
      </c>
      <c r="D259" s="7"/>
      <c r="E259" s="8" t="s">
        <v>596</v>
      </c>
    </row>
    <row r="260" spans="1:5">
      <c r="A260" s="103"/>
      <c r="B260" s="3" t="s">
        <v>271</v>
      </c>
      <c r="C260" s="6" t="s">
        <v>274</v>
      </c>
      <c r="D260" s="7"/>
      <c r="E260" s="8" t="s">
        <v>597</v>
      </c>
    </row>
    <row r="261" spans="1:5">
      <c r="A261" s="103"/>
      <c r="B261" s="3" t="s">
        <v>272</v>
      </c>
      <c r="C261" s="6" t="s">
        <v>282</v>
      </c>
      <c r="D261" s="7"/>
      <c r="E261" s="8" t="s">
        <v>598</v>
      </c>
    </row>
    <row r="262" spans="1:5">
      <c r="A262" s="103"/>
      <c r="B262" s="3" t="s">
        <v>273</v>
      </c>
      <c r="C262" s="6" t="s">
        <v>287</v>
      </c>
      <c r="D262" s="7"/>
      <c r="E262" s="8" t="s">
        <v>599</v>
      </c>
    </row>
    <row r="263" spans="1:5">
      <c r="A263" s="103"/>
      <c r="B263" s="3" t="s">
        <v>274</v>
      </c>
      <c r="C263" s="6" t="s">
        <v>265</v>
      </c>
      <c r="D263" s="7"/>
      <c r="E263" s="8" t="s">
        <v>600</v>
      </c>
    </row>
    <row r="264" spans="1:5">
      <c r="A264" s="103"/>
      <c r="B264" s="3" t="s">
        <v>275</v>
      </c>
      <c r="C264" s="6" t="s">
        <v>293</v>
      </c>
      <c r="D264" s="7"/>
      <c r="E264" s="8" t="s">
        <v>601</v>
      </c>
    </row>
    <row r="265" spans="1:5">
      <c r="A265" s="103"/>
      <c r="B265" s="3" t="s">
        <v>276</v>
      </c>
      <c r="C265" s="6" t="s">
        <v>292</v>
      </c>
      <c r="D265" s="7"/>
      <c r="E265" s="8" t="s">
        <v>602</v>
      </c>
    </row>
    <row r="266" spans="1:5">
      <c r="A266" s="103"/>
      <c r="B266" s="3" t="s">
        <v>277</v>
      </c>
      <c r="C266" s="6" t="s">
        <v>291</v>
      </c>
      <c r="D266" s="7"/>
      <c r="E266" s="8" t="s">
        <v>603</v>
      </c>
    </row>
    <row r="267" spans="1:5">
      <c r="A267" s="103"/>
      <c r="B267" s="3" t="s">
        <v>278</v>
      </c>
      <c r="C267" s="6" t="s">
        <v>290</v>
      </c>
      <c r="D267" s="7"/>
      <c r="E267" s="8" t="s">
        <v>604</v>
      </c>
    </row>
    <row r="268" spans="1:5" ht="30">
      <c r="A268" s="103"/>
      <c r="B268" s="3" t="s">
        <v>279</v>
      </c>
      <c r="C268" s="6" t="s">
        <v>289</v>
      </c>
      <c r="D268" s="7"/>
      <c r="E268" s="8" t="s">
        <v>605</v>
      </c>
    </row>
    <row r="269" spans="1:5" ht="30">
      <c r="A269" s="103"/>
      <c r="B269" s="3" t="s">
        <v>280</v>
      </c>
      <c r="C269" s="6" t="s">
        <v>286</v>
      </c>
      <c r="D269" s="7"/>
      <c r="E269" s="8" t="s">
        <v>606</v>
      </c>
    </row>
    <row r="270" spans="1:5">
      <c r="A270" s="103"/>
      <c r="B270" s="3" t="s">
        <v>281</v>
      </c>
      <c r="C270" s="6" t="s">
        <v>283</v>
      </c>
      <c r="D270" s="7"/>
      <c r="E270" s="8" t="s">
        <v>607</v>
      </c>
    </row>
    <row r="271" spans="1:5">
      <c r="A271" s="103"/>
      <c r="B271" s="3" t="s">
        <v>282</v>
      </c>
      <c r="C271" s="6" t="s">
        <v>276</v>
      </c>
      <c r="D271" s="7"/>
      <c r="E271" s="8" t="s">
        <v>608</v>
      </c>
    </row>
    <row r="272" spans="1:5">
      <c r="A272" s="103"/>
      <c r="B272" s="3" t="s">
        <v>283</v>
      </c>
      <c r="C272" s="6" t="s">
        <v>273</v>
      </c>
      <c r="D272" s="7"/>
      <c r="E272" s="8" t="s">
        <v>609</v>
      </c>
    </row>
    <row r="273" spans="1:7" ht="30">
      <c r="A273" s="103"/>
      <c r="B273" s="3" t="s">
        <v>284</v>
      </c>
      <c r="C273" s="6" t="s">
        <v>288</v>
      </c>
      <c r="D273" s="7"/>
      <c r="E273" s="8" t="s">
        <v>610</v>
      </c>
    </row>
    <row r="274" spans="1:7">
      <c r="A274" s="103"/>
      <c r="B274" s="3" t="s">
        <v>285</v>
      </c>
      <c r="C274" s="6" t="s">
        <v>284</v>
      </c>
      <c r="D274" s="7"/>
      <c r="E274" s="8" t="s">
        <v>611</v>
      </c>
    </row>
    <row r="275" spans="1:7">
      <c r="A275" s="103"/>
      <c r="B275" s="3" t="s">
        <v>286</v>
      </c>
      <c r="C275" s="6" t="s">
        <v>281</v>
      </c>
      <c r="D275" s="7"/>
      <c r="E275" s="8" t="s">
        <v>612</v>
      </c>
    </row>
    <row r="276" spans="1:7">
      <c r="A276" s="103"/>
      <c r="B276" s="3" t="s">
        <v>287</v>
      </c>
      <c r="C276" s="6" t="s">
        <v>278</v>
      </c>
      <c r="D276" s="7"/>
      <c r="E276" s="8" t="s">
        <v>613</v>
      </c>
    </row>
    <row r="277" spans="1:7">
      <c r="A277" s="103"/>
      <c r="B277" s="3" t="s">
        <v>288</v>
      </c>
      <c r="C277" s="6" t="s">
        <v>255</v>
      </c>
      <c r="D277" s="7"/>
      <c r="E277" s="8" t="s">
        <v>614</v>
      </c>
    </row>
    <row r="278" spans="1:7">
      <c r="A278" s="103"/>
      <c r="B278" s="3" t="s">
        <v>289</v>
      </c>
      <c r="C278" s="6" t="s">
        <v>256</v>
      </c>
      <c r="D278" s="7"/>
      <c r="E278" s="8" t="s">
        <v>615</v>
      </c>
    </row>
    <row r="279" spans="1:7">
      <c r="A279" s="103"/>
      <c r="B279" s="3" t="s">
        <v>290</v>
      </c>
      <c r="C279" s="6" t="s">
        <v>261</v>
      </c>
      <c r="D279" s="7"/>
      <c r="E279" s="8" t="s">
        <v>616</v>
      </c>
    </row>
    <row r="280" spans="1:7">
      <c r="A280" s="103"/>
      <c r="B280" s="3" t="s">
        <v>291</v>
      </c>
      <c r="C280" s="6" t="s">
        <v>259</v>
      </c>
      <c r="D280" s="7"/>
      <c r="E280" s="8" t="s">
        <v>617</v>
      </c>
    </row>
    <row r="281" spans="1:7" ht="30">
      <c r="A281" s="103"/>
      <c r="B281" s="3" t="s">
        <v>292</v>
      </c>
      <c r="C281" s="6" t="s">
        <v>260</v>
      </c>
      <c r="D281" s="28" t="s">
        <v>674</v>
      </c>
      <c r="E281" s="8" t="s">
        <v>618</v>
      </c>
      <c r="F281" s="3">
        <f>(700000+770000)/2</f>
        <v>735000</v>
      </c>
      <c r="G281" s="9">
        <f>F281/(F281+F244)</f>
        <v>0.62955032119914345</v>
      </c>
    </row>
    <row r="282" spans="1:7">
      <c r="A282" s="103"/>
      <c r="B282" s="3" t="s">
        <v>293</v>
      </c>
      <c r="C282" s="6" t="s">
        <v>258</v>
      </c>
      <c r="D282" s="7"/>
      <c r="E282" s="8" t="s">
        <v>619</v>
      </c>
    </row>
    <row r="283" spans="1:7">
      <c r="A283" s="103"/>
      <c r="B283" s="3" t="s">
        <v>294</v>
      </c>
      <c r="C283" s="6" t="s">
        <v>257</v>
      </c>
      <c r="D283" s="7"/>
      <c r="E283" s="8" t="s">
        <v>620</v>
      </c>
    </row>
    <row r="284" spans="1:7">
      <c r="A284" s="103"/>
      <c r="B284" s="3" t="s">
        <v>295</v>
      </c>
      <c r="C284" s="6" t="s">
        <v>262</v>
      </c>
      <c r="D284" s="7"/>
      <c r="E284" s="8" t="s">
        <v>621</v>
      </c>
    </row>
    <row r="285" spans="1:7">
      <c r="A285" s="103" t="s">
        <v>27</v>
      </c>
      <c r="B285" s="3" t="s">
        <v>296</v>
      </c>
      <c r="C285" s="14" t="s">
        <v>298</v>
      </c>
      <c r="E285" s="13" t="s">
        <v>630</v>
      </c>
    </row>
    <row r="286" spans="1:7">
      <c r="A286" s="103"/>
      <c r="B286" s="3" t="s">
        <v>297</v>
      </c>
      <c r="C286" s="13" t="s">
        <v>297</v>
      </c>
      <c r="E286" s="13" t="s">
        <v>631</v>
      </c>
    </row>
    <row r="287" spans="1:7">
      <c r="A287" s="103"/>
      <c r="B287" s="3" t="s">
        <v>298</v>
      </c>
      <c r="C287" s="13" t="s">
        <v>299</v>
      </c>
      <c r="E287" s="13" t="s">
        <v>632</v>
      </c>
    </row>
    <row r="288" spans="1:7">
      <c r="A288" s="103"/>
      <c r="B288" s="3" t="s">
        <v>299</v>
      </c>
      <c r="C288" s="6" t="s">
        <v>626</v>
      </c>
      <c r="E288" s="13" t="s">
        <v>633</v>
      </c>
    </row>
    <row r="289" spans="1:5">
      <c r="A289" s="103"/>
      <c r="B289" s="3" t="s">
        <v>300</v>
      </c>
      <c r="C289" s="14" t="s">
        <v>627</v>
      </c>
      <c r="E289" s="13" t="s">
        <v>634</v>
      </c>
    </row>
    <row r="290" spans="1:5">
      <c r="A290" s="103"/>
      <c r="B290" s="3" t="s">
        <v>301</v>
      </c>
      <c r="C290" s="14" t="s">
        <v>628</v>
      </c>
      <c r="E290" s="13" t="s">
        <v>635</v>
      </c>
    </row>
    <row r="291" spans="1:5">
      <c r="A291" s="103"/>
      <c r="B291" s="3" t="s">
        <v>302</v>
      </c>
      <c r="C291" s="14" t="s">
        <v>629</v>
      </c>
      <c r="E291" s="13" t="s">
        <v>636</v>
      </c>
    </row>
    <row r="292" spans="1:5">
      <c r="A292" s="103" t="s">
        <v>637</v>
      </c>
      <c r="B292" s="3" t="s">
        <v>303</v>
      </c>
      <c r="C292" s="14" t="s">
        <v>305</v>
      </c>
      <c r="D292" s="15"/>
      <c r="E292" s="14" t="s">
        <v>638</v>
      </c>
    </row>
    <row r="293" spans="1:5">
      <c r="A293" s="103"/>
      <c r="B293" s="3" t="s">
        <v>304</v>
      </c>
      <c r="C293" s="14" t="s">
        <v>307</v>
      </c>
      <c r="D293" s="15"/>
      <c r="E293" s="14" t="s">
        <v>639</v>
      </c>
    </row>
    <row r="294" spans="1:5">
      <c r="A294" s="103"/>
      <c r="B294" s="3" t="s">
        <v>305</v>
      </c>
      <c r="C294" s="14" t="s">
        <v>309</v>
      </c>
      <c r="D294" s="15"/>
      <c r="E294" s="14" t="s">
        <v>640</v>
      </c>
    </row>
    <row r="295" spans="1:5">
      <c r="A295" s="103"/>
      <c r="B295" s="3" t="s">
        <v>306</v>
      </c>
      <c r="C295" s="14" t="s">
        <v>303</v>
      </c>
      <c r="D295" s="15"/>
      <c r="E295" s="14" t="s">
        <v>641</v>
      </c>
    </row>
    <row r="296" spans="1:5">
      <c r="A296" s="103"/>
      <c r="B296" s="3" t="s">
        <v>307</v>
      </c>
      <c r="C296" s="14" t="s">
        <v>308</v>
      </c>
      <c r="D296" s="15"/>
      <c r="E296" s="14" t="s">
        <v>642</v>
      </c>
    </row>
    <row r="297" spans="1:5">
      <c r="A297" s="103"/>
      <c r="B297" s="3" t="s">
        <v>308</v>
      </c>
      <c r="C297" s="14" t="s">
        <v>304</v>
      </c>
      <c r="D297" s="15"/>
      <c r="E297" s="14" t="s">
        <v>643</v>
      </c>
    </row>
    <row r="298" spans="1:5">
      <c r="A298" s="103"/>
      <c r="B298" s="3" t="s">
        <v>309</v>
      </c>
      <c r="C298" s="14" t="s">
        <v>306</v>
      </c>
      <c r="D298" s="15"/>
      <c r="E298" s="14" t="s">
        <v>644</v>
      </c>
    </row>
    <row r="299" spans="1:5">
      <c r="A299" s="29" t="s">
        <v>28</v>
      </c>
      <c r="B299" s="3" t="s">
        <v>310</v>
      </c>
      <c r="C299" s="31" t="s">
        <v>310</v>
      </c>
      <c r="D299" s="30"/>
      <c r="E299" s="31" t="s">
        <v>645</v>
      </c>
    </row>
    <row r="300" spans="1:5">
      <c r="A300" s="27" t="s">
        <v>29</v>
      </c>
      <c r="B300" s="3" t="s">
        <v>311</v>
      </c>
      <c r="C300" s="13" t="s">
        <v>311</v>
      </c>
      <c r="D300" s="8"/>
      <c r="E300" s="8" t="s">
        <v>646</v>
      </c>
    </row>
    <row r="301" spans="1:5">
      <c r="A301" s="103" t="s">
        <v>30</v>
      </c>
      <c r="B301" s="3" t="s">
        <v>35</v>
      </c>
      <c r="C301" s="13" t="s">
        <v>33</v>
      </c>
      <c r="D301" s="8"/>
      <c r="E301" s="13" t="s">
        <v>647</v>
      </c>
    </row>
    <row r="302" spans="1:5">
      <c r="A302" s="103"/>
      <c r="B302" s="3" t="s">
        <v>34</v>
      </c>
      <c r="C302" s="13" t="s">
        <v>34</v>
      </c>
      <c r="D302" s="8"/>
      <c r="E302" s="13" t="s">
        <v>648</v>
      </c>
    </row>
    <row r="303" spans="1:5">
      <c r="A303" s="103"/>
      <c r="B303" s="3" t="s">
        <v>33</v>
      </c>
      <c r="C303" s="13" t="s">
        <v>35</v>
      </c>
      <c r="D303" s="8"/>
      <c r="E303" s="13" t="s">
        <v>649</v>
      </c>
    </row>
    <row r="304" spans="1:5">
      <c r="A304" s="103" t="s">
        <v>31</v>
      </c>
      <c r="B304" s="3" t="s">
        <v>312</v>
      </c>
      <c r="C304" s="13" t="s">
        <v>315</v>
      </c>
      <c r="D304" s="8"/>
      <c r="E304" s="13" t="s">
        <v>650</v>
      </c>
    </row>
    <row r="305" spans="1:5">
      <c r="A305" s="103"/>
      <c r="B305" s="3" t="s">
        <v>313</v>
      </c>
      <c r="C305" s="13" t="s">
        <v>314</v>
      </c>
      <c r="D305" s="8"/>
      <c r="E305" s="13" t="s">
        <v>651</v>
      </c>
    </row>
    <row r="306" spans="1:5">
      <c r="A306" s="103"/>
      <c r="B306" s="3" t="s">
        <v>314</v>
      </c>
      <c r="C306" s="13" t="s">
        <v>313</v>
      </c>
      <c r="D306" s="8"/>
      <c r="E306" s="8" t="s">
        <v>652</v>
      </c>
    </row>
    <row r="307" spans="1:5">
      <c r="A307" s="103"/>
      <c r="B307" s="3" t="s">
        <v>315</v>
      </c>
      <c r="C307" s="13" t="s">
        <v>312</v>
      </c>
      <c r="D307" s="8"/>
      <c r="E307" s="8" t="s">
        <v>653</v>
      </c>
    </row>
    <row r="308" spans="1:5">
      <c r="A308" s="29" t="s">
        <v>32</v>
      </c>
      <c r="B308" s="3" t="s">
        <v>316</v>
      </c>
      <c r="C308" s="32" t="s">
        <v>656</v>
      </c>
    </row>
    <row r="309" spans="1:5">
      <c r="A309" s="29" t="s">
        <v>655</v>
      </c>
      <c r="B309" s="3" t="s">
        <v>658</v>
      </c>
      <c r="C309" s="32" t="s">
        <v>658</v>
      </c>
      <c r="E309" s="3" t="s">
        <v>655</v>
      </c>
    </row>
    <row r="310" spans="1:5">
      <c r="A310" s="29" t="s">
        <v>654</v>
      </c>
      <c r="C310" s="32" t="s">
        <v>657</v>
      </c>
      <c r="E310" s="3" t="s">
        <v>654</v>
      </c>
    </row>
  </sheetData>
  <mergeCells count="27">
    <mergeCell ref="A292:A298"/>
    <mergeCell ref="A301:A303"/>
    <mergeCell ref="A304:A307"/>
    <mergeCell ref="A225:A226"/>
    <mergeCell ref="A227:A230"/>
    <mergeCell ref="A231:A235"/>
    <mergeCell ref="A236:A243"/>
    <mergeCell ref="A244:A284"/>
    <mergeCell ref="A285:A291"/>
    <mergeCell ref="A217:A224"/>
    <mergeCell ref="A74:A86"/>
    <mergeCell ref="A87:A105"/>
    <mergeCell ref="A106:A132"/>
    <mergeCell ref="A133:A136"/>
    <mergeCell ref="A137:A157"/>
    <mergeCell ref="A160:A161"/>
    <mergeCell ref="A163:A170"/>
    <mergeCell ref="A172:A183"/>
    <mergeCell ref="A184:A192"/>
    <mergeCell ref="A193:A209"/>
    <mergeCell ref="A210:A216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7"/>
  <sheetViews>
    <sheetView zoomScale="107" workbookViewId="0">
      <selection activeCell="G65" sqref="G65"/>
    </sheetView>
  </sheetViews>
  <sheetFormatPr baseColWidth="10" defaultColWidth="10.875" defaultRowHeight="15"/>
  <cols>
    <col min="1" max="1" width="19" style="3" bestFit="1" customWidth="1"/>
    <col min="2" max="2" width="13.5" style="3" hidden="1" customWidth="1"/>
    <col min="3" max="3" width="6.125" style="3" bestFit="1" customWidth="1"/>
    <col min="4" max="4" width="13.375" style="3" bestFit="1" customWidth="1"/>
    <col min="5" max="5" width="29.375" style="3" customWidth="1"/>
    <col min="6" max="6" width="21.125" style="3" customWidth="1"/>
    <col min="7" max="7" width="21.875" style="9" customWidth="1"/>
    <col min="8" max="8" width="24.625" style="3" bestFit="1" customWidth="1"/>
    <col min="9" max="9" width="23.625" style="43" bestFit="1" customWidth="1"/>
    <col min="10" max="10" width="21.625" style="3" bestFit="1" customWidth="1"/>
    <col min="11" max="11" width="10" style="9" bestFit="1" customWidth="1"/>
    <col min="12" max="16384" width="10.875" style="3"/>
  </cols>
  <sheetData>
    <row r="1" spans="1:15">
      <c r="A1" s="25" t="s">
        <v>0</v>
      </c>
      <c r="B1" s="25" t="s">
        <v>659</v>
      </c>
      <c r="C1" s="25" t="s">
        <v>1</v>
      </c>
      <c r="D1" s="25" t="s">
        <v>2</v>
      </c>
      <c r="E1" s="25" t="s">
        <v>660</v>
      </c>
      <c r="F1" s="40" t="s">
        <v>712</v>
      </c>
      <c r="G1" s="41" t="s">
        <v>714</v>
      </c>
      <c r="H1" s="2" t="s">
        <v>715</v>
      </c>
      <c r="I1" s="42" t="s">
        <v>716</v>
      </c>
      <c r="J1" s="25" t="s">
        <v>699</v>
      </c>
      <c r="K1" s="26" t="s">
        <v>700</v>
      </c>
      <c r="L1" s="4"/>
      <c r="M1" s="4"/>
      <c r="N1" s="4"/>
      <c r="O1" s="4"/>
    </row>
    <row r="2" spans="1:15" ht="30">
      <c r="A2" s="103" t="s">
        <v>3</v>
      </c>
      <c r="B2" s="3" t="s">
        <v>37</v>
      </c>
      <c r="C2" s="6" t="s">
        <v>36</v>
      </c>
      <c r="D2" s="7"/>
      <c r="E2" s="8" t="s">
        <v>622</v>
      </c>
      <c r="G2" s="3"/>
      <c r="J2" s="4"/>
      <c r="K2" s="45"/>
      <c r="L2" s="5"/>
      <c r="M2" s="4"/>
    </row>
    <row r="3" spans="1:15" ht="30">
      <c r="A3" s="103"/>
      <c r="B3" s="3" t="s">
        <v>38</v>
      </c>
      <c r="C3" s="6" t="s">
        <v>46</v>
      </c>
      <c r="D3" s="7" t="s">
        <v>724</v>
      </c>
      <c r="E3" s="8" t="s">
        <v>317</v>
      </c>
      <c r="F3" s="3">
        <v>65</v>
      </c>
      <c r="G3" s="3">
        <f>250+250+190</f>
        <v>690</v>
      </c>
      <c r="I3" s="44">
        <v>600</v>
      </c>
      <c r="J3" s="4">
        <f>SUM(F3:I3)</f>
        <v>1355</v>
      </c>
      <c r="K3" s="45">
        <v>1</v>
      </c>
      <c r="L3" s="5"/>
      <c r="M3" s="4"/>
    </row>
    <row r="4" spans="1:15">
      <c r="A4" s="103"/>
      <c r="B4" s="3" t="s">
        <v>39</v>
      </c>
      <c r="C4" s="6" t="s">
        <v>40</v>
      </c>
      <c r="D4" s="7"/>
      <c r="E4" s="8" t="s">
        <v>318</v>
      </c>
      <c r="G4" s="3"/>
      <c r="J4" s="4"/>
      <c r="K4" s="45"/>
      <c r="L4" s="5"/>
      <c r="M4" s="4"/>
    </row>
    <row r="5" spans="1:15">
      <c r="A5" s="103"/>
      <c r="B5" s="3" t="s">
        <v>40</v>
      </c>
      <c r="C5" s="6" t="s">
        <v>44</v>
      </c>
      <c r="D5" s="7"/>
      <c r="E5" s="8" t="s">
        <v>319</v>
      </c>
      <c r="G5" s="3"/>
      <c r="J5" s="4"/>
      <c r="K5" s="45"/>
      <c r="L5" s="5"/>
      <c r="M5" s="4"/>
    </row>
    <row r="6" spans="1:15">
      <c r="A6" s="103"/>
      <c r="B6" s="3" t="s">
        <v>41</v>
      </c>
      <c r="C6" s="6" t="s">
        <v>45</v>
      </c>
      <c r="D6" s="7"/>
      <c r="E6" s="8" t="s">
        <v>320</v>
      </c>
      <c r="G6" s="3"/>
      <c r="J6" s="4"/>
      <c r="K6" s="45"/>
      <c r="L6" s="5"/>
      <c r="M6" s="4"/>
    </row>
    <row r="7" spans="1:15">
      <c r="A7" s="103"/>
      <c r="B7" s="3" t="s">
        <v>42</v>
      </c>
      <c r="C7" s="6" t="s">
        <v>37</v>
      </c>
      <c r="D7" s="7"/>
      <c r="E7" s="8" t="s">
        <v>321</v>
      </c>
      <c r="G7" s="3"/>
      <c r="J7" s="4"/>
      <c r="K7" s="45"/>
      <c r="L7" s="5"/>
      <c r="M7" s="4"/>
    </row>
    <row r="8" spans="1:15">
      <c r="A8" s="103"/>
      <c r="B8" s="3" t="s">
        <v>43</v>
      </c>
      <c r="C8" s="6" t="s">
        <v>43</v>
      </c>
      <c r="D8" s="7"/>
      <c r="E8" s="8" t="s">
        <v>322</v>
      </c>
      <c r="G8" s="3"/>
      <c r="J8" s="4"/>
      <c r="K8" s="45"/>
      <c r="L8" s="5"/>
      <c r="M8" s="4"/>
    </row>
    <row r="9" spans="1:15">
      <c r="A9" s="103"/>
      <c r="B9" s="3" t="s">
        <v>44</v>
      </c>
      <c r="C9" s="6" t="s">
        <v>42</v>
      </c>
      <c r="D9" s="7"/>
      <c r="E9" s="8" t="s">
        <v>323</v>
      </c>
      <c r="G9" s="3"/>
      <c r="J9" s="4"/>
      <c r="K9" s="45"/>
      <c r="L9" s="5"/>
      <c r="M9" s="4"/>
    </row>
    <row r="10" spans="1:15">
      <c r="A10" s="103"/>
      <c r="B10" s="3" t="s">
        <v>45</v>
      </c>
      <c r="C10" s="6" t="s">
        <v>41</v>
      </c>
      <c r="D10" s="7"/>
      <c r="E10" s="8" t="s">
        <v>324</v>
      </c>
      <c r="G10" s="3"/>
      <c r="J10" s="4"/>
      <c r="K10" s="45"/>
      <c r="L10" s="5"/>
      <c r="M10" s="4"/>
    </row>
    <row r="11" spans="1:15">
      <c r="A11" s="103"/>
      <c r="B11" s="3" t="s">
        <v>36</v>
      </c>
      <c r="C11" s="6" t="s">
        <v>39</v>
      </c>
      <c r="D11" s="7"/>
      <c r="E11" s="8" t="s">
        <v>325</v>
      </c>
      <c r="G11" s="3"/>
      <c r="J11" s="4"/>
      <c r="K11" s="45"/>
      <c r="L11" s="5"/>
      <c r="M11" s="4"/>
    </row>
    <row r="12" spans="1:15">
      <c r="A12" s="103"/>
      <c r="B12" s="3" t="s">
        <v>46</v>
      </c>
      <c r="C12" s="6" t="s">
        <v>38</v>
      </c>
      <c r="D12" s="7"/>
      <c r="E12" s="8" t="s">
        <v>326</v>
      </c>
      <c r="G12" s="3"/>
      <c r="J12" s="4"/>
      <c r="K12" s="45"/>
      <c r="L12" s="5"/>
      <c r="M12" s="4"/>
    </row>
    <row r="13" spans="1:15">
      <c r="A13" s="103" t="s">
        <v>4</v>
      </c>
      <c r="B13" s="3" t="s">
        <v>47</v>
      </c>
      <c r="C13" s="6" t="s">
        <v>47</v>
      </c>
      <c r="D13" s="7"/>
      <c r="E13" s="8" t="s">
        <v>327</v>
      </c>
      <c r="G13" s="3"/>
      <c r="J13" s="4"/>
      <c r="K13" s="45"/>
      <c r="L13" s="5"/>
      <c r="M13" s="4"/>
    </row>
    <row r="14" spans="1:15">
      <c r="A14" s="103"/>
      <c r="B14" s="3" t="s">
        <v>48</v>
      </c>
      <c r="C14" s="6" t="s">
        <v>49</v>
      </c>
      <c r="D14" s="7"/>
      <c r="E14" s="8" t="s">
        <v>328</v>
      </c>
      <c r="G14" s="3"/>
      <c r="J14" s="4"/>
      <c r="K14" s="45"/>
      <c r="L14" s="5"/>
      <c r="M14" s="4"/>
    </row>
    <row r="15" spans="1:15">
      <c r="A15" s="103"/>
      <c r="B15" s="3" t="s">
        <v>49</v>
      </c>
      <c r="C15" s="6" t="s">
        <v>50</v>
      </c>
      <c r="D15" s="7"/>
      <c r="E15" s="8" t="s">
        <v>329</v>
      </c>
      <c r="G15" s="3"/>
      <c r="J15" s="4"/>
      <c r="K15" s="45"/>
      <c r="L15" s="5"/>
      <c r="M15" s="4"/>
    </row>
    <row r="16" spans="1:15">
      <c r="A16" s="103"/>
      <c r="B16" s="3" t="s">
        <v>50</v>
      </c>
      <c r="C16" s="6" t="s">
        <v>51</v>
      </c>
      <c r="D16" s="7"/>
      <c r="E16" s="8" t="s">
        <v>330</v>
      </c>
      <c r="G16" s="3"/>
      <c r="J16" s="4"/>
      <c r="K16" s="45"/>
      <c r="L16" s="5"/>
      <c r="M16" s="4"/>
    </row>
    <row r="17" spans="1:13">
      <c r="A17" s="103"/>
      <c r="B17" s="3" t="s">
        <v>51</v>
      </c>
      <c r="C17" s="6" t="s">
        <v>52</v>
      </c>
      <c r="D17" s="7"/>
      <c r="E17" s="8" t="s">
        <v>331</v>
      </c>
      <c r="G17" s="3"/>
      <c r="J17" s="4"/>
      <c r="K17" s="45"/>
      <c r="L17" s="5"/>
      <c r="M17" s="4"/>
    </row>
    <row r="18" spans="1:13">
      <c r="A18" s="103"/>
      <c r="B18" s="3" t="s">
        <v>52</v>
      </c>
      <c r="C18" s="6" t="s">
        <v>48</v>
      </c>
      <c r="D18" s="7"/>
      <c r="E18" s="8" t="s">
        <v>332</v>
      </c>
      <c r="G18" s="3"/>
      <c r="J18" s="4"/>
      <c r="K18" s="45"/>
      <c r="L18" s="5"/>
      <c r="M18" s="4"/>
    </row>
    <row r="19" spans="1:13">
      <c r="A19" s="103" t="s">
        <v>5</v>
      </c>
      <c r="B19" s="3" t="s">
        <v>53</v>
      </c>
      <c r="C19" s="6" t="s">
        <v>54</v>
      </c>
      <c r="D19" s="7"/>
      <c r="E19" s="8" t="s">
        <v>333</v>
      </c>
      <c r="G19" s="3"/>
      <c r="J19" s="4"/>
      <c r="K19" s="45"/>
      <c r="L19" s="5"/>
      <c r="M19" s="4"/>
    </row>
    <row r="20" spans="1:13">
      <c r="A20" s="103"/>
      <c r="B20" s="3" t="s">
        <v>54</v>
      </c>
      <c r="C20" s="6" t="s">
        <v>53</v>
      </c>
      <c r="D20" s="7"/>
      <c r="E20" s="8" t="s">
        <v>334</v>
      </c>
      <c r="G20" s="3"/>
      <c r="J20" s="4"/>
      <c r="K20" s="45"/>
      <c r="L20" s="5"/>
      <c r="M20" s="4"/>
    </row>
    <row r="21" spans="1:13">
      <c r="A21" s="103"/>
      <c r="B21" s="3" t="s">
        <v>55</v>
      </c>
      <c r="C21" s="6" t="s">
        <v>60</v>
      </c>
      <c r="D21" s="7"/>
      <c r="E21" s="8" t="s">
        <v>335</v>
      </c>
      <c r="G21" s="3"/>
      <c r="J21" s="4"/>
      <c r="K21" s="45"/>
      <c r="L21" s="5"/>
      <c r="M21" s="4"/>
    </row>
    <row r="22" spans="1:13">
      <c r="A22" s="103"/>
      <c r="B22" s="3" t="s">
        <v>56</v>
      </c>
      <c r="C22" s="6" t="s">
        <v>58</v>
      </c>
      <c r="E22" s="8" t="s">
        <v>336</v>
      </c>
      <c r="G22" s="3"/>
      <c r="J22" s="4"/>
      <c r="K22" s="45"/>
      <c r="L22" s="5"/>
      <c r="M22" s="4"/>
    </row>
    <row r="23" spans="1:13">
      <c r="A23" s="103"/>
      <c r="B23" s="3" t="s">
        <v>57</v>
      </c>
      <c r="C23" s="6" t="s">
        <v>57</v>
      </c>
      <c r="D23" s="7"/>
      <c r="E23" s="8" t="s">
        <v>337</v>
      </c>
      <c r="G23" s="3"/>
      <c r="J23" s="4"/>
      <c r="K23" s="45"/>
      <c r="L23" s="5"/>
      <c r="M23" s="4"/>
    </row>
    <row r="24" spans="1:13">
      <c r="A24" s="103"/>
      <c r="B24" s="3" t="s">
        <v>58</v>
      </c>
      <c r="C24" s="6" t="s">
        <v>59</v>
      </c>
      <c r="D24" s="7"/>
      <c r="E24" s="8" t="s">
        <v>338</v>
      </c>
      <c r="G24" s="3"/>
      <c r="J24" s="4"/>
      <c r="K24" s="45"/>
      <c r="L24" s="5"/>
      <c r="M24" s="4"/>
    </row>
    <row r="25" spans="1:13">
      <c r="A25" s="103"/>
      <c r="B25" s="3" t="s">
        <v>59</v>
      </c>
      <c r="C25" s="6" t="s">
        <v>55</v>
      </c>
      <c r="D25" s="7"/>
      <c r="E25" s="8" t="s">
        <v>339</v>
      </c>
      <c r="G25" s="3"/>
      <c r="J25" s="4"/>
      <c r="K25" s="45"/>
      <c r="L25" s="5"/>
      <c r="M25" s="4"/>
    </row>
    <row r="26" spans="1:13">
      <c r="A26" s="103"/>
      <c r="B26" s="3" t="s">
        <v>60</v>
      </c>
      <c r="C26" s="6" t="s">
        <v>56</v>
      </c>
      <c r="D26" s="7"/>
      <c r="E26" s="8" t="s">
        <v>340</v>
      </c>
      <c r="G26" s="3"/>
      <c r="J26" s="4"/>
      <c r="K26" s="45"/>
      <c r="L26" s="5"/>
      <c r="M26" s="4"/>
    </row>
    <row r="27" spans="1:13">
      <c r="A27" s="103" t="s">
        <v>6</v>
      </c>
      <c r="B27" s="3" t="s">
        <v>61</v>
      </c>
      <c r="C27" s="6" t="s">
        <v>64</v>
      </c>
      <c r="D27" s="7"/>
      <c r="E27" s="8" t="s">
        <v>341</v>
      </c>
      <c r="G27" s="3"/>
      <c r="J27" s="4"/>
      <c r="K27" s="45"/>
      <c r="L27" s="5"/>
      <c r="M27" s="4"/>
    </row>
    <row r="28" spans="1:13">
      <c r="A28" s="103"/>
      <c r="B28" s="3" t="s">
        <v>62</v>
      </c>
      <c r="C28" s="6" t="s">
        <v>61</v>
      </c>
      <c r="D28" s="7"/>
      <c r="E28" s="8" t="s">
        <v>342</v>
      </c>
      <c r="G28" s="3"/>
      <c r="J28" s="4"/>
      <c r="K28" s="45"/>
      <c r="L28" s="5"/>
      <c r="M28" s="4"/>
    </row>
    <row r="29" spans="1:13">
      <c r="A29" s="103"/>
      <c r="B29" s="3" t="s">
        <v>63</v>
      </c>
      <c r="C29" s="6" t="s">
        <v>63</v>
      </c>
      <c r="D29" s="7"/>
      <c r="E29" s="8" t="s">
        <v>343</v>
      </c>
      <c r="G29" s="3"/>
      <c r="J29" s="4"/>
      <c r="K29" s="45"/>
      <c r="L29" s="5"/>
      <c r="M29" s="4"/>
    </row>
    <row r="30" spans="1:13">
      <c r="A30" s="103"/>
      <c r="B30" s="3" t="s">
        <v>64</v>
      </c>
      <c r="C30" s="6" t="s">
        <v>65</v>
      </c>
      <c r="D30" s="7"/>
      <c r="E30" s="8" t="s">
        <v>344</v>
      </c>
      <c r="G30" s="3"/>
      <c r="J30" s="4"/>
      <c r="K30" s="45"/>
      <c r="L30" s="5"/>
      <c r="M30" s="4"/>
    </row>
    <row r="31" spans="1:13">
      <c r="A31" s="103"/>
      <c r="B31" s="3" t="s">
        <v>65</v>
      </c>
      <c r="C31" s="6" t="s">
        <v>62</v>
      </c>
      <c r="D31" s="7"/>
      <c r="E31" s="8" t="s">
        <v>345</v>
      </c>
      <c r="G31" s="3"/>
      <c r="J31" s="4"/>
      <c r="K31" s="45"/>
      <c r="L31" s="5"/>
      <c r="M31" s="4"/>
    </row>
    <row r="32" spans="1:13">
      <c r="A32" s="103" t="s">
        <v>7</v>
      </c>
      <c r="B32" s="3" t="s">
        <v>66</v>
      </c>
      <c r="C32" s="6" t="s">
        <v>101</v>
      </c>
      <c r="D32" s="7"/>
      <c r="E32" s="8" t="s">
        <v>346</v>
      </c>
      <c r="G32" s="3"/>
      <c r="J32" s="4"/>
      <c r="K32" s="45"/>
      <c r="L32" s="5"/>
      <c r="M32" s="4"/>
    </row>
    <row r="33" spans="1:13">
      <c r="A33" s="103"/>
      <c r="B33" s="3" t="s">
        <v>67</v>
      </c>
      <c r="C33" s="6" t="s">
        <v>102</v>
      </c>
      <c r="D33" s="7"/>
      <c r="E33" s="8" t="s">
        <v>347</v>
      </c>
      <c r="G33" s="3"/>
      <c r="J33" s="4"/>
      <c r="K33" s="45"/>
      <c r="L33" s="5"/>
      <c r="M33" s="4"/>
    </row>
    <row r="34" spans="1:13">
      <c r="A34" s="103"/>
      <c r="B34" s="3" t="s">
        <v>68</v>
      </c>
      <c r="C34" s="6" t="s">
        <v>103</v>
      </c>
      <c r="D34" s="7"/>
      <c r="E34" s="8" t="s">
        <v>348</v>
      </c>
      <c r="G34" s="3"/>
      <c r="J34" s="4"/>
      <c r="K34" s="45"/>
      <c r="L34" s="5"/>
      <c r="M34" s="4"/>
    </row>
    <row r="35" spans="1:13">
      <c r="A35" s="103"/>
      <c r="B35" s="3" t="s">
        <v>69</v>
      </c>
      <c r="C35" s="6" t="s">
        <v>100</v>
      </c>
      <c r="D35" s="7"/>
      <c r="E35" s="8" t="s">
        <v>349</v>
      </c>
      <c r="G35" s="3"/>
      <c r="J35" s="4"/>
      <c r="K35" s="45"/>
      <c r="L35" s="5"/>
      <c r="M35" s="4"/>
    </row>
    <row r="36" spans="1:13">
      <c r="A36" s="103"/>
      <c r="B36" s="3" t="s">
        <v>70</v>
      </c>
      <c r="C36" s="6" t="s">
        <v>97</v>
      </c>
      <c r="D36" s="28" t="s">
        <v>687</v>
      </c>
      <c r="E36" s="8" t="s">
        <v>350</v>
      </c>
      <c r="G36" s="3">
        <v>160</v>
      </c>
      <c r="J36" s="4">
        <f t="shared" ref="J36:J66" si="0">SUM(F36:I36)</f>
        <v>160</v>
      </c>
      <c r="K36" s="45">
        <f>J36/SUM($J$36:$J$68)</f>
        <v>3.9653035935563817E-2</v>
      </c>
      <c r="L36" s="5"/>
      <c r="M36" s="4"/>
    </row>
    <row r="37" spans="1:13">
      <c r="A37" s="103"/>
      <c r="B37" s="3" t="s">
        <v>71</v>
      </c>
      <c r="C37" s="6" t="s">
        <v>98</v>
      </c>
      <c r="D37" s="7"/>
      <c r="E37" s="8" t="s">
        <v>351</v>
      </c>
      <c r="G37" s="3"/>
      <c r="J37" s="4"/>
      <c r="K37" s="45"/>
      <c r="L37" s="5"/>
      <c r="M37" s="4"/>
    </row>
    <row r="38" spans="1:13">
      <c r="A38" s="103"/>
      <c r="B38" s="3" t="s">
        <v>72</v>
      </c>
      <c r="C38" s="6" t="s">
        <v>95</v>
      </c>
      <c r="D38" s="7"/>
      <c r="E38" s="8" t="s">
        <v>352</v>
      </c>
      <c r="G38" s="3"/>
      <c r="J38" s="4"/>
      <c r="K38" s="45"/>
      <c r="L38" s="5"/>
      <c r="M38" s="4"/>
    </row>
    <row r="39" spans="1:13">
      <c r="A39" s="103"/>
      <c r="B39" s="3" t="s">
        <v>73</v>
      </c>
      <c r="C39" s="6" t="s">
        <v>96</v>
      </c>
      <c r="D39" s="7"/>
      <c r="E39" s="8" t="s">
        <v>353</v>
      </c>
      <c r="G39" s="3"/>
      <c r="J39" s="4"/>
      <c r="K39" s="45"/>
      <c r="L39" s="5"/>
      <c r="M39" s="4"/>
    </row>
    <row r="40" spans="1:13">
      <c r="A40" s="103"/>
      <c r="B40" s="3" t="s">
        <v>74</v>
      </c>
      <c r="C40" s="6" t="s">
        <v>99</v>
      </c>
      <c r="D40" s="7"/>
      <c r="E40" s="8" t="s">
        <v>354</v>
      </c>
      <c r="G40" s="3"/>
      <c r="J40" s="4"/>
      <c r="K40" s="45"/>
      <c r="L40" s="5"/>
      <c r="M40" s="4"/>
    </row>
    <row r="41" spans="1:13">
      <c r="A41" s="103"/>
      <c r="B41" s="3" t="s">
        <v>75</v>
      </c>
      <c r="C41" s="6" t="s">
        <v>93</v>
      </c>
      <c r="D41" s="7"/>
      <c r="E41" s="8" t="s">
        <v>355</v>
      </c>
      <c r="G41" s="3"/>
      <c r="J41" s="4"/>
      <c r="K41" s="45"/>
      <c r="L41" s="5"/>
      <c r="M41" s="4"/>
    </row>
    <row r="42" spans="1:13">
      <c r="A42" s="103"/>
      <c r="B42" s="3" t="s">
        <v>76</v>
      </c>
      <c r="C42" s="6" t="s">
        <v>94</v>
      </c>
      <c r="D42" s="7"/>
      <c r="E42" s="8" t="s">
        <v>356</v>
      </c>
      <c r="G42" s="3"/>
      <c r="J42" s="4"/>
      <c r="K42" s="45"/>
      <c r="L42" s="5"/>
      <c r="M42" s="4"/>
    </row>
    <row r="43" spans="1:13">
      <c r="A43" s="103"/>
      <c r="B43" s="3" t="s">
        <v>77</v>
      </c>
      <c r="C43" s="6" t="s">
        <v>92</v>
      </c>
      <c r="D43" s="7"/>
      <c r="E43" s="8" t="s">
        <v>357</v>
      </c>
      <c r="G43" s="3"/>
      <c r="J43" s="4"/>
      <c r="K43" s="45"/>
      <c r="L43" s="5"/>
      <c r="M43" s="4"/>
    </row>
    <row r="44" spans="1:13">
      <c r="A44" s="103"/>
      <c r="B44" s="3" t="s">
        <v>78</v>
      </c>
      <c r="C44" s="6" t="s">
        <v>91</v>
      </c>
      <c r="D44" s="7" t="s">
        <v>713</v>
      </c>
      <c r="E44" s="8" t="s">
        <v>358</v>
      </c>
      <c r="F44" s="3">
        <v>55</v>
      </c>
      <c r="G44" s="3"/>
      <c r="H44" s="3">
        <v>40</v>
      </c>
      <c r="I44" s="43">
        <v>70</v>
      </c>
      <c r="J44" s="4">
        <f t="shared" si="0"/>
        <v>165</v>
      </c>
      <c r="K44" s="45">
        <f t="shared" ref="K44:K68" si="1">J44/SUM($J$36:$J$68)</f>
        <v>4.0892193308550186E-2</v>
      </c>
      <c r="L44" s="10"/>
    </row>
    <row r="45" spans="1:13">
      <c r="A45" s="103"/>
      <c r="B45" s="3" t="s">
        <v>79</v>
      </c>
      <c r="C45" s="6" t="s">
        <v>90</v>
      </c>
      <c r="D45" s="7"/>
      <c r="E45" s="8" t="s">
        <v>359</v>
      </c>
      <c r="G45" s="3"/>
      <c r="J45" s="4"/>
      <c r="K45" s="45"/>
      <c r="L45" s="10"/>
    </row>
    <row r="46" spans="1:13">
      <c r="A46" s="103"/>
      <c r="B46" s="3" t="s">
        <v>80</v>
      </c>
      <c r="C46" s="6" t="s">
        <v>89</v>
      </c>
      <c r="D46" s="7"/>
      <c r="E46" s="8" t="s">
        <v>360</v>
      </c>
      <c r="G46" s="3"/>
      <c r="J46" s="4"/>
      <c r="K46" s="45"/>
      <c r="L46" s="10"/>
    </row>
    <row r="47" spans="1:13">
      <c r="A47" s="103"/>
      <c r="B47" s="3" t="s">
        <v>81</v>
      </c>
      <c r="C47" s="6" t="s">
        <v>88</v>
      </c>
      <c r="D47" s="7"/>
      <c r="E47" s="8" t="s">
        <v>361</v>
      </c>
      <c r="G47" s="3"/>
      <c r="J47" s="4"/>
      <c r="K47" s="45"/>
      <c r="L47" s="10"/>
    </row>
    <row r="48" spans="1:13">
      <c r="A48" s="103"/>
      <c r="B48" s="3" t="s">
        <v>82</v>
      </c>
      <c r="C48" s="6" t="s">
        <v>87</v>
      </c>
      <c r="D48" s="7"/>
      <c r="E48" s="8" t="s">
        <v>362</v>
      </c>
      <c r="G48" s="3"/>
      <c r="J48" s="4"/>
      <c r="K48" s="45"/>
      <c r="L48" s="10"/>
    </row>
    <row r="49" spans="1:12">
      <c r="A49" s="103"/>
      <c r="B49" s="3" t="s">
        <v>83</v>
      </c>
      <c r="C49" s="6" t="s">
        <v>86</v>
      </c>
      <c r="D49" s="7"/>
      <c r="E49" s="8" t="s">
        <v>363</v>
      </c>
      <c r="G49" s="3"/>
      <c r="J49" s="4"/>
      <c r="K49" s="45"/>
      <c r="L49" s="10"/>
    </row>
    <row r="50" spans="1:12">
      <c r="A50" s="103"/>
      <c r="B50" s="3" t="s">
        <v>84</v>
      </c>
      <c r="C50" s="6" t="s">
        <v>85</v>
      </c>
      <c r="D50" s="7"/>
      <c r="E50" s="8" t="s">
        <v>364</v>
      </c>
      <c r="G50" s="3"/>
      <c r="J50" s="4"/>
      <c r="K50" s="45"/>
      <c r="L50" s="10"/>
    </row>
    <row r="51" spans="1:12">
      <c r="A51" s="103"/>
      <c r="B51" s="3" t="s">
        <v>85</v>
      </c>
      <c r="C51" s="6" t="s">
        <v>84</v>
      </c>
      <c r="D51" s="7"/>
      <c r="E51" s="8" t="s">
        <v>365</v>
      </c>
      <c r="G51" s="3"/>
      <c r="J51" s="4"/>
      <c r="K51" s="45"/>
      <c r="L51" s="10"/>
    </row>
    <row r="52" spans="1:12">
      <c r="A52" s="103"/>
      <c r="B52" s="3" t="s">
        <v>86</v>
      </c>
      <c r="C52" s="6" t="s">
        <v>83</v>
      </c>
      <c r="D52" s="7"/>
      <c r="E52" s="8" t="s">
        <v>366</v>
      </c>
      <c r="G52" s="3"/>
      <c r="J52" s="4"/>
      <c r="K52" s="45"/>
      <c r="L52" s="10"/>
    </row>
    <row r="53" spans="1:12">
      <c r="A53" s="103"/>
      <c r="B53" s="3" t="s">
        <v>87</v>
      </c>
      <c r="C53" s="6" t="s">
        <v>82</v>
      </c>
      <c r="D53" s="7"/>
      <c r="E53" s="8" t="s">
        <v>367</v>
      </c>
      <c r="G53" s="3"/>
      <c r="J53" s="4"/>
      <c r="K53" s="45"/>
      <c r="L53" s="10"/>
    </row>
    <row r="54" spans="1:12">
      <c r="A54" s="103"/>
      <c r="B54" s="3" t="s">
        <v>88</v>
      </c>
      <c r="C54" s="6" t="s">
        <v>81</v>
      </c>
      <c r="D54" s="7" t="s">
        <v>711</v>
      </c>
      <c r="E54" s="8" t="s">
        <v>368</v>
      </c>
      <c r="F54" s="3">
        <v>60</v>
      </c>
      <c r="G54" s="3"/>
      <c r="J54" s="4">
        <f t="shared" si="0"/>
        <v>60</v>
      </c>
      <c r="K54" s="45">
        <f t="shared" si="1"/>
        <v>1.4869888475836431E-2</v>
      </c>
      <c r="L54" s="10"/>
    </row>
    <row r="55" spans="1:12" ht="30">
      <c r="A55" s="103"/>
      <c r="B55" s="3" t="s">
        <v>89</v>
      </c>
      <c r="C55" s="6" t="s">
        <v>78</v>
      </c>
      <c r="D55" s="28" t="s">
        <v>708</v>
      </c>
      <c r="E55" s="8" t="s">
        <v>369</v>
      </c>
      <c r="F55" s="3">
        <f>30+170+150</f>
        <v>350</v>
      </c>
      <c r="G55" s="3">
        <f>430+250</f>
        <v>680</v>
      </c>
      <c r="H55" s="3">
        <v>70</v>
      </c>
      <c r="I55" s="43">
        <v>190</v>
      </c>
      <c r="J55" s="4">
        <f t="shared" si="0"/>
        <v>1290</v>
      </c>
      <c r="K55" s="45">
        <f t="shared" si="1"/>
        <v>0.31970260223048325</v>
      </c>
      <c r="L55" s="10"/>
    </row>
    <row r="56" spans="1:12" ht="45">
      <c r="A56" s="103"/>
      <c r="B56" s="3" t="s">
        <v>90</v>
      </c>
      <c r="C56" s="6" t="s">
        <v>77</v>
      </c>
      <c r="D56" s="28" t="s">
        <v>717</v>
      </c>
      <c r="E56" s="8" t="s">
        <v>370</v>
      </c>
      <c r="F56" s="3">
        <f>110+140</f>
        <v>250</v>
      </c>
      <c r="G56" s="3">
        <f>160+510+370</f>
        <v>1040</v>
      </c>
      <c r="H56" s="3">
        <v>60</v>
      </c>
      <c r="I56" s="43">
        <v>140</v>
      </c>
      <c r="J56" s="4">
        <f t="shared" si="0"/>
        <v>1490</v>
      </c>
      <c r="K56" s="45">
        <f t="shared" si="1"/>
        <v>0.36926889714993805</v>
      </c>
      <c r="L56" s="10"/>
    </row>
    <row r="57" spans="1:12">
      <c r="A57" s="103"/>
      <c r="B57" s="3" t="s">
        <v>91</v>
      </c>
      <c r="C57" s="6" t="s">
        <v>76</v>
      </c>
      <c r="D57" s="7"/>
      <c r="E57" s="8" t="s">
        <v>371</v>
      </c>
      <c r="G57" s="3"/>
      <c r="J57" s="4"/>
      <c r="K57" s="45"/>
      <c r="L57" s="10"/>
    </row>
    <row r="58" spans="1:12">
      <c r="A58" s="103"/>
      <c r="B58" s="3" t="s">
        <v>92</v>
      </c>
      <c r="C58" s="6" t="s">
        <v>79</v>
      </c>
      <c r="D58" s="7"/>
      <c r="E58" s="8" t="s">
        <v>372</v>
      </c>
      <c r="G58" s="3"/>
      <c r="J58" s="4"/>
      <c r="K58" s="45"/>
      <c r="L58" s="10"/>
    </row>
    <row r="59" spans="1:12">
      <c r="A59" s="103"/>
      <c r="B59" s="3" t="s">
        <v>93</v>
      </c>
      <c r="C59" s="6" t="s">
        <v>80</v>
      </c>
      <c r="D59" s="7"/>
      <c r="E59" s="8" t="s">
        <v>373</v>
      </c>
      <c r="G59" s="3"/>
      <c r="J59" s="4"/>
      <c r="K59" s="45"/>
      <c r="L59" s="10"/>
    </row>
    <row r="60" spans="1:12">
      <c r="A60" s="103"/>
      <c r="B60" s="3" t="s">
        <v>94</v>
      </c>
      <c r="C60" s="6" t="s">
        <v>75</v>
      </c>
      <c r="D60" s="7"/>
      <c r="E60" s="8" t="s">
        <v>374</v>
      </c>
      <c r="G60" s="3"/>
      <c r="J60" s="4"/>
      <c r="K60" s="45"/>
      <c r="L60" s="10"/>
    </row>
    <row r="61" spans="1:12">
      <c r="A61" s="103"/>
      <c r="B61" s="3" t="s">
        <v>95</v>
      </c>
      <c r="C61" s="6" t="s">
        <v>73</v>
      </c>
      <c r="D61" s="7"/>
      <c r="E61" s="8" t="s">
        <v>375</v>
      </c>
      <c r="G61" s="3"/>
      <c r="J61" s="4"/>
      <c r="K61" s="45"/>
      <c r="L61" s="10"/>
    </row>
    <row r="62" spans="1:12">
      <c r="A62" s="103"/>
      <c r="B62" s="3" t="s">
        <v>96</v>
      </c>
      <c r="C62" s="6" t="s">
        <v>74</v>
      </c>
      <c r="D62" s="3" t="s">
        <v>690</v>
      </c>
      <c r="E62" s="8" t="s">
        <v>376</v>
      </c>
      <c r="F62" s="3">
        <v>85</v>
      </c>
      <c r="G62" s="3">
        <v>320</v>
      </c>
      <c r="J62" s="4">
        <f t="shared" si="0"/>
        <v>405</v>
      </c>
      <c r="K62" s="45">
        <f t="shared" si="1"/>
        <v>0.10037174721189591</v>
      </c>
      <c r="L62" s="10"/>
    </row>
    <row r="63" spans="1:12">
      <c r="A63" s="103"/>
      <c r="B63" s="3" t="s">
        <v>97</v>
      </c>
      <c r="C63" s="6" t="s">
        <v>72</v>
      </c>
      <c r="D63" s="7"/>
      <c r="E63" s="8" t="s">
        <v>377</v>
      </c>
      <c r="G63" s="3"/>
      <c r="J63" s="4"/>
      <c r="K63" s="45"/>
      <c r="L63" s="10"/>
    </row>
    <row r="64" spans="1:12">
      <c r="A64" s="103"/>
      <c r="B64" s="3" t="s">
        <v>98</v>
      </c>
      <c r="C64" s="6" t="s">
        <v>69</v>
      </c>
      <c r="D64" s="7"/>
      <c r="E64" s="8" t="s">
        <v>378</v>
      </c>
      <c r="G64" s="3"/>
      <c r="J64" s="4"/>
      <c r="K64" s="45"/>
      <c r="L64" s="10"/>
    </row>
    <row r="65" spans="1:12">
      <c r="A65" s="103"/>
      <c r="B65" s="3" t="s">
        <v>99</v>
      </c>
      <c r="C65" s="6" t="s">
        <v>70</v>
      </c>
      <c r="D65" s="7"/>
      <c r="E65" s="8" t="s">
        <v>379</v>
      </c>
      <c r="G65" s="3"/>
      <c r="J65" s="4"/>
      <c r="K65" s="45"/>
      <c r="L65" s="10"/>
    </row>
    <row r="66" spans="1:12">
      <c r="A66" s="103"/>
      <c r="B66" s="3" t="s">
        <v>100</v>
      </c>
      <c r="C66" s="6" t="s">
        <v>68</v>
      </c>
      <c r="D66" s="3" t="s">
        <v>686</v>
      </c>
      <c r="E66" s="8" t="s">
        <v>380</v>
      </c>
      <c r="G66" s="3">
        <v>320</v>
      </c>
      <c r="J66" s="4">
        <f t="shared" si="0"/>
        <v>320</v>
      </c>
      <c r="K66" s="45">
        <f t="shared" si="1"/>
        <v>7.9306071871127634E-2</v>
      </c>
      <c r="L66" s="10"/>
    </row>
    <row r="67" spans="1:12">
      <c r="A67" s="103"/>
      <c r="B67" s="3" t="s">
        <v>101</v>
      </c>
      <c r="C67" s="6" t="s">
        <v>71</v>
      </c>
      <c r="D67" s="7"/>
      <c r="E67" s="8" t="s">
        <v>381</v>
      </c>
      <c r="G67" s="3"/>
      <c r="J67" s="4"/>
      <c r="K67" s="45"/>
      <c r="L67" s="10"/>
    </row>
    <row r="68" spans="1:12">
      <c r="A68" s="103"/>
      <c r="B68" s="3" t="s">
        <v>102</v>
      </c>
      <c r="C68" s="6" t="s">
        <v>67</v>
      </c>
      <c r="D68" s="3" t="s">
        <v>689</v>
      </c>
      <c r="E68" s="8" t="s">
        <v>382</v>
      </c>
      <c r="F68" s="3">
        <v>130</v>
      </c>
      <c r="G68" s="3"/>
      <c r="H68" s="3">
        <v>15</v>
      </c>
      <c r="J68" s="4">
        <f t="shared" ref="J68:J126" si="2">SUM(F68:I68)</f>
        <v>145</v>
      </c>
      <c r="K68" s="45">
        <f t="shared" si="1"/>
        <v>3.5935563816604711E-2</v>
      </c>
      <c r="L68" s="10"/>
    </row>
    <row r="69" spans="1:12">
      <c r="A69" s="103"/>
      <c r="B69" s="3" t="s">
        <v>103</v>
      </c>
      <c r="C69" s="6" t="s">
        <v>66</v>
      </c>
      <c r="D69" s="7"/>
      <c r="E69" s="8" t="s">
        <v>383</v>
      </c>
      <c r="G69" s="3"/>
      <c r="J69" s="4"/>
      <c r="L69" s="10"/>
    </row>
    <row r="70" spans="1:12">
      <c r="A70" s="27" t="s">
        <v>623</v>
      </c>
      <c r="B70" s="3" t="s">
        <v>384</v>
      </c>
      <c r="C70" s="6" t="s">
        <v>384</v>
      </c>
      <c r="D70" s="7"/>
      <c r="E70" s="8" t="s">
        <v>385</v>
      </c>
      <c r="G70" s="3"/>
      <c r="J70" s="4"/>
      <c r="L70" s="10"/>
    </row>
    <row r="71" spans="1:12">
      <c r="A71" s="103" t="s">
        <v>8</v>
      </c>
      <c r="B71" s="3" t="s">
        <v>104</v>
      </c>
      <c r="C71" s="6" t="s">
        <v>106</v>
      </c>
      <c r="D71" s="7"/>
      <c r="E71" s="8" t="s">
        <v>386</v>
      </c>
      <c r="G71" s="3"/>
      <c r="J71" s="4"/>
      <c r="L71" s="10"/>
    </row>
    <row r="72" spans="1:12">
      <c r="A72" s="103"/>
      <c r="B72" s="3" t="s">
        <v>105</v>
      </c>
      <c r="C72" s="6" t="s">
        <v>105</v>
      </c>
      <c r="D72" s="7"/>
      <c r="E72" s="8" t="s">
        <v>387</v>
      </c>
      <c r="G72" s="3"/>
      <c r="J72" s="4"/>
      <c r="L72" s="10"/>
    </row>
    <row r="73" spans="1:12">
      <c r="A73" s="103"/>
      <c r="B73" s="3" t="s">
        <v>106</v>
      </c>
      <c r="C73" s="6" t="s">
        <v>104</v>
      </c>
      <c r="D73" s="7"/>
      <c r="E73" s="8" t="s">
        <v>388</v>
      </c>
      <c r="G73" s="3"/>
      <c r="J73" s="4"/>
      <c r="L73" s="10"/>
    </row>
    <row r="74" spans="1:12">
      <c r="A74" s="103" t="s">
        <v>9</v>
      </c>
      <c r="B74" s="3" t="s">
        <v>107</v>
      </c>
      <c r="C74" s="6" t="s">
        <v>114</v>
      </c>
      <c r="D74" s="7"/>
      <c r="E74" s="8" t="s">
        <v>389</v>
      </c>
      <c r="G74" s="3"/>
      <c r="J74" s="4"/>
      <c r="L74" s="10"/>
    </row>
    <row r="75" spans="1:12">
      <c r="A75" s="103"/>
      <c r="B75" s="3" t="s">
        <v>108</v>
      </c>
      <c r="C75" s="6" t="s">
        <v>390</v>
      </c>
      <c r="D75" s="7"/>
      <c r="E75" s="8" t="s">
        <v>391</v>
      </c>
      <c r="G75" s="3"/>
      <c r="J75" s="4"/>
      <c r="L75" s="10"/>
    </row>
    <row r="76" spans="1:12">
      <c r="A76" s="103"/>
      <c r="B76" s="3" t="s">
        <v>109</v>
      </c>
      <c r="C76" s="6" t="s">
        <v>392</v>
      </c>
      <c r="D76" s="7"/>
      <c r="E76" s="8" t="s">
        <v>393</v>
      </c>
      <c r="G76" s="3"/>
      <c r="J76" s="4"/>
    </row>
    <row r="77" spans="1:12">
      <c r="A77" s="103"/>
      <c r="B77" s="3" t="s">
        <v>110</v>
      </c>
      <c r="C77" s="6" t="s">
        <v>394</v>
      </c>
      <c r="D77" s="7"/>
      <c r="E77" s="8" t="s">
        <v>395</v>
      </c>
      <c r="G77" s="3"/>
      <c r="J77" s="4"/>
    </row>
    <row r="78" spans="1:12">
      <c r="A78" s="103"/>
      <c r="B78" s="3" t="s">
        <v>111</v>
      </c>
      <c r="C78" s="6" t="s">
        <v>115</v>
      </c>
      <c r="D78" s="7"/>
      <c r="E78" s="8" t="s">
        <v>396</v>
      </c>
      <c r="G78" s="3"/>
      <c r="J78" s="4"/>
    </row>
    <row r="79" spans="1:12">
      <c r="A79" s="103"/>
      <c r="B79" s="3" t="s">
        <v>112</v>
      </c>
      <c r="C79" s="6" t="s">
        <v>110</v>
      </c>
      <c r="D79" s="7"/>
      <c r="E79" s="8" t="s">
        <v>397</v>
      </c>
      <c r="G79" s="3"/>
      <c r="J79" s="4"/>
    </row>
    <row r="80" spans="1:12">
      <c r="A80" s="103"/>
      <c r="B80" s="3" t="s">
        <v>113</v>
      </c>
      <c r="C80" s="6" t="s">
        <v>112</v>
      </c>
      <c r="D80" s="7"/>
      <c r="E80" s="8" t="s">
        <v>398</v>
      </c>
      <c r="G80" s="3"/>
      <c r="J80" s="4"/>
    </row>
    <row r="81" spans="1:11">
      <c r="A81" s="103"/>
      <c r="B81" s="3" t="s">
        <v>114</v>
      </c>
      <c r="C81" s="6" t="s">
        <v>111</v>
      </c>
      <c r="D81" s="7"/>
      <c r="E81" s="8" t="s">
        <v>399</v>
      </c>
      <c r="G81" s="3"/>
      <c r="J81" s="4"/>
    </row>
    <row r="82" spans="1:11">
      <c r="A82" s="103"/>
      <c r="B82" s="3" t="s">
        <v>115</v>
      </c>
      <c r="C82" s="6" t="s">
        <v>107</v>
      </c>
      <c r="D82" s="7"/>
      <c r="E82" s="8" t="s">
        <v>400</v>
      </c>
      <c r="G82" s="3"/>
      <c r="J82" s="4"/>
    </row>
    <row r="83" spans="1:11">
      <c r="A83" s="103"/>
      <c r="C83" s="6" t="s">
        <v>401</v>
      </c>
      <c r="D83" s="7"/>
      <c r="E83" s="8" t="s">
        <v>402</v>
      </c>
      <c r="G83" s="3"/>
      <c r="J83" s="4"/>
    </row>
    <row r="84" spans="1:11">
      <c r="A84" s="103"/>
      <c r="C84" s="6" t="s">
        <v>113</v>
      </c>
      <c r="D84" s="7"/>
      <c r="E84" s="8" t="s">
        <v>403</v>
      </c>
      <c r="G84" s="3"/>
      <c r="J84" s="4"/>
    </row>
    <row r="85" spans="1:11">
      <c r="A85" s="103"/>
      <c r="C85" s="6" t="s">
        <v>108</v>
      </c>
      <c r="D85" s="7"/>
      <c r="E85" s="8" t="s">
        <v>404</v>
      </c>
      <c r="G85" s="3"/>
      <c r="J85" s="4"/>
    </row>
    <row r="86" spans="1:11">
      <c r="A86" s="103"/>
      <c r="C86" s="6" t="s">
        <v>109</v>
      </c>
      <c r="D86" s="7"/>
      <c r="E86" s="8" t="s">
        <v>405</v>
      </c>
      <c r="G86" s="3"/>
      <c r="J86" s="4"/>
    </row>
    <row r="87" spans="1:11">
      <c r="A87" s="103" t="s">
        <v>10</v>
      </c>
      <c r="B87" s="3" t="s">
        <v>116</v>
      </c>
      <c r="C87" s="6" t="s">
        <v>120</v>
      </c>
      <c r="D87" s="7"/>
      <c r="E87" s="8" t="s">
        <v>406</v>
      </c>
      <c r="G87" s="3"/>
      <c r="J87" s="4"/>
    </row>
    <row r="88" spans="1:11">
      <c r="A88" s="103"/>
      <c r="B88" s="3" t="s">
        <v>117</v>
      </c>
      <c r="C88" s="6" t="s">
        <v>117</v>
      </c>
      <c r="D88" s="7"/>
      <c r="E88" s="8" t="s">
        <v>407</v>
      </c>
      <c r="G88" s="3"/>
      <c r="J88" s="4"/>
    </row>
    <row r="89" spans="1:11">
      <c r="A89" s="103"/>
      <c r="B89" s="3" t="s">
        <v>118</v>
      </c>
      <c r="C89" s="6" t="s">
        <v>128</v>
      </c>
      <c r="D89" s="7"/>
      <c r="E89" s="8" t="s">
        <v>408</v>
      </c>
      <c r="G89" s="3"/>
      <c r="J89" s="4"/>
    </row>
    <row r="90" spans="1:11">
      <c r="A90" s="103"/>
      <c r="B90" s="3" t="s">
        <v>119</v>
      </c>
      <c r="C90" s="6" t="s">
        <v>118</v>
      </c>
      <c r="D90" s="7"/>
      <c r="E90" s="8" t="s">
        <v>409</v>
      </c>
      <c r="G90" s="3"/>
      <c r="J90" s="4"/>
    </row>
    <row r="91" spans="1:11">
      <c r="A91" s="103"/>
      <c r="B91" s="3" t="s">
        <v>120</v>
      </c>
      <c r="C91" s="6" t="s">
        <v>123</v>
      </c>
      <c r="D91" s="7"/>
      <c r="E91" s="8" t="s">
        <v>410</v>
      </c>
      <c r="G91" s="3"/>
      <c r="J91" s="4"/>
    </row>
    <row r="92" spans="1:11">
      <c r="A92" s="103"/>
      <c r="B92" s="3" t="s">
        <v>121</v>
      </c>
      <c r="C92" s="6" t="s">
        <v>119</v>
      </c>
      <c r="D92" s="7"/>
      <c r="E92" s="8" t="s">
        <v>411</v>
      </c>
      <c r="G92" s="3"/>
      <c r="J92" s="4"/>
    </row>
    <row r="93" spans="1:11">
      <c r="A93" s="103"/>
      <c r="B93" s="3" t="s">
        <v>122</v>
      </c>
      <c r="C93" s="6" t="s">
        <v>129</v>
      </c>
      <c r="D93" s="7"/>
      <c r="E93" s="8" t="s">
        <v>412</v>
      </c>
      <c r="G93" s="3"/>
      <c r="J93" s="4"/>
    </row>
    <row r="94" spans="1:11">
      <c r="A94" s="103"/>
      <c r="B94" s="3" t="s">
        <v>123</v>
      </c>
      <c r="C94" s="6" t="s">
        <v>124</v>
      </c>
      <c r="D94" s="7"/>
      <c r="E94" s="8" t="s">
        <v>413</v>
      </c>
      <c r="G94" s="3"/>
      <c r="J94" s="4"/>
    </row>
    <row r="95" spans="1:11">
      <c r="A95" s="103"/>
      <c r="B95" s="3" t="s">
        <v>124</v>
      </c>
      <c r="C95" s="6" t="s">
        <v>126</v>
      </c>
      <c r="D95" s="7"/>
      <c r="E95" s="8" t="s">
        <v>414</v>
      </c>
      <c r="G95" s="3"/>
      <c r="J95" s="4"/>
    </row>
    <row r="96" spans="1:11">
      <c r="A96" s="103"/>
      <c r="B96" s="3" t="s">
        <v>125</v>
      </c>
      <c r="C96" s="6" t="s">
        <v>127</v>
      </c>
      <c r="D96" s="7" t="s">
        <v>667</v>
      </c>
      <c r="E96" s="8" t="s">
        <v>415</v>
      </c>
      <c r="G96" s="3">
        <v>125</v>
      </c>
      <c r="J96" s="4">
        <f t="shared" si="2"/>
        <v>125</v>
      </c>
      <c r="K96" s="9">
        <f>J96/SUM($J$96:$J$101)</f>
        <v>8.6206896551724144E-2</v>
      </c>
    </row>
    <row r="97" spans="1:11">
      <c r="A97" s="103"/>
      <c r="B97" s="3" t="s">
        <v>126</v>
      </c>
      <c r="C97" s="6" t="s">
        <v>121</v>
      </c>
      <c r="D97" s="7"/>
      <c r="E97" s="8" t="s">
        <v>416</v>
      </c>
      <c r="G97" s="3"/>
      <c r="J97" s="4"/>
    </row>
    <row r="98" spans="1:11">
      <c r="A98" s="103"/>
      <c r="B98" s="3" t="s">
        <v>127</v>
      </c>
      <c r="C98" s="6" t="s">
        <v>125</v>
      </c>
      <c r="D98" s="7" t="s">
        <v>666</v>
      </c>
      <c r="E98" s="8" t="s">
        <v>417</v>
      </c>
      <c r="G98" s="3">
        <v>190</v>
      </c>
      <c r="J98" s="4">
        <f t="shared" si="2"/>
        <v>190</v>
      </c>
      <c r="K98" s="9">
        <f t="shared" ref="K98:K101" si="3">J98/SUM($J$96:$J$101)</f>
        <v>0.1310344827586207</v>
      </c>
    </row>
    <row r="99" spans="1:11">
      <c r="A99" s="103"/>
      <c r="B99" s="3" t="s">
        <v>128</v>
      </c>
      <c r="C99" s="6" t="s">
        <v>122</v>
      </c>
      <c r="D99" s="7"/>
      <c r="E99" s="8" t="s">
        <v>418</v>
      </c>
      <c r="G99" s="3"/>
      <c r="J99" s="4"/>
    </row>
    <row r="100" spans="1:11">
      <c r="A100" s="103"/>
      <c r="B100" s="3" t="s">
        <v>129</v>
      </c>
      <c r="C100" s="6" t="s">
        <v>419</v>
      </c>
      <c r="D100" s="7"/>
      <c r="E100" s="8" t="s">
        <v>420</v>
      </c>
      <c r="G100" s="3"/>
      <c r="J100" s="4"/>
    </row>
    <row r="101" spans="1:11" ht="30">
      <c r="A101" s="103"/>
      <c r="B101" s="3" t="s">
        <v>130</v>
      </c>
      <c r="C101" s="6" t="s">
        <v>130</v>
      </c>
      <c r="D101" s="7" t="s">
        <v>705</v>
      </c>
      <c r="E101" s="8" t="s">
        <v>421</v>
      </c>
      <c r="F101" s="3">
        <f>200+150</f>
        <v>350</v>
      </c>
      <c r="G101" s="3">
        <f>400+245</f>
        <v>645</v>
      </c>
      <c r="H101" s="3">
        <v>40</v>
      </c>
      <c r="I101" s="43">
        <v>100</v>
      </c>
      <c r="J101" s="4">
        <f t="shared" si="2"/>
        <v>1135</v>
      </c>
      <c r="K101" s="9">
        <f t="shared" si="3"/>
        <v>0.78275862068965518</v>
      </c>
    </row>
    <row r="102" spans="1:11">
      <c r="A102" s="103"/>
      <c r="C102" s="6" t="s">
        <v>116</v>
      </c>
      <c r="D102" s="7"/>
      <c r="E102" s="8" t="s">
        <v>422</v>
      </c>
      <c r="G102" s="3"/>
      <c r="J102" s="4"/>
    </row>
    <row r="103" spans="1:11">
      <c r="A103" s="103"/>
      <c r="C103" s="6" t="s">
        <v>423</v>
      </c>
      <c r="D103" s="7"/>
      <c r="E103" s="8" t="s">
        <v>424</v>
      </c>
      <c r="G103" s="3"/>
      <c r="J103" s="4"/>
    </row>
    <row r="104" spans="1:11">
      <c r="A104" s="103"/>
      <c r="C104" s="6" t="s">
        <v>425</v>
      </c>
      <c r="D104" s="7"/>
      <c r="E104" s="8" t="s">
        <v>426</v>
      </c>
      <c r="G104" s="3"/>
      <c r="J104" s="4"/>
    </row>
    <row r="105" spans="1:11">
      <c r="A105" s="103"/>
      <c r="C105" s="6" t="s">
        <v>427</v>
      </c>
      <c r="D105" s="7"/>
      <c r="E105" s="8" t="s">
        <v>428</v>
      </c>
      <c r="G105" s="3"/>
      <c r="J105" s="4"/>
    </row>
    <row r="106" spans="1:11">
      <c r="A106" s="103" t="s">
        <v>11</v>
      </c>
      <c r="B106" s="3" t="s">
        <v>131</v>
      </c>
      <c r="C106" s="6" t="s">
        <v>132</v>
      </c>
      <c r="D106" s="7"/>
      <c r="E106" s="8" t="s">
        <v>429</v>
      </c>
      <c r="G106" s="3"/>
      <c r="J106" s="4"/>
    </row>
    <row r="107" spans="1:11">
      <c r="A107" s="103"/>
      <c r="B107" s="3" t="s">
        <v>132</v>
      </c>
      <c r="C107" s="6" t="s">
        <v>143</v>
      </c>
      <c r="D107" s="7"/>
      <c r="E107" s="8" t="s">
        <v>430</v>
      </c>
      <c r="G107" s="3"/>
      <c r="J107" s="4"/>
    </row>
    <row r="108" spans="1:11">
      <c r="A108" s="103"/>
      <c r="B108" s="3" t="s">
        <v>133</v>
      </c>
      <c r="C108" s="6" t="s">
        <v>141</v>
      </c>
      <c r="D108" s="7"/>
      <c r="E108" s="8" t="s">
        <v>431</v>
      </c>
      <c r="G108" s="3"/>
      <c r="J108" s="4"/>
    </row>
    <row r="109" spans="1:11">
      <c r="A109" s="103"/>
      <c r="B109" s="3" t="s">
        <v>134</v>
      </c>
      <c r="C109" s="6" t="s">
        <v>138</v>
      </c>
      <c r="D109" s="7"/>
      <c r="E109" s="8" t="s">
        <v>432</v>
      </c>
      <c r="G109" s="3"/>
      <c r="J109" s="4"/>
    </row>
    <row r="110" spans="1:11">
      <c r="A110" s="103"/>
      <c r="B110" s="3" t="s">
        <v>135</v>
      </c>
      <c r="C110" s="12" t="s">
        <v>145</v>
      </c>
      <c r="D110" s="8"/>
      <c r="E110" s="13" t="s">
        <v>433</v>
      </c>
      <c r="G110" s="3"/>
      <c r="J110" s="4"/>
    </row>
    <row r="111" spans="1:11">
      <c r="A111" s="103"/>
      <c r="B111" s="3" t="s">
        <v>136</v>
      </c>
      <c r="C111" s="12" t="s">
        <v>137</v>
      </c>
      <c r="D111" s="28" t="s">
        <v>706</v>
      </c>
      <c r="E111" s="13" t="s">
        <v>434</v>
      </c>
      <c r="F111" s="3">
        <v>35</v>
      </c>
      <c r="G111" s="3">
        <v>360</v>
      </c>
      <c r="H111" s="3">
        <v>110</v>
      </c>
      <c r="I111" s="43">
        <v>135</v>
      </c>
      <c r="J111" s="4">
        <f t="shared" si="2"/>
        <v>640</v>
      </c>
      <c r="K111" s="9">
        <f>J111/SUM($J$111:$J$126)</f>
        <v>0.5161290322580645</v>
      </c>
    </row>
    <row r="112" spans="1:11">
      <c r="A112" s="103"/>
      <c r="B112" s="3" t="s">
        <v>137</v>
      </c>
      <c r="C112" s="6" t="s">
        <v>134</v>
      </c>
      <c r="E112" s="8" t="s">
        <v>435</v>
      </c>
      <c r="G112" s="3"/>
      <c r="J112" s="4"/>
    </row>
    <row r="113" spans="1:11">
      <c r="A113" s="103"/>
      <c r="B113" s="3" t="s">
        <v>138</v>
      </c>
      <c r="C113" s="6" t="s">
        <v>151</v>
      </c>
      <c r="D113" s="7"/>
      <c r="E113" s="8" t="s">
        <v>436</v>
      </c>
      <c r="G113" s="3"/>
      <c r="J113" s="4"/>
    </row>
    <row r="114" spans="1:11">
      <c r="A114" s="103"/>
      <c r="B114" s="3" t="s">
        <v>139</v>
      </c>
      <c r="C114" s="6" t="s">
        <v>133</v>
      </c>
      <c r="D114" s="7"/>
      <c r="E114" s="8" t="s">
        <v>437</v>
      </c>
      <c r="G114" s="3"/>
      <c r="J114" s="4"/>
    </row>
    <row r="115" spans="1:11">
      <c r="A115" s="103"/>
      <c r="B115" s="3" t="s">
        <v>140</v>
      </c>
      <c r="C115" s="6" t="s">
        <v>148</v>
      </c>
      <c r="D115" s="7"/>
      <c r="E115" s="8" t="s">
        <v>438</v>
      </c>
      <c r="G115" s="3"/>
      <c r="J115" s="4"/>
    </row>
    <row r="116" spans="1:11">
      <c r="A116" s="103"/>
      <c r="B116" s="3" t="s">
        <v>141</v>
      </c>
      <c r="C116" s="6" t="s">
        <v>135</v>
      </c>
      <c r="D116" s="7" t="s">
        <v>719</v>
      </c>
      <c r="E116" s="8" t="s">
        <v>439</v>
      </c>
      <c r="G116" s="3">
        <v>325</v>
      </c>
      <c r="J116" s="4">
        <f t="shared" si="2"/>
        <v>325</v>
      </c>
      <c r="K116" s="9">
        <f t="shared" ref="K116:K125" si="4">J116/SUM($J$111:$J$126)</f>
        <v>0.26209677419354838</v>
      </c>
    </row>
    <row r="117" spans="1:11">
      <c r="A117" s="103"/>
      <c r="B117" s="3" t="s">
        <v>142</v>
      </c>
      <c r="C117" s="6" t="s">
        <v>136</v>
      </c>
      <c r="D117" s="7"/>
      <c r="E117" s="8" t="s">
        <v>440</v>
      </c>
      <c r="G117" s="3"/>
      <c r="J117" s="4"/>
    </row>
    <row r="118" spans="1:11">
      <c r="A118" s="103"/>
      <c r="B118" s="3" t="s">
        <v>143</v>
      </c>
      <c r="C118" s="6" t="s">
        <v>140</v>
      </c>
      <c r="D118" s="7"/>
      <c r="E118" s="8" t="s">
        <v>441</v>
      </c>
      <c r="G118" s="3"/>
      <c r="J118" s="4"/>
    </row>
    <row r="119" spans="1:11">
      <c r="A119" s="103"/>
      <c r="B119" s="3" t="s">
        <v>144</v>
      </c>
      <c r="C119" s="6" t="s">
        <v>139</v>
      </c>
      <c r="D119" s="7"/>
      <c r="E119" s="8" t="s">
        <v>442</v>
      </c>
      <c r="G119" s="3"/>
      <c r="J119" s="4"/>
    </row>
    <row r="120" spans="1:11">
      <c r="A120" s="103"/>
      <c r="B120" s="3" t="s">
        <v>145</v>
      </c>
      <c r="C120" s="6" t="s">
        <v>142</v>
      </c>
      <c r="D120" s="7"/>
      <c r="E120" s="8" t="s">
        <v>443</v>
      </c>
      <c r="G120" s="3"/>
      <c r="J120" s="4"/>
    </row>
    <row r="121" spans="1:11">
      <c r="A121" s="103"/>
      <c r="B121" s="3" t="s">
        <v>146</v>
      </c>
      <c r="C121" s="6" t="s">
        <v>144</v>
      </c>
      <c r="D121" s="7"/>
      <c r="E121" s="8" t="s">
        <v>444</v>
      </c>
      <c r="G121" s="3"/>
      <c r="J121" s="4"/>
    </row>
    <row r="122" spans="1:11">
      <c r="A122" s="103"/>
      <c r="B122" s="3" t="s">
        <v>147</v>
      </c>
      <c r="C122" s="6" t="s">
        <v>146</v>
      </c>
      <c r="D122" s="7"/>
      <c r="E122" s="8" t="s">
        <v>445</v>
      </c>
      <c r="G122" s="3"/>
      <c r="J122" s="4"/>
    </row>
    <row r="123" spans="1:11">
      <c r="A123" s="103"/>
      <c r="B123" s="3" t="s">
        <v>148</v>
      </c>
      <c r="C123" s="6" t="s">
        <v>147</v>
      </c>
      <c r="D123" s="7"/>
      <c r="E123" s="8" t="s">
        <v>446</v>
      </c>
      <c r="G123" s="3"/>
      <c r="J123" s="4"/>
    </row>
    <row r="124" spans="1:11">
      <c r="A124" s="103"/>
      <c r="B124" s="3" t="s">
        <v>149</v>
      </c>
      <c r="C124" s="6" t="s">
        <v>150</v>
      </c>
      <c r="D124" s="7"/>
      <c r="E124" s="8" t="s">
        <v>447</v>
      </c>
      <c r="G124" s="3"/>
      <c r="J124" s="4"/>
    </row>
    <row r="125" spans="1:11">
      <c r="A125" s="103"/>
      <c r="B125" s="3" t="s">
        <v>150</v>
      </c>
      <c r="C125" s="6" t="s">
        <v>152</v>
      </c>
      <c r="D125" s="7" t="s">
        <v>669</v>
      </c>
      <c r="E125" s="8" t="s">
        <v>448</v>
      </c>
      <c r="F125" s="3">
        <v>35</v>
      </c>
      <c r="G125" s="3"/>
      <c r="J125" s="4">
        <f t="shared" si="2"/>
        <v>35</v>
      </c>
      <c r="K125" s="9">
        <f t="shared" si="4"/>
        <v>2.8225806451612902E-2</v>
      </c>
    </row>
    <row r="126" spans="1:11">
      <c r="A126" s="103"/>
      <c r="B126" s="3" t="s">
        <v>151</v>
      </c>
      <c r="C126" s="6" t="s">
        <v>149</v>
      </c>
      <c r="D126" s="7" t="s">
        <v>726</v>
      </c>
      <c r="E126" s="8" t="s">
        <v>449</v>
      </c>
      <c r="G126" s="3">
        <v>240</v>
      </c>
      <c r="J126" s="4">
        <f t="shared" si="2"/>
        <v>240</v>
      </c>
      <c r="K126" s="9">
        <f>J126/SUM($J$111:$J$126)</f>
        <v>0.19354838709677419</v>
      </c>
    </row>
    <row r="127" spans="1:11">
      <c r="A127" s="103"/>
      <c r="B127" s="3" t="s">
        <v>152</v>
      </c>
      <c r="C127" s="6" t="s">
        <v>131</v>
      </c>
      <c r="D127" s="7"/>
      <c r="E127" s="8" t="s">
        <v>450</v>
      </c>
      <c r="G127" s="3"/>
      <c r="J127" s="4"/>
    </row>
    <row r="128" spans="1:11">
      <c r="A128" s="103"/>
      <c r="C128" s="6" t="s">
        <v>451</v>
      </c>
      <c r="D128" s="7"/>
      <c r="E128" s="8" t="s">
        <v>452</v>
      </c>
      <c r="G128" s="3"/>
      <c r="J128" s="4"/>
    </row>
    <row r="129" spans="1:10">
      <c r="A129" s="103"/>
      <c r="C129" s="6" t="s">
        <v>453</v>
      </c>
      <c r="D129" s="7"/>
      <c r="E129" s="8" t="s">
        <v>454</v>
      </c>
      <c r="G129" s="3"/>
      <c r="J129" s="4"/>
    </row>
    <row r="130" spans="1:10">
      <c r="A130" s="103"/>
      <c r="C130" s="6" t="s">
        <v>455</v>
      </c>
      <c r="D130" s="7"/>
      <c r="E130" s="8" t="s">
        <v>456</v>
      </c>
      <c r="G130" s="3"/>
      <c r="J130" s="4"/>
    </row>
    <row r="131" spans="1:10">
      <c r="A131" s="103"/>
      <c r="C131" s="6" t="s">
        <v>457</v>
      </c>
      <c r="D131" s="7"/>
      <c r="E131" s="8" t="s">
        <v>458</v>
      </c>
      <c r="G131" s="3"/>
      <c r="J131" s="4"/>
    </row>
    <row r="132" spans="1:10">
      <c r="A132" s="103"/>
      <c r="C132" s="6" t="s">
        <v>459</v>
      </c>
      <c r="D132" s="7"/>
      <c r="E132" s="8" t="s">
        <v>460</v>
      </c>
      <c r="G132" s="3"/>
      <c r="J132" s="4"/>
    </row>
    <row r="133" spans="1:10">
      <c r="A133" s="103" t="s">
        <v>12</v>
      </c>
      <c r="B133" s="3" t="s">
        <v>153</v>
      </c>
      <c r="C133" s="13" t="s">
        <v>461</v>
      </c>
      <c r="D133" s="8"/>
      <c r="E133" s="13" t="s">
        <v>462</v>
      </c>
      <c r="G133" s="3"/>
      <c r="J133" s="4"/>
    </row>
    <row r="134" spans="1:10">
      <c r="A134" s="103"/>
      <c r="B134" s="3" t="s">
        <v>154</v>
      </c>
      <c r="C134" s="6" t="s">
        <v>154</v>
      </c>
      <c r="D134" s="7"/>
      <c r="E134" s="8" t="s">
        <v>463</v>
      </c>
      <c r="G134" s="3"/>
      <c r="J134" s="4"/>
    </row>
    <row r="135" spans="1:10">
      <c r="A135" s="103"/>
      <c r="C135" s="6" t="s">
        <v>464</v>
      </c>
      <c r="D135" s="7"/>
      <c r="E135" s="8" t="s">
        <v>465</v>
      </c>
      <c r="G135" s="3"/>
      <c r="J135" s="4"/>
    </row>
    <row r="136" spans="1:10">
      <c r="A136" s="103"/>
      <c r="C136" s="6" t="s">
        <v>466</v>
      </c>
      <c r="D136" s="7"/>
      <c r="E136" s="8" t="s">
        <v>467</v>
      </c>
      <c r="G136" s="3"/>
      <c r="J136" s="4"/>
    </row>
    <row r="137" spans="1:10">
      <c r="A137" s="103" t="s">
        <v>13</v>
      </c>
      <c r="B137" s="3" t="s">
        <v>155</v>
      </c>
      <c r="C137" s="6" t="s">
        <v>163</v>
      </c>
      <c r="D137" s="7"/>
      <c r="E137" s="8" t="s">
        <v>468</v>
      </c>
      <c r="G137" s="3"/>
      <c r="J137" s="4"/>
    </row>
    <row r="138" spans="1:10">
      <c r="A138" s="103"/>
      <c r="B138" s="3" t="s">
        <v>156</v>
      </c>
      <c r="C138" s="6" t="s">
        <v>156</v>
      </c>
      <c r="D138" s="7"/>
      <c r="E138" s="8" t="s">
        <v>469</v>
      </c>
      <c r="G138" s="3"/>
      <c r="J138" s="4"/>
    </row>
    <row r="139" spans="1:10">
      <c r="A139" s="103"/>
      <c r="B139" s="3" t="s">
        <v>157</v>
      </c>
      <c r="C139" s="6" t="s">
        <v>167</v>
      </c>
      <c r="D139" s="7"/>
      <c r="E139" s="8" t="s">
        <v>470</v>
      </c>
      <c r="G139" s="3"/>
      <c r="J139" s="4"/>
    </row>
    <row r="140" spans="1:10">
      <c r="A140" s="103"/>
      <c r="B140" s="3" t="s">
        <v>158</v>
      </c>
      <c r="C140" s="6" t="s">
        <v>166</v>
      </c>
      <c r="D140" s="7"/>
      <c r="E140" s="8" t="s">
        <v>471</v>
      </c>
      <c r="G140" s="3"/>
      <c r="J140" s="4"/>
    </row>
    <row r="141" spans="1:10">
      <c r="A141" s="103"/>
      <c r="B141" s="3" t="s">
        <v>159</v>
      </c>
      <c r="C141" s="6" t="s">
        <v>175</v>
      </c>
      <c r="D141" s="7"/>
      <c r="E141" s="8" t="s">
        <v>472</v>
      </c>
      <c r="G141" s="3"/>
      <c r="J141" s="4"/>
    </row>
    <row r="142" spans="1:10">
      <c r="A142" s="103"/>
      <c r="B142" s="3" t="s">
        <v>160</v>
      </c>
      <c r="C142" s="6" t="s">
        <v>164</v>
      </c>
      <c r="D142" s="7"/>
      <c r="E142" s="8" t="s">
        <v>473</v>
      </c>
      <c r="G142" s="3"/>
      <c r="J142" s="4"/>
    </row>
    <row r="143" spans="1:10">
      <c r="A143" s="103"/>
      <c r="B143" s="3" t="s">
        <v>161</v>
      </c>
      <c r="C143" s="6" t="s">
        <v>171</v>
      </c>
      <c r="D143" s="7"/>
      <c r="E143" s="8" t="s">
        <v>474</v>
      </c>
      <c r="G143" s="3"/>
      <c r="J143" s="4"/>
    </row>
    <row r="144" spans="1:10">
      <c r="A144" s="103"/>
      <c r="B144" s="3" t="s">
        <v>162</v>
      </c>
      <c r="C144" s="6" t="s">
        <v>174</v>
      </c>
      <c r="E144" s="8" t="s">
        <v>475</v>
      </c>
      <c r="G144" s="3"/>
      <c r="J144" s="4"/>
    </row>
    <row r="145" spans="1:11">
      <c r="A145" s="103"/>
      <c r="B145" s="3" t="s">
        <v>163</v>
      </c>
      <c r="C145" s="6" t="s">
        <v>173</v>
      </c>
      <c r="D145" s="7"/>
      <c r="E145" s="8" t="s">
        <v>476</v>
      </c>
      <c r="G145" s="3"/>
      <c r="J145" s="4"/>
    </row>
    <row r="146" spans="1:11">
      <c r="A146" s="103"/>
      <c r="B146" s="3" t="s">
        <v>164</v>
      </c>
      <c r="C146" s="6" t="s">
        <v>172</v>
      </c>
      <c r="D146" s="7"/>
      <c r="E146" s="8" t="s">
        <v>477</v>
      </c>
      <c r="G146" s="3"/>
      <c r="J146" s="4"/>
    </row>
    <row r="147" spans="1:11">
      <c r="A147" s="103"/>
      <c r="B147" s="3" t="s">
        <v>165</v>
      </c>
      <c r="C147" s="6" t="s">
        <v>161</v>
      </c>
      <c r="D147" s="3" t="s">
        <v>702</v>
      </c>
      <c r="E147" s="8" t="s">
        <v>478</v>
      </c>
      <c r="F147" s="3">
        <v>100</v>
      </c>
      <c r="G147" s="3">
        <v>440</v>
      </c>
      <c r="H147" s="3">
        <v>70</v>
      </c>
      <c r="J147" s="4">
        <f t="shared" ref="J147:J183" si="5">SUM(F147:I147)</f>
        <v>610</v>
      </c>
      <c r="K147" s="9">
        <f>J147/SUM($J$147:$J$151)</f>
        <v>0.57009345794392519</v>
      </c>
    </row>
    <row r="148" spans="1:11" ht="30">
      <c r="A148" s="103"/>
      <c r="B148" s="3" t="s">
        <v>166</v>
      </c>
      <c r="C148" s="6" t="s">
        <v>162</v>
      </c>
      <c r="D148" s="7" t="s">
        <v>722</v>
      </c>
      <c r="E148" s="8" t="s">
        <v>479</v>
      </c>
      <c r="G148" s="3">
        <v>220</v>
      </c>
      <c r="H148" s="3">
        <v>90</v>
      </c>
      <c r="I148" s="43">
        <v>100</v>
      </c>
      <c r="J148" s="4">
        <f t="shared" si="5"/>
        <v>410</v>
      </c>
      <c r="K148" s="9">
        <f t="shared" ref="K148:K151" si="6">J148/SUM($J$147:$J$151)</f>
        <v>0.38317757009345793</v>
      </c>
    </row>
    <row r="149" spans="1:11" ht="30">
      <c r="A149" s="103"/>
      <c r="B149" s="3" t="s">
        <v>167</v>
      </c>
      <c r="C149" s="6" t="s">
        <v>158</v>
      </c>
      <c r="D149" s="7"/>
      <c r="E149" s="8" t="s">
        <v>480</v>
      </c>
      <c r="G149" s="3"/>
      <c r="J149" s="4"/>
    </row>
    <row r="150" spans="1:11">
      <c r="A150" s="103"/>
      <c r="B150" s="3" t="s">
        <v>168</v>
      </c>
      <c r="C150" s="6" t="s">
        <v>159</v>
      </c>
      <c r="D150" s="7"/>
      <c r="E150" s="8" t="s">
        <v>481</v>
      </c>
      <c r="G150" s="3"/>
      <c r="J150" s="4"/>
    </row>
    <row r="151" spans="1:11">
      <c r="A151" s="103"/>
      <c r="B151" s="3" t="s">
        <v>169</v>
      </c>
      <c r="C151" s="6" t="s">
        <v>155</v>
      </c>
      <c r="D151" s="3" t="s">
        <v>701</v>
      </c>
      <c r="E151" s="8" t="s">
        <v>482</v>
      </c>
      <c r="F151" s="3">
        <v>50</v>
      </c>
      <c r="G151" s="3"/>
      <c r="J151" s="4">
        <f t="shared" si="5"/>
        <v>50</v>
      </c>
      <c r="K151" s="9">
        <f t="shared" si="6"/>
        <v>4.6728971962616821E-2</v>
      </c>
    </row>
    <row r="152" spans="1:11">
      <c r="A152" s="103"/>
      <c r="B152" s="3" t="s">
        <v>170</v>
      </c>
      <c r="C152" s="6" t="s">
        <v>169</v>
      </c>
      <c r="D152" s="7"/>
      <c r="E152" s="8" t="s">
        <v>483</v>
      </c>
      <c r="G152" s="3"/>
      <c r="J152" s="4"/>
    </row>
    <row r="153" spans="1:11">
      <c r="A153" s="103"/>
      <c r="B153" s="3" t="s">
        <v>171</v>
      </c>
      <c r="C153" s="6" t="s">
        <v>170</v>
      </c>
      <c r="D153" s="7"/>
      <c r="E153" s="8" t="s">
        <v>484</v>
      </c>
      <c r="G153" s="3"/>
      <c r="J153" s="4"/>
    </row>
    <row r="154" spans="1:11">
      <c r="A154" s="103"/>
      <c r="B154" s="3" t="s">
        <v>172</v>
      </c>
      <c r="C154" s="6" t="s">
        <v>160</v>
      </c>
      <c r="D154" s="7"/>
      <c r="E154" s="8" t="s">
        <v>485</v>
      </c>
      <c r="G154" s="3"/>
      <c r="J154" s="4"/>
    </row>
    <row r="155" spans="1:11">
      <c r="A155" s="103"/>
      <c r="B155" s="3" t="s">
        <v>173</v>
      </c>
      <c r="C155" s="6" t="s">
        <v>157</v>
      </c>
      <c r="D155" s="7"/>
      <c r="E155" s="8" t="s">
        <v>486</v>
      </c>
      <c r="G155" s="3"/>
      <c r="J155" s="4"/>
    </row>
    <row r="156" spans="1:11">
      <c r="A156" s="103"/>
      <c r="B156" s="3" t="s">
        <v>174</v>
      </c>
      <c r="C156" s="6" t="s">
        <v>165</v>
      </c>
      <c r="D156" s="7"/>
      <c r="E156" s="8" t="s">
        <v>487</v>
      </c>
      <c r="G156" s="3"/>
      <c r="J156" s="4"/>
    </row>
    <row r="157" spans="1:11">
      <c r="A157" s="103"/>
      <c r="B157" s="3" t="s">
        <v>175</v>
      </c>
      <c r="C157" s="6" t="s">
        <v>168</v>
      </c>
      <c r="D157" s="7"/>
      <c r="E157" s="8" t="s">
        <v>488</v>
      </c>
      <c r="G157" s="3"/>
      <c r="J157" s="4"/>
    </row>
    <row r="158" spans="1:11">
      <c r="A158" s="29" t="s">
        <v>625</v>
      </c>
      <c r="C158" s="6" t="s">
        <v>489</v>
      </c>
      <c r="D158" s="7"/>
      <c r="E158" s="8" t="s">
        <v>490</v>
      </c>
      <c r="G158" s="3"/>
      <c r="J158" s="4"/>
    </row>
    <row r="159" spans="1:11">
      <c r="A159" s="29" t="s">
        <v>14</v>
      </c>
      <c r="B159" s="3" t="s">
        <v>176</v>
      </c>
      <c r="C159" s="6" t="s">
        <v>176</v>
      </c>
      <c r="D159" s="7"/>
      <c r="E159" s="8" t="s">
        <v>491</v>
      </c>
      <c r="G159" s="3"/>
      <c r="J159" s="4"/>
    </row>
    <row r="160" spans="1:11">
      <c r="A160" s="103" t="s">
        <v>624</v>
      </c>
      <c r="B160" s="4" t="s">
        <v>492</v>
      </c>
      <c r="C160" s="6" t="s">
        <v>492</v>
      </c>
      <c r="D160" s="7"/>
      <c r="E160" s="8" t="s">
        <v>493</v>
      </c>
      <c r="G160" s="3"/>
      <c r="J160" s="4"/>
    </row>
    <row r="161" spans="1:11">
      <c r="A161" s="103"/>
      <c r="B161" s="4" t="s">
        <v>494</v>
      </c>
      <c r="C161" s="6" t="s">
        <v>494</v>
      </c>
      <c r="D161" s="7"/>
      <c r="E161" s="8" t="s">
        <v>495</v>
      </c>
      <c r="G161" s="3"/>
      <c r="J161" s="4"/>
    </row>
    <row r="162" spans="1:11">
      <c r="A162" s="29" t="s">
        <v>15</v>
      </c>
      <c r="B162" s="3" t="s">
        <v>177</v>
      </c>
      <c r="C162" s="6" t="s">
        <v>177</v>
      </c>
      <c r="D162" s="7"/>
      <c r="E162" s="8" t="s">
        <v>15</v>
      </c>
      <c r="G162" s="3"/>
      <c r="J162" s="4"/>
    </row>
    <row r="163" spans="1:11">
      <c r="A163" s="103" t="s">
        <v>16</v>
      </c>
      <c r="B163" s="3" t="s">
        <v>178</v>
      </c>
      <c r="C163" s="6" t="s">
        <v>182</v>
      </c>
      <c r="D163" s="7"/>
      <c r="E163" s="8" t="s">
        <v>496</v>
      </c>
      <c r="G163" s="3"/>
      <c r="J163" s="4"/>
    </row>
    <row r="164" spans="1:11">
      <c r="A164" s="103"/>
      <c r="B164" s="3" t="s">
        <v>179</v>
      </c>
      <c r="C164" s="6" t="s">
        <v>181</v>
      </c>
      <c r="D164" s="7" t="s">
        <v>710</v>
      </c>
      <c r="E164" s="8" t="s">
        <v>497</v>
      </c>
      <c r="F164" s="3">
        <v>90</v>
      </c>
      <c r="G164" s="3"/>
      <c r="H164" s="3">
        <v>50</v>
      </c>
      <c r="J164" s="4">
        <f t="shared" si="5"/>
        <v>140</v>
      </c>
      <c r="K164" s="9">
        <v>1</v>
      </c>
    </row>
    <row r="165" spans="1:11">
      <c r="A165" s="103"/>
      <c r="B165" s="3" t="s">
        <v>180</v>
      </c>
      <c r="C165" s="6" t="s">
        <v>180</v>
      </c>
      <c r="D165" s="7"/>
      <c r="E165" s="8" t="s">
        <v>498</v>
      </c>
      <c r="G165" s="3"/>
      <c r="J165" s="4"/>
    </row>
    <row r="166" spans="1:11">
      <c r="A166" s="103"/>
      <c r="B166" s="3" t="s">
        <v>181</v>
      </c>
      <c r="C166" s="6" t="s">
        <v>179</v>
      </c>
      <c r="D166" s="7"/>
      <c r="E166" s="8" t="s">
        <v>499</v>
      </c>
      <c r="G166" s="3"/>
      <c r="J166" s="4"/>
    </row>
    <row r="167" spans="1:11">
      <c r="A167" s="103"/>
      <c r="B167" s="3" t="s">
        <v>182</v>
      </c>
      <c r="C167" s="6" t="s">
        <v>184</v>
      </c>
      <c r="D167" s="7"/>
      <c r="E167" s="8" t="s">
        <v>500</v>
      </c>
      <c r="G167" s="3"/>
      <c r="J167" s="4"/>
    </row>
    <row r="168" spans="1:11">
      <c r="A168" s="103"/>
      <c r="B168" s="3" t="s">
        <v>183</v>
      </c>
      <c r="C168" s="6" t="s">
        <v>183</v>
      </c>
      <c r="E168" s="8" t="s">
        <v>501</v>
      </c>
      <c r="G168" s="3"/>
      <c r="J168" s="4"/>
    </row>
    <row r="169" spans="1:11">
      <c r="A169" s="103"/>
      <c r="B169" s="3" t="s">
        <v>184</v>
      </c>
      <c r="C169" s="6" t="s">
        <v>178</v>
      </c>
      <c r="D169" s="7"/>
      <c r="E169" s="8" t="s">
        <v>502</v>
      </c>
      <c r="G169" s="3"/>
      <c r="J169" s="4"/>
    </row>
    <row r="170" spans="1:11">
      <c r="A170" s="103"/>
      <c r="B170" s="3" t="s">
        <v>185</v>
      </c>
      <c r="C170" s="6" t="s">
        <v>185</v>
      </c>
      <c r="D170" s="7"/>
      <c r="E170" s="8" t="s">
        <v>503</v>
      </c>
      <c r="G170" s="3"/>
      <c r="J170" s="4"/>
    </row>
    <row r="171" spans="1:11">
      <c r="A171" s="29" t="s">
        <v>505</v>
      </c>
      <c r="C171" s="6" t="s">
        <v>504</v>
      </c>
      <c r="D171" s="7"/>
      <c r="E171" s="8" t="s">
        <v>505</v>
      </c>
      <c r="G171" s="3"/>
      <c r="J171" s="4"/>
    </row>
    <row r="172" spans="1:11">
      <c r="A172" s="103" t="s">
        <v>17</v>
      </c>
      <c r="B172" s="3" t="s">
        <v>186</v>
      </c>
      <c r="C172" s="6" t="s">
        <v>193</v>
      </c>
      <c r="D172" s="7"/>
      <c r="E172" s="8" t="s">
        <v>506</v>
      </c>
      <c r="G172" s="3"/>
      <c r="J172" s="4"/>
    </row>
    <row r="173" spans="1:11">
      <c r="A173" s="103"/>
      <c r="B173" s="3" t="s">
        <v>187</v>
      </c>
      <c r="C173" s="6" t="s">
        <v>195</v>
      </c>
      <c r="D173" s="7"/>
      <c r="E173" s="8" t="s">
        <v>507</v>
      </c>
      <c r="G173" s="3"/>
      <c r="J173" s="4"/>
    </row>
    <row r="174" spans="1:11">
      <c r="A174" s="103"/>
      <c r="B174" s="3" t="s">
        <v>188</v>
      </c>
      <c r="C174" s="6" t="s">
        <v>197</v>
      </c>
      <c r="D174" s="7"/>
      <c r="E174" s="8" t="s">
        <v>508</v>
      </c>
      <c r="G174" s="3"/>
      <c r="J174" s="4"/>
    </row>
    <row r="175" spans="1:11">
      <c r="A175" s="103"/>
      <c r="B175" s="3" t="s">
        <v>189</v>
      </c>
      <c r="C175" s="6" t="s">
        <v>188</v>
      </c>
      <c r="D175" s="7"/>
      <c r="E175" s="8" t="s">
        <v>509</v>
      </c>
      <c r="G175" s="3"/>
      <c r="J175" s="4"/>
    </row>
    <row r="176" spans="1:11">
      <c r="A176" s="103"/>
      <c r="B176" s="3" t="s">
        <v>190</v>
      </c>
      <c r="C176" s="6" t="s">
        <v>194</v>
      </c>
      <c r="D176" s="7"/>
      <c r="E176" s="8" t="s">
        <v>510</v>
      </c>
      <c r="G176" s="3"/>
      <c r="J176" s="4"/>
    </row>
    <row r="177" spans="1:11">
      <c r="A177" s="103"/>
      <c r="B177" s="3" t="s">
        <v>191</v>
      </c>
      <c r="C177" s="6" t="s">
        <v>196</v>
      </c>
      <c r="D177" s="7"/>
      <c r="E177" s="8" t="s">
        <v>511</v>
      </c>
      <c r="G177" s="3"/>
      <c r="J177" s="4"/>
    </row>
    <row r="178" spans="1:11">
      <c r="A178" s="103"/>
      <c r="B178" s="3" t="s">
        <v>192</v>
      </c>
      <c r="C178" s="6" t="s">
        <v>190</v>
      </c>
      <c r="D178" s="7"/>
      <c r="E178" s="8" t="s">
        <v>512</v>
      </c>
      <c r="G178" s="3"/>
      <c r="J178" s="4"/>
    </row>
    <row r="179" spans="1:11">
      <c r="A179" s="103"/>
      <c r="B179" s="3" t="s">
        <v>193</v>
      </c>
      <c r="C179" s="6" t="s">
        <v>189</v>
      </c>
      <c r="D179" s="7"/>
      <c r="E179" s="8" t="s">
        <v>513</v>
      </c>
      <c r="G179" s="3"/>
      <c r="J179" s="4"/>
    </row>
    <row r="180" spans="1:11">
      <c r="A180" s="103"/>
      <c r="B180" s="3" t="s">
        <v>194</v>
      </c>
      <c r="C180" s="6" t="s">
        <v>186</v>
      </c>
      <c r="D180" s="7" t="s">
        <v>707</v>
      </c>
      <c r="E180" s="8" t="s">
        <v>514</v>
      </c>
      <c r="F180" s="3">
        <v>260</v>
      </c>
      <c r="G180" s="3">
        <v>830</v>
      </c>
      <c r="H180" s="3">
        <v>130</v>
      </c>
      <c r="I180" s="43">
        <v>700</v>
      </c>
      <c r="J180" s="4">
        <f t="shared" si="5"/>
        <v>1920</v>
      </c>
      <c r="K180" s="9">
        <f>J180/SUM($J$180:$J$183)</f>
        <v>0.5133689839572193</v>
      </c>
    </row>
    <row r="181" spans="1:11">
      <c r="A181" s="103"/>
      <c r="B181" s="3" t="s">
        <v>195</v>
      </c>
      <c r="C181" s="6" t="s">
        <v>187</v>
      </c>
      <c r="D181" s="3" t="s">
        <v>681</v>
      </c>
      <c r="E181" s="8" t="s">
        <v>515</v>
      </c>
      <c r="G181" s="3">
        <v>915</v>
      </c>
      <c r="J181" s="4">
        <f t="shared" si="5"/>
        <v>915</v>
      </c>
      <c r="K181" s="9">
        <f t="shared" ref="K181:K183" si="7">J181/SUM($J$180:$J$183)</f>
        <v>0.24465240641711231</v>
      </c>
    </row>
    <row r="182" spans="1:11">
      <c r="A182" s="103"/>
      <c r="B182" s="3" t="s">
        <v>196</v>
      </c>
      <c r="C182" s="6" t="s">
        <v>191</v>
      </c>
      <c r="D182" s="3" t="s">
        <v>680</v>
      </c>
      <c r="E182" s="8" t="s">
        <v>516</v>
      </c>
      <c r="G182" s="3">
        <v>550</v>
      </c>
      <c r="J182" s="4">
        <f t="shared" si="5"/>
        <v>550</v>
      </c>
      <c r="K182" s="9">
        <f t="shared" si="7"/>
        <v>0.14705882352941177</v>
      </c>
    </row>
    <row r="183" spans="1:11">
      <c r="A183" s="103"/>
      <c r="B183" s="3" t="s">
        <v>197</v>
      </c>
      <c r="C183" s="6" t="s">
        <v>192</v>
      </c>
      <c r="D183" s="3" t="s">
        <v>679</v>
      </c>
      <c r="E183" s="8" t="s">
        <v>517</v>
      </c>
      <c r="G183" s="3">
        <v>355</v>
      </c>
      <c r="J183" s="4">
        <f t="shared" si="5"/>
        <v>355</v>
      </c>
      <c r="K183" s="9">
        <f t="shared" si="7"/>
        <v>9.4919786096256689E-2</v>
      </c>
    </row>
    <row r="184" spans="1:11">
      <c r="A184" s="103" t="s">
        <v>18</v>
      </c>
      <c r="B184" s="3" t="s">
        <v>198</v>
      </c>
      <c r="C184" s="6" t="s">
        <v>206</v>
      </c>
      <c r="D184" s="7"/>
      <c r="E184" s="8" t="s">
        <v>518</v>
      </c>
      <c r="G184" s="3"/>
      <c r="J184" s="4"/>
    </row>
    <row r="185" spans="1:11">
      <c r="A185" s="103"/>
      <c r="B185" s="3" t="s">
        <v>199</v>
      </c>
      <c r="C185" s="6" t="s">
        <v>204</v>
      </c>
      <c r="D185" s="7"/>
      <c r="E185" s="8" t="s">
        <v>519</v>
      </c>
      <c r="G185" s="3"/>
      <c r="J185" s="4"/>
    </row>
    <row r="186" spans="1:11">
      <c r="A186" s="103"/>
      <c r="B186" s="3" t="s">
        <v>200</v>
      </c>
      <c r="C186" s="6" t="s">
        <v>203</v>
      </c>
      <c r="D186" s="7"/>
      <c r="E186" s="8" t="s">
        <v>520</v>
      </c>
      <c r="G186" s="3"/>
      <c r="J186" s="4"/>
    </row>
    <row r="187" spans="1:11">
      <c r="A187" s="103"/>
      <c r="B187" s="3" t="s">
        <v>201</v>
      </c>
      <c r="C187" s="6" t="s">
        <v>205</v>
      </c>
      <c r="D187" s="7"/>
      <c r="E187" s="8" t="s">
        <v>521</v>
      </c>
      <c r="G187" s="3"/>
      <c r="J187" s="4"/>
    </row>
    <row r="188" spans="1:11">
      <c r="A188" s="103"/>
      <c r="B188" s="3" t="s">
        <v>202</v>
      </c>
      <c r="C188" s="6" t="s">
        <v>200</v>
      </c>
      <c r="D188" s="7"/>
      <c r="E188" s="8" t="s">
        <v>522</v>
      </c>
      <c r="G188" s="3"/>
      <c r="J188" s="4"/>
    </row>
    <row r="189" spans="1:11">
      <c r="A189" s="103"/>
      <c r="B189" s="3" t="s">
        <v>203</v>
      </c>
      <c r="C189" s="6" t="s">
        <v>202</v>
      </c>
      <c r="D189" s="7"/>
      <c r="E189" s="8" t="s">
        <v>523</v>
      </c>
      <c r="G189" s="3"/>
      <c r="J189" s="4"/>
    </row>
    <row r="190" spans="1:11">
      <c r="A190" s="103"/>
      <c r="B190" s="3" t="s">
        <v>204</v>
      </c>
      <c r="C190" s="6" t="s">
        <v>201</v>
      </c>
      <c r="D190" s="7"/>
      <c r="E190" s="8" t="s">
        <v>524</v>
      </c>
      <c r="G190" s="3"/>
      <c r="J190" s="4"/>
    </row>
    <row r="191" spans="1:11">
      <c r="A191" s="103"/>
      <c r="B191" s="3" t="s">
        <v>205</v>
      </c>
      <c r="C191" s="6" t="s">
        <v>199</v>
      </c>
      <c r="D191" s="7"/>
      <c r="E191" s="8" t="s">
        <v>525</v>
      </c>
      <c r="G191" s="3"/>
      <c r="J191" s="4"/>
    </row>
    <row r="192" spans="1:11">
      <c r="A192" s="103"/>
      <c r="B192" s="3" t="s">
        <v>206</v>
      </c>
      <c r="C192" s="6" t="s">
        <v>198</v>
      </c>
      <c r="D192" s="7"/>
      <c r="E192" s="8" t="s">
        <v>526</v>
      </c>
      <c r="G192" s="3"/>
      <c r="J192" s="4"/>
    </row>
    <row r="193" spans="1:11">
      <c r="A193" s="103" t="s">
        <v>19</v>
      </c>
      <c r="B193" s="3" t="s">
        <v>207</v>
      </c>
      <c r="C193" s="6" t="s">
        <v>219</v>
      </c>
      <c r="D193" s="7"/>
      <c r="E193" s="8" t="s">
        <v>527</v>
      </c>
      <c r="G193" s="3"/>
      <c r="J193" s="4"/>
    </row>
    <row r="194" spans="1:11">
      <c r="A194" s="103"/>
      <c r="B194" s="3" t="s">
        <v>208</v>
      </c>
      <c r="C194" s="6" t="s">
        <v>210</v>
      </c>
      <c r="D194" s="7"/>
      <c r="E194" s="8" t="s">
        <v>528</v>
      </c>
      <c r="G194" s="3"/>
      <c r="J194" s="4"/>
    </row>
    <row r="195" spans="1:11">
      <c r="A195" s="103"/>
      <c r="B195" s="3" t="s">
        <v>209</v>
      </c>
      <c r="C195" s="6" t="s">
        <v>221</v>
      </c>
      <c r="D195" s="7"/>
      <c r="E195" s="8" t="s">
        <v>529</v>
      </c>
      <c r="G195" s="3"/>
      <c r="J195" s="4"/>
    </row>
    <row r="196" spans="1:11">
      <c r="A196" s="103"/>
      <c r="B196" s="3" t="s">
        <v>210</v>
      </c>
      <c r="C196" s="6" t="s">
        <v>207</v>
      </c>
      <c r="D196" s="7"/>
      <c r="E196" s="8" t="s">
        <v>530</v>
      </c>
      <c r="G196" s="3"/>
      <c r="J196" s="4"/>
    </row>
    <row r="197" spans="1:11">
      <c r="A197" s="103"/>
      <c r="B197" s="3" t="s">
        <v>211</v>
      </c>
      <c r="C197" s="6" t="s">
        <v>216</v>
      </c>
      <c r="D197" s="7"/>
      <c r="E197" s="8" t="s">
        <v>531</v>
      </c>
      <c r="G197" s="3"/>
      <c r="J197" s="4"/>
    </row>
    <row r="198" spans="1:11">
      <c r="A198" s="103"/>
      <c r="B198" s="3" t="s">
        <v>212</v>
      </c>
      <c r="C198" s="6" t="s">
        <v>218</v>
      </c>
      <c r="D198" s="7"/>
      <c r="E198" s="8" t="s">
        <v>532</v>
      </c>
      <c r="G198" s="3"/>
      <c r="J198" s="4"/>
    </row>
    <row r="199" spans="1:11">
      <c r="A199" s="103"/>
      <c r="B199" s="3" t="s">
        <v>213</v>
      </c>
      <c r="C199" s="6" t="s">
        <v>213</v>
      </c>
      <c r="D199" s="7"/>
      <c r="E199" s="8" t="s">
        <v>533</v>
      </c>
      <c r="G199" s="3"/>
      <c r="J199" s="4"/>
    </row>
    <row r="200" spans="1:11">
      <c r="A200" s="103"/>
      <c r="B200" s="3" t="s">
        <v>214</v>
      </c>
      <c r="C200" s="6" t="s">
        <v>220</v>
      </c>
      <c r="D200" s="7" t="s">
        <v>723</v>
      </c>
      <c r="E200" s="8" t="s">
        <v>534</v>
      </c>
      <c r="G200" s="3"/>
      <c r="H200" s="3">
        <v>60</v>
      </c>
      <c r="I200" s="43">
        <v>400</v>
      </c>
      <c r="J200" s="4">
        <f t="shared" ref="J200:J251" si="8">SUM(F200:I200)</f>
        <v>460</v>
      </c>
      <c r="K200" s="9">
        <f>J200/SUM($J$200:$J$209)</f>
        <v>0.5714285714285714</v>
      </c>
    </row>
    <row r="201" spans="1:11">
      <c r="A201" s="103"/>
      <c r="B201" s="3" t="s">
        <v>215</v>
      </c>
      <c r="C201" s="6" t="s">
        <v>208</v>
      </c>
      <c r="D201" s="7"/>
      <c r="E201" s="8" t="s">
        <v>535</v>
      </c>
      <c r="G201" s="3"/>
      <c r="J201" s="4"/>
    </row>
    <row r="202" spans="1:11">
      <c r="A202" s="103"/>
      <c r="B202" s="3" t="s">
        <v>216</v>
      </c>
      <c r="C202" s="6" t="s">
        <v>211</v>
      </c>
      <c r="D202" s="7"/>
      <c r="E202" s="8" t="s">
        <v>536</v>
      </c>
      <c r="G202" s="3"/>
      <c r="J202" s="4"/>
    </row>
    <row r="203" spans="1:11">
      <c r="A203" s="103"/>
      <c r="B203" s="3" t="s">
        <v>217</v>
      </c>
      <c r="C203" s="6" t="s">
        <v>223</v>
      </c>
      <c r="D203" s="7"/>
      <c r="E203" s="8" t="s">
        <v>537</v>
      </c>
      <c r="G203" s="3"/>
      <c r="J203" s="4"/>
    </row>
    <row r="204" spans="1:11">
      <c r="A204" s="103"/>
      <c r="B204" s="3" t="s">
        <v>218</v>
      </c>
      <c r="C204" s="6" t="s">
        <v>222</v>
      </c>
      <c r="D204" s="7"/>
      <c r="E204" s="8" t="s">
        <v>538</v>
      </c>
      <c r="G204" s="3"/>
      <c r="J204" s="4"/>
    </row>
    <row r="205" spans="1:11">
      <c r="A205" s="103"/>
      <c r="B205" s="3" t="s">
        <v>219</v>
      </c>
      <c r="C205" s="6" t="s">
        <v>217</v>
      </c>
      <c r="D205" s="7"/>
      <c r="E205" s="8" t="s">
        <v>539</v>
      </c>
      <c r="G205" s="3"/>
      <c r="J205" s="4"/>
    </row>
    <row r="206" spans="1:11">
      <c r="A206" s="103"/>
      <c r="B206" s="3" t="s">
        <v>220</v>
      </c>
      <c r="C206" s="6" t="s">
        <v>209</v>
      </c>
      <c r="D206" s="7"/>
      <c r="E206" s="8" t="s">
        <v>540</v>
      </c>
      <c r="G206" s="3"/>
      <c r="J206" s="4"/>
    </row>
    <row r="207" spans="1:11">
      <c r="A207" s="103"/>
      <c r="B207" s="3" t="s">
        <v>221</v>
      </c>
      <c r="C207" s="6" t="s">
        <v>212</v>
      </c>
      <c r="D207" s="7"/>
      <c r="E207" s="8" t="s">
        <v>541</v>
      </c>
      <c r="G207" s="3"/>
      <c r="J207" s="4"/>
    </row>
    <row r="208" spans="1:11">
      <c r="A208" s="103"/>
      <c r="B208" s="3" t="s">
        <v>222</v>
      </c>
      <c r="C208" s="6" t="s">
        <v>214</v>
      </c>
      <c r="D208" s="7"/>
      <c r="E208" s="8" t="s">
        <v>542</v>
      </c>
      <c r="G208" s="3"/>
      <c r="J208" s="4"/>
    </row>
    <row r="209" spans="1:11">
      <c r="A209" s="103"/>
      <c r="B209" s="3" t="s">
        <v>223</v>
      </c>
      <c r="C209" s="6" t="s">
        <v>215</v>
      </c>
      <c r="D209" s="3" t="s">
        <v>678</v>
      </c>
      <c r="E209" s="8" t="s">
        <v>543</v>
      </c>
      <c r="F209" s="3">
        <v>285</v>
      </c>
      <c r="G209" s="3"/>
      <c r="H209" s="3">
        <v>10</v>
      </c>
      <c r="I209" s="43">
        <v>50</v>
      </c>
      <c r="J209" s="4">
        <f t="shared" si="8"/>
        <v>345</v>
      </c>
      <c r="K209" s="9">
        <f t="shared" ref="K209" si="9">J209/SUM($J$200:$J$209)</f>
        <v>0.42857142857142855</v>
      </c>
    </row>
    <row r="210" spans="1:11">
      <c r="A210" s="103" t="s">
        <v>20</v>
      </c>
      <c r="B210" s="3" t="s">
        <v>224</v>
      </c>
      <c r="C210" s="6" t="s">
        <v>226</v>
      </c>
      <c r="D210" s="7" t="s">
        <v>709</v>
      </c>
      <c r="E210" s="8" t="s">
        <v>544</v>
      </c>
      <c r="F210" s="3">
        <v>170</v>
      </c>
      <c r="G210" s="3"/>
      <c r="H210" s="3">
        <v>50</v>
      </c>
      <c r="I210" s="43">
        <v>140</v>
      </c>
      <c r="J210" s="4">
        <f t="shared" si="8"/>
        <v>360</v>
      </c>
      <c r="K210" s="9">
        <v>1</v>
      </c>
    </row>
    <row r="211" spans="1:11">
      <c r="A211" s="103"/>
      <c r="B211" s="3" t="s">
        <v>225</v>
      </c>
      <c r="C211" s="6" t="s">
        <v>225</v>
      </c>
      <c r="D211" s="7"/>
      <c r="E211" s="8" t="s">
        <v>545</v>
      </c>
      <c r="G211" s="3"/>
      <c r="J211" s="4"/>
    </row>
    <row r="212" spans="1:11">
      <c r="A212" s="103"/>
      <c r="B212" s="3" t="s">
        <v>226</v>
      </c>
      <c r="C212" s="6" t="s">
        <v>228</v>
      </c>
      <c r="D212" s="7"/>
      <c r="E212" s="8" t="s">
        <v>546</v>
      </c>
      <c r="G212" s="3"/>
      <c r="J212" s="4"/>
    </row>
    <row r="213" spans="1:11">
      <c r="A213" s="103"/>
      <c r="B213" s="3" t="s">
        <v>227</v>
      </c>
      <c r="C213" s="6" t="s">
        <v>224</v>
      </c>
      <c r="D213" s="7"/>
      <c r="E213" s="8" t="s">
        <v>547</v>
      </c>
      <c r="G213" s="3"/>
      <c r="J213" s="4"/>
    </row>
    <row r="214" spans="1:11">
      <c r="A214" s="103"/>
      <c r="B214" s="3" t="s">
        <v>228</v>
      </c>
      <c r="C214" s="6" t="s">
        <v>227</v>
      </c>
      <c r="E214" s="8" t="s">
        <v>548</v>
      </c>
      <c r="G214" s="3"/>
      <c r="J214" s="4"/>
    </row>
    <row r="215" spans="1:11">
      <c r="A215" s="103"/>
      <c r="C215" s="6" t="s">
        <v>549</v>
      </c>
      <c r="D215" s="7"/>
      <c r="E215" s="8" t="s">
        <v>550</v>
      </c>
      <c r="G215" s="3"/>
      <c r="J215" s="4"/>
    </row>
    <row r="216" spans="1:11">
      <c r="A216" s="103"/>
      <c r="C216" s="6" t="s">
        <v>551</v>
      </c>
      <c r="D216" s="7"/>
      <c r="E216" s="8" t="s">
        <v>552</v>
      </c>
      <c r="G216" s="3"/>
      <c r="J216" s="4"/>
    </row>
    <row r="217" spans="1:11">
      <c r="A217" s="103" t="s">
        <v>21</v>
      </c>
      <c r="B217" s="3" t="s">
        <v>229</v>
      </c>
      <c r="C217" s="6" t="s">
        <v>231</v>
      </c>
      <c r="D217" s="7"/>
      <c r="E217" s="8" t="s">
        <v>553</v>
      </c>
      <c r="G217" s="3"/>
      <c r="J217" s="4"/>
    </row>
    <row r="218" spans="1:11">
      <c r="A218" s="103"/>
      <c r="B218" s="3" t="s">
        <v>230</v>
      </c>
      <c r="C218" s="6" t="s">
        <v>236</v>
      </c>
      <c r="D218" s="7"/>
      <c r="E218" s="8" t="s">
        <v>554</v>
      </c>
      <c r="G218" s="3"/>
      <c r="J218" s="4"/>
    </row>
    <row r="219" spans="1:11">
      <c r="A219" s="103"/>
      <c r="B219" s="3" t="s">
        <v>231</v>
      </c>
      <c r="C219" s="6" t="s">
        <v>232</v>
      </c>
      <c r="D219" s="7"/>
      <c r="E219" s="8" t="s">
        <v>555</v>
      </c>
      <c r="G219" s="3"/>
      <c r="J219" s="4"/>
    </row>
    <row r="220" spans="1:11">
      <c r="A220" s="103"/>
      <c r="B220" s="3" t="s">
        <v>232</v>
      </c>
      <c r="C220" s="6" t="s">
        <v>230</v>
      </c>
      <c r="D220" s="7" t="s">
        <v>725</v>
      </c>
      <c r="E220" s="8" t="s">
        <v>556</v>
      </c>
      <c r="G220" s="3"/>
      <c r="I220" s="43">
        <v>20</v>
      </c>
      <c r="J220" s="4">
        <f t="shared" si="8"/>
        <v>20</v>
      </c>
      <c r="K220" s="9">
        <v>1</v>
      </c>
    </row>
    <row r="221" spans="1:11">
      <c r="A221" s="103"/>
      <c r="B221" s="3" t="s">
        <v>233</v>
      </c>
      <c r="C221" s="6" t="s">
        <v>234</v>
      </c>
      <c r="D221" s="7"/>
      <c r="E221" s="8" t="s">
        <v>557</v>
      </c>
      <c r="G221" s="3"/>
      <c r="J221" s="4"/>
    </row>
    <row r="222" spans="1:11">
      <c r="A222" s="103"/>
      <c r="B222" s="3" t="s">
        <v>234</v>
      </c>
      <c r="C222" s="6" t="s">
        <v>233</v>
      </c>
      <c r="D222" s="7"/>
      <c r="E222" s="8" t="s">
        <v>558</v>
      </c>
      <c r="G222" s="3"/>
      <c r="J222" s="4"/>
    </row>
    <row r="223" spans="1:11">
      <c r="A223" s="103"/>
      <c r="B223" s="3" t="s">
        <v>235</v>
      </c>
      <c r="C223" s="6" t="s">
        <v>229</v>
      </c>
      <c r="D223" s="7"/>
      <c r="E223" s="8" t="s">
        <v>559</v>
      </c>
      <c r="G223" s="3"/>
      <c r="J223" s="4"/>
    </row>
    <row r="224" spans="1:11">
      <c r="A224" s="103"/>
      <c r="B224" s="3" t="s">
        <v>236</v>
      </c>
      <c r="C224" s="6" t="s">
        <v>235</v>
      </c>
      <c r="D224" s="7"/>
      <c r="E224" s="8" t="s">
        <v>560</v>
      </c>
      <c r="G224" s="3"/>
      <c r="J224" s="4"/>
    </row>
    <row r="225" spans="1:11">
      <c r="A225" s="103" t="s">
        <v>22</v>
      </c>
      <c r="B225" s="3" t="s">
        <v>237</v>
      </c>
      <c r="C225" s="6" t="s">
        <v>237</v>
      </c>
      <c r="D225" s="7"/>
      <c r="E225" s="8" t="s">
        <v>561</v>
      </c>
      <c r="G225" s="3"/>
      <c r="J225" s="4"/>
    </row>
    <row r="226" spans="1:11">
      <c r="A226" s="103"/>
      <c r="B226" s="3" t="s">
        <v>238</v>
      </c>
      <c r="C226" s="6" t="s">
        <v>238</v>
      </c>
      <c r="D226" s="7"/>
      <c r="E226" s="8" t="s">
        <v>562</v>
      </c>
      <c r="G226" s="3"/>
      <c r="J226" s="4"/>
    </row>
    <row r="227" spans="1:11">
      <c r="A227" s="103" t="s">
        <v>23</v>
      </c>
      <c r="B227" s="3" t="s">
        <v>239</v>
      </c>
      <c r="C227" s="6" t="s">
        <v>241</v>
      </c>
      <c r="D227" s="7" t="s">
        <v>676</v>
      </c>
      <c r="E227" s="8" t="s">
        <v>563</v>
      </c>
      <c r="F227" s="3">
        <v>40</v>
      </c>
      <c r="G227" s="3"/>
      <c r="H227" s="3">
        <v>15</v>
      </c>
      <c r="I227" s="43">
        <v>50</v>
      </c>
      <c r="J227" s="4">
        <f t="shared" si="8"/>
        <v>105</v>
      </c>
      <c r="K227" s="9">
        <v>1</v>
      </c>
    </row>
    <row r="228" spans="1:11">
      <c r="A228" s="103"/>
      <c r="B228" s="3" t="s">
        <v>240</v>
      </c>
      <c r="C228" s="6" t="s">
        <v>239</v>
      </c>
      <c r="D228" s="7"/>
      <c r="E228" s="8" t="s">
        <v>564</v>
      </c>
      <c r="G228" s="3"/>
      <c r="J228" s="4"/>
    </row>
    <row r="229" spans="1:11">
      <c r="A229" s="103"/>
      <c r="B229" s="3" t="s">
        <v>241</v>
      </c>
      <c r="C229" s="6" t="s">
        <v>242</v>
      </c>
      <c r="D229" s="7"/>
      <c r="E229" s="8" t="s">
        <v>565</v>
      </c>
      <c r="G229" s="3"/>
      <c r="J229" s="4"/>
    </row>
    <row r="230" spans="1:11">
      <c r="A230" s="103"/>
      <c r="B230" s="3" t="s">
        <v>242</v>
      </c>
      <c r="C230" s="6" t="s">
        <v>240</v>
      </c>
      <c r="D230" s="7"/>
      <c r="E230" s="8" t="s">
        <v>566</v>
      </c>
      <c r="G230" s="3"/>
      <c r="J230" s="4"/>
    </row>
    <row r="231" spans="1:11">
      <c r="A231" s="103" t="s">
        <v>24</v>
      </c>
      <c r="B231" s="3" t="s">
        <v>243</v>
      </c>
      <c r="C231" s="6" t="s">
        <v>243</v>
      </c>
      <c r="D231" s="7"/>
      <c r="E231" s="8" t="s">
        <v>567</v>
      </c>
      <c r="G231" s="3"/>
      <c r="J231" s="4"/>
    </row>
    <row r="232" spans="1:11">
      <c r="A232" s="103"/>
      <c r="B232" s="3" t="s">
        <v>244</v>
      </c>
      <c r="C232" s="6" t="s">
        <v>245</v>
      </c>
      <c r="D232" s="7" t="s">
        <v>665</v>
      </c>
      <c r="E232" s="8" t="s">
        <v>568</v>
      </c>
      <c r="G232" s="3">
        <v>150</v>
      </c>
      <c r="J232" s="4">
        <f t="shared" si="8"/>
        <v>150</v>
      </c>
      <c r="K232" s="9">
        <v>1</v>
      </c>
    </row>
    <row r="233" spans="1:11">
      <c r="A233" s="103"/>
      <c r="B233" s="3" t="s">
        <v>245</v>
      </c>
      <c r="C233" s="6" t="s">
        <v>244</v>
      </c>
      <c r="D233" s="7"/>
      <c r="E233" s="8" t="s">
        <v>569</v>
      </c>
      <c r="G233" s="3"/>
      <c r="J233" s="4"/>
    </row>
    <row r="234" spans="1:11">
      <c r="A234" s="103"/>
      <c r="B234" s="3" t="s">
        <v>246</v>
      </c>
      <c r="C234" s="6" t="s">
        <v>246</v>
      </c>
      <c r="D234" s="7"/>
      <c r="E234" s="8" t="s">
        <v>570</v>
      </c>
      <c r="G234" s="3"/>
      <c r="J234" s="4"/>
    </row>
    <row r="235" spans="1:11">
      <c r="A235" s="103"/>
      <c r="C235" s="6" t="s">
        <v>571</v>
      </c>
      <c r="D235" s="7"/>
      <c r="E235" s="8" t="s">
        <v>572</v>
      </c>
      <c r="G235" s="3"/>
      <c r="J235" s="4"/>
    </row>
    <row r="236" spans="1:11">
      <c r="A236" s="103" t="s">
        <v>25</v>
      </c>
      <c r="B236" s="3" t="s">
        <v>247</v>
      </c>
      <c r="C236" s="6" t="s">
        <v>247</v>
      </c>
      <c r="D236" s="7"/>
      <c r="E236" s="8" t="s">
        <v>573</v>
      </c>
      <c r="G236" s="3"/>
      <c r="J236" s="4"/>
    </row>
    <row r="237" spans="1:11">
      <c r="A237" s="103"/>
      <c r="B237" s="3" t="s">
        <v>248</v>
      </c>
      <c r="C237" s="6" t="s">
        <v>248</v>
      </c>
      <c r="D237" s="7"/>
      <c r="E237" s="8" t="s">
        <v>574</v>
      </c>
      <c r="G237" s="3"/>
      <c r="J237" s="4"/>
    </row>
    <row r="238" spans="1:11">
      <c r="A238" s="103"/>
      <c r="B238" s="3" t="s">
        <v>249</v>
      </c>
      <c r="C238" s="6" t="s">
        <v>252</v>
      </c>
      <c r="D238" s="7"/>
      <c r="E238" s="8" t="s">
        <v>575</v>
      </c>
      <c r="G238" s="3"/>
      <c r="J238" s="4"/>
    </row>
    <row r="239" spans="1:11">
      <c r="A239" s="103"/>
      <c r="B239" s="3" t="s">
        <v>250</v>
      </c>
      <c r="C239" s="6" t="s">
        <v>254</v>
      </c>
      <c r="D239" s="7"/>
      <c r="E239" s="8" t="s">
        <v>576</v>
      </c>
      <c r="G239" s="3"/>
      <c r="J239" s="4"/>
    </row>
    <row r="240" spans="1:11">
      <c r="A240" s="103"/>
      <c r="B240" s="3" t="s">
        <v>251</v>
      </c>
      <c r="C240" s="6" t="s">
        <v>251</v>
      </c>
      <c r="E240" s="8" t="s">
        <v>577</v>
      </c>
      <c r="G240" s="3"/>
      <c r="J240" s="4"/>
    </row>
    <row r="241" spans="1:11">
      <c r="A241" s="103"/>
      <c r="B241" s="3" t="s">
        <v>252</v>
      </c>
      <c r="C241" s="6" t="s">
        <v>253</v>
      </c>
      <c r="D241" s="7"/>
      <c r="E241" s="8" t="s">
        <v>578</v>
      </c>
      <c r="G241" s="3"/>
      <c r="J241" s="4"/>
    </row>
    <row r="242" spans="1:11">
      <c r="A242" s="103"/>
      <c r="B242" s="3" t="s">
        <v>253</v>
      </c>
      <c r="C242" s="6" t="s">
        <v>250</v>
      </c>
      <c r="D242" s="7"/>
      <c r="E242" s="8" t="s">
        <v>579</v>
      </c>
      <c r="G242" s="3"/>
      <c r="J242" s="4"/>
    </row>
    <row r="243" spans="1:11">
      <c r="A243" s="103"/>
      <c r="B243" s="3" t="s">
        <v>254</v>
      </c>
      <c r="C243" s="6" t="s">
        <v>249</v>
      </c>
      <c r="D243" s="7"/>
      <c r="E243" s="8" t="s">
        <v>580</v>
      </c>
      <c r="G243" s="3"/>
      <c r="J243" s="4"/>
    </row>
    <row r="244" spans="1:11">
      <c r="A244" s="103" t="s">
        <v>26</v>
      </c>
      <c r="B244" s="3" t="s">
        <v>255</v>
      </c>
      <c r="C244" s="6" t="s">
        <v>294</v>
      </c>
      <c r="D244" s="28" t="s">
        <v>718</v>
      </c>
      <c r="E244" s="8" t="s">
        <v>581</v>
      </c>
      <c r="G244" s="3">
        <v>510</v>
      </c>
      <c r="J244" s="4">
        <f t="shared" si="8"/>
        <v>510</v>
      </c>
      <c r="K244" s="9">
        <f>J244/SUM($J$244:$J$281)</f>
        <v>0.40963855421686746</v>
      </c>
    </row>
    <row r="245" spans="1:11" ht="30">
      <c r="A245" s="103"/>
      <c r="B245" s="3" t="s">
        <v>256</v>
      </c>
      <c r="C245" s="6" t="s">
        <v>268</v>
      </c>
      <c r="D245" s="7"/>
      <c r="E245" s="8" t="s">
        <v>582</v>
      </c>
      <c r="G245" s="3"/>
      <c r="J245" s="4"/>
    </row>
    <row r="246" spans="1:11">
      <c r="A246" s="103"/>
      <c r="B246" s="3" t="s">
        <v>257</v>
      </c>
      <c r="C246" s="6" t="s">
        <v>280</v>
      </c>
      <c r="D246" s="7"/>
      <c r="E246" s="8" t="s">
        <v>583</v>
      </c>
      <c r="G246" s="3"/>
      <c r="J246" s="4"/>
    </row>
    <row r="247" spans="1:11">
      <c r="A247" s="103"/>
      <c r="B247" s="3" t="s">
        <v>258</v>
      </c>
      <c r="C247" s="6" t="s">
        <v>270</v>
      </c>
      <c r="D247" s="7"/>
      <c r="E247" s="8" t="s">
        <v>584</v>
      </c>
      <c r="G247" s="3"/>
      <c r="J247" s="4"/>
    </row>
    <row r="248" spans="1:11">
      <c r="A248" s="103"/>
      <c r="B248" s="3" t="s">
        <v>259</v>
      </c>
      <c r="C248" s="6" t="s">
        <v>285</v>
      </c>
      <c r="D248" s="7"/>
      <c r="E248" s="8" t="s">
        <v>585</v>
      </c>
      <c r="G248" s="3"/>
      <c r="J248" s="4"/>
    </row>
    <row r="249" spans="1:11">
      <c r="A249" s="103"/>
      <c r="B249" s="3" t="s">
        <v>260</v>
      </c>
      <c r="C249" s="6" t="s">
        <v>264</v>
      </c>
      <c r="D249" s="7" t="s">
        <v>720</v>
      </c>
      <c r="E249" s="8" t="s">
        <v>586</v>
      </c>
      <c r="G249" s="3">
        <v>240</v>
      </c>
      <c r="J249" s="4">
        <f t="shared" si="8"/>
        <v>240</v>
      </c>
      <c r="K249" s="9">
        <f t="shared" ref="K249:K281" si="10">J249/SUM($J$244:$J$281)</f>
        <v>0.19277108433734941</v>
      </c>
    </row>
    <row r="250" spans="1:11">
      <c r="A250" s="103"/>
      <c r="B250" s="3" t="s">
        <v>261</v>
      </c>
      <c r="C250" s="6" t="s">
        <v>269</v>
      </c>
      <c r="D250" s="7"/>
      <c r="E250" s="8" t="s">
        <v>587</v>
      </c>
      <c r="G250" s="3"/>
      <c r="J250" s="4"/>
    </row>
    <row r="251" spans="1:11" ht="30">
      <c r="A251" s="103"/>
      <c r="B251" s="3" t="s">
        <v>262</v>
      </c>
      <c r="C251" s="6" t="s">
        <v>277</v>
      </c>
      <c r="D251" s="7" t="s">
        <v>721</v>
      </c>
      <c r="E251" s="8" t="s">
        <v>588</v>
      </c>
      <c r="G251" s="3">
        <v>200</v>
      </c>
      <c r="J251" s="4">
        <f t="shared" si="8"/>
        <v>200</v>
      </c>
      <c r="K251" s="9">
        <f t="shared" si="10"/>
        <v>0.1606425702811245</v>
      </c>
    </row>
    <row r="252" spans="1:11">
      <c r="A252" s="103"/>
      <c r="B252" s="3" t="s">
        <v>263</v>
      </c>
      <c r="C252" s="6" t="s">
        <v>295</v>
      </c>
      <c r="D252" s="7"/>
      <c r="E252" s="8" t="s">
        <v>589</v>
      </c>
      <c r="G252" s="3"/>
      <c r="J252" s="4"/>
    </row>
    <row r="253" spans="1:11">
      <c r="A253" s="103"/>
      <c r="B253" s="3" t="s">
        <v>264</v>
      </c>
      <c r="C253" s="6" t="s">
        <v>266</v>
      </c>
      <c r="D253" s="7"/>
      <c r="E253" s="8" t="s">
        <v>590</v>
      </c>
      <c r="G253" s="3"/>
      <c r="J253" s="4"/>
    </row>
    <row r="254" spans="1:11">
      <c r="A254" s="103"/>
      <c r="B254" s="3" t="s">
        <v>265</v>
      </c>
      <c r="C254" s="6" t="s">
        <v>263</v>
      </c>
      <c r="D254" s="7"/>
      <c r="E254" s="8" t="s">
        <v>591</v>
      </c>
      <c r="G254" s="3"/>
      <c r="J254" s="4"/>
    </row>
    <row r="255" spans="1:11">
      <c r="A255" s="103"/>
      <c r="B255" s="3" t="s">
        <v>266</v>
      </c>
      <c r="C255" s="6" t="s">
        <v>279</v>
      </c>
      <c r="D255" s="7"/>
      <c r="E255" s="8" t="s">
        <v>592</v>
      </c>
      <c r="G255" s="3"/>
      <c r="J255" s="4"/>
    </row>
    <row r="256" spans="1:11" ht="30">
      <c r="A256" s="103"/>
      <c r="B256" s="3" t="s">
        <v>267</v>
      </c>
      <c r="C256" s="6" t="s">
        <v>272</v>
      </c>
      <c r="D256" s="7"/>
      <c r="E256" s="8" t="s">
        <v>593</v>
      </c>
      <c r="G256" s="3"/>
      <c r="J256" s="4"/>
    </row>
    <row r="257" spans="1:10">
      <c r="A257" s="103"/>
      <c r="B257" s="3" t="s">
        <v>268</v>
      </c>
      <c r="C257" s="6" t="s">
        <v>271</v>
      </c>
      <c r="D257" s="7"/>
      <c r="E257" s="8" t="s">
        <v>594</v>
      </c>
      <c r="G257" s="3"/>
      <c r="J257" s="4"/>
    </row>
    <row r="258" spans="1:10" ht="30">
      <c r="A258" s="103"/>
      <c r="B258" s="3" t="s">
        <v>269</v>
      </c>
      <c r="C258" s="6" t="s">
        <v>275</v>
      </c>
      <c r="D258" s="7"/>
      <c r="E258" s="8" t="s">
        <v>595</v>
      </c>
      <c r="G258" s="3"/>
      <c r="J258" s="4"/>
    </row>
    <row r="259" spans="1:10">
      <c r="A259" s="103"/>
      <c r="B259" s="3" t="s">
        <v>270</v>
      </c>
      <c r="C259" s="6" t="s">
        <v>267</v>
      </c>
      <c r="D259" s="7"/>
      <c r="E259" s="8" t="s">
        <v>596</v>
      </c>
      <c r="G259" s="3"/>
      <c r="J259" s="4"/>
    </row>
    <row r="260" spans="1:10">
      <c r="A260" s="103"/>
      <c r="B260" s="3" t="s">
        <v>271</v>
      </c>
      <c r="C260" s="6" t="s">
        <v>274</v>
      </c>
      <c r="D260" s="7"/>
      <c r="E260" s="8" t="s">
        <v>597</v>
      </c>
      <c r="G260" s="3"/>
      <c r="J260" s="4"/>
    </row>
    <row r="261" spans="1:10">
      <c r="A261" s="103"/>
      <c r="B261" s="3" t="s">
        <v>272</v>
      </c>
      <c r="C261" s="6" t="s">
        <v>282</v>
      </c>
      <c r="D261" s="7"/>
      <c r="E261" s="8" t="s">
        <v>598</v>
      </c>
      <c r="G261" s="3"/>
      <c r="J261" s="4"/>
    </row>
    <row r="262" spans="1:10">
      <c r="A262" s="103"/>
      <c r="B262" s="3" t="s">
        <v>273</v>
      </c>
      <c r="C262" s="6" t="s">
        <v>287</v>
      </c>
      <c r="D262" s="7"/>
      <c r="E262" s="8" t="s">
        <v>599</v>
      </c>
      <c r="G262" s="3"/>
      <c r="J262" s="4"/>
    </row>
    <row r="263" spans="1:10">
      <c r="A263" s="103"/>
      <c r="B263" s="3" t="s">
        <v>274</v>
      </c>
      <c r="C263" s="6" t="s">
        <v>265</v>
      </c>
      <c r="D263" s="7"/>
      <c r="E263" s="8" t="s">
        <v>600</v>
      </c>
      <c r="G263" s="3"/>
      <c r="J263" s="4"/>
    </row>
    <row r="264" spans="1:10">
      <c r="A264" s="103"/>
      <c r="B264" s="3" t="s">
        <v>275</v>
      </c>
      <c r="C264" s="6" t="s">
        <v>293</v>
      </c>
      <c r="D264" s="7"/>
      <c r="E264" s="8" t="s">
        <v>601</v>
      </c>
      <c r="G264" s="3"/>
      <c r="J264" s="4"/>
    </row>
    <row r="265" spans="1:10">
      <c r="A265" s="103"/>
      <c r="B265" s="3" t="s">
        <v>276</v>
      </c>
      <c r="C265" s="6" t="s">
        <v>292</v>
      </c>
      <c r="D265" s="7"/>
      <c r="E265" s="8" t="s">
        <v>602</v>
      </c>
      <c r="G265" s="3"/>
      <c r="J265" s="4"/>
    </row>
    <row r="266" spans="1:10">
      <c r="A266" s="103"/>
      <c r="B266" s="3" t="s">
        <v>277</v>
      </c>
      <c r="C266" s="6" t="s">
        <v>291</v>
      </c>
      <c r="D266" s="7"/>
      <c r="E266" s="8" t="s">
        <v>603</v>
      </c>
      <c r="G266" s="3"/>
      <c r="J266" s="4"/>
    </row>
    <row r="267" spans="1:10">
      <c r="A267" s="103"/>
      <c r="B267" s="3" t="s">
        <v>278</v>
      </c>
      <c r="C267" s="6" t="s">
        <v>290</v>
      </c>
      <c r="D267" s="7"/>
      <c r="E267" s="8" t="s">
        <v>604</v>
      </c>
      <c r="G267" s="3"/>
      <c r="J267" s="4"/>
    </row>
    <row r="268" spans="1:10" ht="30">
      <c r="A268" s="103"/>
      <c r="B268" s="3" t="s">
        <v>279</v>
      </c>
      <c r="C268" s="6" t="s">
        <v>289</v>
      </c>
      <c r="D268" s="7"/>
      <c r="E268" s="8" t="s">
        <v>605</v>
      </c>
      <c r="G268" s="3"/>
      <c r="J268" s="4"/>
    </row>
    <row r="269" spans="1:10" ht="30">
      <c r="A269" s="103"/>
      <c r="B269" s="3" t="s">
        <v>280</v>
      </c>
      <c r="C269" s="6" t="s">
        <v>286</v>
      </c>
      <c r="D269" s="7"/>
      <c r="E269" s="8" t="s">
        <v>606</v>
      </c>
      <c r="G269" s="3"/>
      <c r="J269" s="4"/>
    </row>
    <row r="270" spans="1:10">
      <c r="A270" s="103"/>
      <c r="B270" s="3" t="s">
        <v>281</v>
      </c>
      <c r="C270" s="6" t="s">
        <v>283</v>
      </c>
      <c r="D270" s="7"/>
      <c r="E270" s="8" t="s">
        <v>607</v>
      </c>
      <c r="G270" s="3"/>
      <c r="J270" s="4"/>
    </row>
    <row r="271" spans="1:10">
      <c r="A271" s="103"/>
      <c r="B271" s="3" t="s">
        <v>282</v>
      </c>
      <c r="C271" s="6" t="s">
        <v>276</v>
      </c>
      <c r="D271" s="7"/>
      <c r="E271" s="8" t="s">
        <v>608</v>
      </c>
      <c r="G271" s="3"/>
      <c r="J271" s="4"/>
    </row>
    <row r="272" spans="1:10">
      <c r="A272" s="103"/>
      <c r="B272" s="3" t="s">
        <v>283</v>
      </c>
      <c r="C272" s="6" t="s">
        <v>273</v>
      </c>
      <c r="D272" s="7"/>
      <c r="E272" s="8" t="s">
        <v>609</v>
      </c>
      <c r="G272" s="3"/>
      <c r="J272" s="4"/>
    </row>
    <row r="273" spans="1:11" ht="30">
      <c r="A273" s="103"/>
      <c r="B273" s="3" t="s">
        <v>284</v>
      </c>
      <c r="C273" s="6" t="s">
        <v>288</v>
      </c>
      <c r="D273" s="7"/>
      <c r="E273" s="8" t="s">
        <v>610</v>
      </c>
      <c r="G273" s="3"/>
      <c r="J273" s="4"/>
    </row>
    <row r="274" spans="1:11">
      <c r="A274" s="103"/>
      <c r="B274" s="3" t="s">
        <v>285</v>
      </c>
      <c r="C274" s="6" t="s">
        <v>284</v>
      </c>
      <c r="D274" s="7"/>
      <c r="E274" s="8" t="s">
        <v>611</v>
      </c>
      <c r="G274" s="3"/>
      <c r="J274" s="4"/>
    </row>
    <row r="275" spans="1:11">
      <c r="A275" s="103"/>
      <c r="B275" s="3" t="s">
        <v>286</v>
      </c>
      <c r="C275" s="6" t="s">
        <v>281</v>
      </c>
      <c r="D275" s="7"/>
      <c r="E275" s="8" t="s">
        <v>612</v>
      </c>
      <c r="G275" s="3"/>
      <c r="J275" s="4"/>
    </row>
    <row r="276" spans="1:11">
      <c r="A276" s="103"/>
      <c r="B276" s="3" t="s">
        <v>287</v>
      </c>
      <c r="C276" s="6" t="s">
        <v>278</v>
      </c>
      <c r="D276" s="7"/>
      <c r="E276" s="8" t="s">
        <v>613</v>
      </c>
      <c r="G276" s="3"/>
      <c r="J276" s="4"/>
    </row>
    <row r="277" spans="1:11">
      <c r="A277" s="103"/>
      <c r="B277" s="3" t="s">
        <v>288</v>
      </c>
      <c r="C277" s="6" t="s">
        <v>255</v>
      </c>
      <c r="D277" s="7"/>
      <c r="E277" s="8" t="s">
        <v>614</v>
      </c>
      <c r="G277" s="3"/>
      <c r="J277" s="4"/>
    </row>
    <row r="278" spans="1:11">
      <c r="A278" s="103"/>
      <c r="B278" s="3" t="s">
        <v>289</v>
      </c>
      <c r="C278" s="6" t="s">
        <v>256</v>
      </c>
      <c r="D278" s="7"/>
      <c r="E278" s="8" t="s">
        <v>615</v>
      </c>
      <c r="G278" s="3"/>
      <c r="J278" s="4"/>
    </row>
    <row r="279" spans="1:11">
      <c r="A279" s="103"/>
      <c r="B279" s="3" t="s">
        <v>290</v>
      </c>
      <c r="C279" s="6" t="s">
        <v>261</v>
      </c>
      <c r="D279" s="7"/>
      <c r="E279" s="8" t="s">
        <v>616</v>
      </c>
      <c r="G279" s="3"/>
      <c r="J279" s="4"/>
    </row>
    <row r="280" spans="1:11">
      <c r="A280" s="103"/>
      <c r="B280" s="3" t="s">
        <v>291</v>
      </c>
      <c r="C280" s="6" t="s">
        <v>259</v>
      </c>
      <c r="D280" s="7"/>
      <c r="E280" s="8" t="s">
        <v>617</v>
      </c>
      <c r="G280" s="3"/>
      <c r="J280" s="4"/>
    </row>
    <row r="281" spans="1:11">
      <c r="A281" s="103"/>
      <c r="B281" s="3" t="s">
        <v>292</v>
      </c>
      <c r="C281" s="6" t="s">
        <v>260</v>
      </c>
      <c r="D281" s="28" t="s">
        <v>673</v>
      </c>
      <c r="E281" s="8" t="s">
        <v>618</v>
      </c>
      <c r="G281" s="3">
        <v>295</v>
      </c>
      <c r="J281" s="4">
        <f t="shared" ref="J281" si="11">SUM(F281:I281)</f>
        <v>295</v>
      </c>
      <c r="K281" s="9">
        <f t="shared" si="10"/>
        <v>0.23694779116465864</v>
      </c>
    </row>
    <row r="282" spans="1:11">
      <c r="A282" s="103"/>
      <c r="B282" s="3" t="s">
        <v>293</v>
      </c>
      <c r="C282" s="6" t="s">
        <v>258</v>
      </c>
      <c r="D282" s="7"/>
      <c r="E282" s="8" t="s">
        <v>619</v>
      </c>
      <c r="G282" s="3"/>
      <c r="J282" s="4"/>
    </row>
    <row r="283" spans="1:11">
      <c r="A283" s="103"/>
      <c r="B283" s="3" t="s">
        <v>294</v>
      </c>
      <c r="C283" s="6" t="s">
        <v>257</v>
      </c>
      <c r="D283" s="7"/>
      <c r="E283" s="8" t="s">
        <v>620</v>
      </c>
      <c r="G283" s="3"/>
      <c r="J283" s="4"/>
    </row>
    <row r="284" spans="1:11">
      <c r="A284" s="103"/>
      <c r="B284" s="3" t="s">
        <v>295</v>
      </c>
      <c r="C284" s="6" t="s">
        <v>262</v>
      </c>
      <c r="D284" s="7"/>
      <c r="E284" s="8" t="s">
        <v>621</v>
      </c>
      <c r="G284" s="3"/>
      <c r="J284" s="4"/>
    </row>
    <row r="285" spans="1:11">
      <c r="A285" s="103" t="s">
        <v>27</v>
      </c>
      <c r="B285" s="3" t="s">
        <v>296</v>
      </c>
      <c r="C285" s="14" t="s">
        <v>298</v>
      </c>
      <c r="E285" s="13" t="s">
        <v>630</v>
      </c>
      <c r="G285" s="3"/>
      <c r="J285" s="4"/>
    </row>
    <row r="286" spans="1:11">
      <c r="A286" s="103"/>
      <c r="B286" s="3" t="s">
        <v>297</v>
      </c>
      <c r="C286" s="13" t="s">
        <v>297</v>
      </c>
      <c r="E286" s="13" t="s">
        <v>631</v>
      </c>
      <c r="G286" s="3"/>
      <c r="J286" s="4"/>
    </row>
    <row r="287" spans="1:11">
      <c r="A287" s="103"/>
      <c r="B287" s="3" t="s">
        <v>298</v>
      </c>
      <c r="C287" s="13" t="s">
        <v>299</v>
      </c>
      <c r="E287" s="13" t="s">
        <v>632</v>
      </c>
      <c r="G287" s="3"/>
      <c r="J287" s="4"/>
    </row>
    <row r="288" spans="1:11">
      <c r="A288" s="103"/>
      <c r="B288" s="3" t="s">
        <v>299</v>
      </c>
      <c r="C288" s="6" t="s">
        <v>626</v>
      </c>
      <c r="E288" s="13" t="s">
        <v>633</v>
      </c>
      <c r="G288" s="3"/>
      <c r="J288" s="4"/>
    </row>
    <row r="289" spans="1:10">
      <c r="A289" s="103"/>
      <c r="B289" s="3" t="s">
        <v>300</v>
      </c>
      <c r="C289" s="14" t="s">
        <v>627</v>
      </c>
      <c r="E289" s="13" t="s">
        <v>634</v>
      </c>
      <c r="G289" s="3"/>
      <c r="J289" s="4"/>
    </row>
    <row r="290" spans="1:10">
      <c r="A290" s="103"/>
      <c r="B290" s="3" t="s">
        <v>301</v>
      </c>
      <c r="C290" s="14" t="s">
        <v>628</v>
      </c>
      <c r="E290" s="13" t="s">
        <v>635</v>
      </c>
      <c r="G290" s="3"/>
      <c r="J290" s="4"/>
    </row>
    <row r="291" spans="1:10">
      <c r="A291" s="103"/>
      <c r="B291" s="3" t="s">
        <v>302</v>
      </c>
      <c r="C291" s="14" t="s">
        <v>629</v>
      </c>
      <c r="E291" s="13" t="s">
        <v>636</v>
      </c>
      <c r="G291" s="3"/>
      <c r="J291" s="4"/>
    </row>
    <row r="292" spans="1:10">
      <c r="A292" s="103" t="s">
        <v>637</v>
      </c>
      <c r="B292" s="3" t="s">
        <v>303</v>
      </c>
      <c r="C292" s="14" t="s">
        <v>305</v>
      </c>
      <c r="D292" s="15"/>
      <c r="E292" s="14" t="s">
        <v>638</v>
      </c>
      <c r="G292" s="3"/>
      <c r="J292" s="4"/>
    </row>
    <row r="293" spans="1:10">
      <c r="A293" s="103"/>
      <c r="B293" s="3" t="s">
        <v>304</v>
      </c>
      <c r="C293" s="14" t="s">
        <v>307</v>
      </c>
      <c r="D293" s="15"/>
      <c r="E293" s="14" t="s">
        <v>639</v>
      </c>
      <c r="G293" s="3"/>
      <c r="J293" s="4"/>
    </row>
    <row r="294" spans="1:10">
      <c r="A294" s="103"/>
      <c r="B294" s="3" t="s">
        <v>305</v>
      </c>
      <c r="C294" s="14" t="s">
        <v>309</v>
      </c>
      <c r="D294" s="15"/>
      <c r="E294" s="14" t="s">
        <v>640</v>
      </c>
      <c r="G294" s="3"/>
      <c r="J294" s="4"/>
    </row>
    <row r="295" spans="1:10">
      <c r="A295" s="103"/>
      <c r="B295" s="3" t="s">
        <v>306</v>
      </c>
      <c r="C295" s="14" t="s">
        <v>303</v>
      </c>
      <c r="D295" s="15"/>
      <c r="E295" s="14" t="s">
        <v>641</v>
      </c>
      <c r="G295" s="3"/>
      <c r="J295" s="4"/>
    </row>
    <row r="296" spans="1:10">
      <c r="A296" s="103"/>
      <c r="B296" s="3" t="s">
        <v>307</v>
      </c>
      <c r="C296" s="14" t="s">
        <v>308</v>
      </c>
      <c r="D296" s="15"/>
      <c r="E296" s="14" t="s">
        <v>642</v>
      </c>
      <c r="G296" s="3"/>
      <c r="J296" s="4"/>
    </row>
    <row r="297" spans="1:10">
      <c r="A297" s="103"/>
      <c r="B297" s="3" t="s">
        <v>308</v>
      </c>
      <c r="C297" s="14" t="s">
        <v>304</v>
      </c>
      <c r="D297" s="15"/>
      <c r="E297" s="14" t="s">
        <v>643</v>
      </c>
      <c r="G297" s="3"/>
      <c r="J297" s="4"/>
    </row>
    <row r="298" spans="1:10">
      <c r="A298" s="103"/>
      <c r="B298" s="3" t="s">
        <v>309</v>
      </c>
      <c r="C298" s="14" t="s">
        <v>306</v>
      </c>
      <c r="D298" s="15"/>
      <c r="E298" s="14" t="s">
        <v>644</v>
      </c>
      <c r="G298" s="3"/>
      <c r="J298" s="4"/>
    </row>
    <row r="299" spans="1:10">
      <c r="A299" s="29" t="s">
        <v>28</v>
      </c>
      <c r="B299" s="3" t="s">
        <v>310</v>
      </c>
      <c r="C299" s="31" t="s">
        <v>310</v>
      </c>
      <c r="D299" s="30"/>
      <c r="E299" s="31" t="s">
        <v>645</v>
      </c>
      <c r="G299" s="3"/>
      <c r="J299" s="4"/>
    </row>
    <row r="300" spans="1:10">
      <c r="A300" s="27" t="s">
        <v>29</v>
      </c>
      <c r="B300" s="3" t="s">
        <v>311</v>
      </c>
      <c r="C300" s="13" t="s">
        <v>311</v>
      </c>
      <c r="D300" s="8"/>
      <c r="E300" s="8" t="s">
        <v>646</v>
      </c>
      <c r="G300" s="3"/>
      <c r="J300" s="4"/>
    </row>
    <row r="301" spans="1:10">
      <c r="A301" s="103" t="s">
        <v>30</v>
      </c>
      <c r="B301" s="3" t="s">
        <v>35</v>
      </c>
      <c r="C301" s="13" t="s">
        <v>33</v>
      </c>
      <c r="D301" s="8"/>
      <c r="E301" s="13" t="s">
        <v>647</v>
      </c>
      <c r="G301" s="3"/>
      <c r="J301" s="4"/>
    </row>
    <row r="302" spans="1:10">
      <c r="A302" s="103"/>
      <c r="B302" s="3" t="s">
        <v>34</v>
      </c>
      <c r="C302" s="13" t="s">
        <v>34</v>
      </c>
      <c r="D302" s="8"/>
      <c r="E302" s="13" t="s">
        <v>648</v>
      </c>
      <c r="G302" s="3"/>
      <c r="J302" s="4"/>
    </row>
    <row r="303" spans="1:10">
      <c r="A303" s="103"/>
      <c r="B303" s="3" t="s">
        <v>33</v>
      </c>
      <c r="C303" s="13" t="s">
        <v>35</v>
      </c>
      <c r="D303" s="8"/>
      <c r="E303" s="13" t="s">
        <v>649</v>
      </c>
      <c r="G303" s="3"/>
      <c r="J303" s="4"/>
    </row>
    <row r="304" spans="1:10">
      <c r="A304" s="103" t="s">
        <v>31</v>
      </c>
      <c r="B304" s="3" t="s">
        <v>312</v>
      </c>
      <c r="C304" s="13" t="s">
        <v>315</v>
      </c>
      <c r="D304" s="8"/>
      <c r="E304" s="13" t="s">
        <v>650</v>
      </c>
      <c r="G304" s="3"/>
      <c r="J304" s="4"/>
    </row>
    <row r="305" spans="1:10">
      <c r="A305" s="103"/>
      <c r="B305" s="3" t="s">
        <v>313</v>
      </c>
      <c r="C305" s="13" t="s">
        <v>314</v>
      </c>
      <c r="D305" s="8"/>
      <c r="E305" s="13" t="s">
        <v>651</v>
      </c>
      <c r="G305" s="3"/>
      <c r="J305" s="4"/>
    </row>
    <row r="306" spans="1:10" ht="30">
      <c r="A306" s="103"/>
      <c r="B306" s="3" t="s">
        <v>314</v>
      </c>
      <c r="C306" s="13" t="s">
        <v>313</v>
      </c>
      <c r="D306" s="8"/>
      <c r="E306" s="8" t="s">
        <v>652</v>
      </c>
      <c r="G306" s="3"/>
      <c r="J306" s="4"/>
    </row>
    <row r="307" spans="1:10">
      <c r="A307" s="103"/>
      <c r="B307" s="3" t="s">
        <v>315</v>
      </c>
      <c r="C307" s="13" t="s">
        <v>312</v>
      </c>
      <c r="D307" s="8"/>
      <c r="E307" s="8" t="s">
        <v>653</v>
      </c>
      <c r="G307" s="3"/>
      <c r="J307" s="4"/>
    </row>
    <row r="308" spans="1:10">
      <c r="A308" s="29" t="s">
        <v>32</v>
      </c>
      <c r="B308" s="3" t="s">
        <v>316</v>
      </c>
      <c r="C308" s="32" t="s">
        <v>656</v>
      </c>
      <c r="G308" s="3"/>
      <c r="J308" s="4"/>
    </row>
    <row r="309" spans="1:10">
      <c r="A309" s="29" t="s">
        <v>655</v>
      </c>
      <c r="B309" s="3" t="s">
        <v>658</v>
      </c>
      <c r="C309" s="32" t="s">
        <v>658</v>
      </c>
      <c r="E309" s="3" t="s">
        <v>655</v>
      </c>
      <c r="G309" s="3"/>
      <c r="J309" s="4"/>
    </row>
    <row r="310" spans="1:10">
      <c r="A310" s="29" t="s">
        <v>654</v>
      </c>
      <c r="C310" s="32" t="s">
        <v>657</v>
      </c>
      <c r="E310" s="3" t="s">
        <v>654</v>
      </c>
      <c r="G310" s="3"/>
      <c r="J310" s="4"/>
    </row>
    <row r="311" spans="1:10">
      <c r="G311" s="3"/>
    </row>
    <row r="312" spans="1:10">
      <c r="G312" s="3"/>
    </row>
    <row r="313" spans="1:10">
      <c r="G313" s="3"/>
    </row>
    <row r="314" spans="1:10">
      <c r="G314" s="3"/>
    </row>
    <row r="315" spans="1:10">
      <c r="G315" s="3"/>
    </row>
    <row r="316" spans="1:10">
      <c r="G316" s="3"/>
    </row>
    <row r="317" spans="1:10">
      <c r="G317" s="3"/>
    </row>
  </sheetData>
  <mergeCells count="27">
    <mergeCell ref="A292:A298"/>
    <mergeCell ref="A301:A303"/>
    <mergeCell ref="A304:A307"/>
    <mergeCell ref="A225:A226"/>
    <mergeCell ref="A227:A230"/>
    <mergeCell ref="A231:A235"/>
    <mergeCell ref="A236:A243"/>
    <mergeCell ref="A244:A284"/>
    <mergeCell ref="A285:A291"/>
    <mergeCell ref="A217:A224"/>
    <mergeCell ref="A74:A86"/>
    <mergeCell ref="A87:A105"/>
    <mergeCell ref="A106:A132"/>
    <mergeCell ref="A133:A136"/>
    <mergeCell ref="A137:A157"/>
    <mergeCell ref="A160:A161"/>
    <mergeCell ref="A163:A170"/>
    <mergeCell ref="A172:A183"/>
    <mergeCell ref="A184:A192"/>
    <mergeCell ref="A193:A209"/>
    <mergeCell ref="A210:A216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0"/>
  <sheetViews>
    <sheetView zoomScale="168" workbookViewId="0">
      <selection activeCell="G8" sqref="G8"/>
    </sheetView>
  </sheetViews>
  <sheetFormatPr baseColWidth="10" defaultColWidth="10.875" defaultRowHeight="15"/>
  <cols>
    <col min="1" max="1" width="19" style="3" bestFit="1" customWidth="1"/>
    <col min="2" max="2" width="13.5" style="3" hidden="1" customWidth="1"/>
    <col min="3" max="3" width="6.125" style="3" bestFit="1" customWidth="1"/>
    <col min="4" max="4" width="29.875" style="3" hidden="1" customWidth="1"/>
    <col min="5" max="5" width="18.875" style="60" bestFit="1" customWidth="1"/>
    <col min="6" max="6" width="11.625" style="79" bestFit="1" customWidth="1"/>
    <col min="7" max="7" width="24" style="3" bestFit="1" customWidth="1"/>
    <col min="8" max="8" width="16.875" style="3" bestFit="1" customWidth="1"/>
    <col min="9" max="9" width="20.625" style="3" bestFit="1" customWidth="1"/>
    <col min="10" max="16384" width="10.875" style="3"/>
  </cols>
  <sheetData>
    <row r="1" spans="1:14">
      <c r="A1" s="25" t="s">
        <v>0</v>
      </c>
      <c r="B1" s="25" t="s">
        <v>659</v>
      </c>
      <c r="C1" s="25" t="s">
        <v>1</v>
      </c>
      <c r="D1" s="25" t="s">
        <v>660</v>
      </c>
      <c r="E1" s="59" t="s">
        <v>898</v>
      </c>
      <c r="F1" s="78" t="s">
        <v>899</v>
      </c>
      <c r="G1" s="2"/>
      <c r="H1" s="2"/>
      <c r="I1" s="2"/>
      <c r="K1" s="4"/>
      <c r="L1" s="4"/>
      <c r="M1" s="4"/>
      <c r="N1" s="4"/>
    </row>
    <row r="2" spans="1:14" ht="30">
      <c r="A2" s="103" t="s">
        <v>3</v>
      </c>
      <c r="B2" s="3" t="s">
        <v>37</v>
      </c>
      <c r="C2" s="6" t="s">
        <v>36</v>
      </c>
      <c r="D2" s="8" t="s">
        <v>622</v>
      </c>
      <c r="G2"/>
      <c r="H2"/>
      <c r="I2" s="58"/>
      <c r="J2" s="58"/>
      <c r="K2" s="61"/>
    </row>
    <row r="3" spans="1:14" ht="15.75">
      <c r="A3" s="103"/>
      <c r="B3" s="3" t="s">
        <v>38</v>
      </c>
      <c r="C3" s="6" t="s">
        <v>46</v>
      </c>
      <c r="D3" s="8" t="s">
        <v>317</v>
      </c>
      <c r="E3" s="80">
        <v>4632635</v>
      </c>
      <c r="F3" s="79">
        <f>E3/SUM(E$2:E$12)</f>
        <v>0.17829109287326222</v>
      </c>
      <c r="G3"/>
      <c r="H3"/>
      <c r="I3" s="58"/>
      <c r="J3" s="58"/>
      <c r="K3" s="61"/>
    </row>
    <row r="4" spans="1:14" ht="15.75">
      <c r="A4" s="103"/>
      <c r="B4" s="3" t="s">
        <v>39</v>
      </c>
      <c r="C4" s="6" t="s">
        <v>40</v>
      </c>
      <c r="D4" s="8" t="s">
        <v>318</v>
      </c>
      <c r="E4" s="80">
        <v>7021884</v>
      </c>
      <c r="F4" s="79">
        <f t="shared" ref="F4:F11" si="0">E4/SUM(E$2:E$12)</f>
        <v>0.27024347318303166</v>
      </c>
      <c r="G4"/>
      <c r="H4"/>
      <c r="I4" s="58"/>
      <c r="J4" s="58"/>
      <c r="K4" s="61"/>
    </row>
    <row r="5" spans="1:14" ht="15.75">
      <c r="A5" s="103"/>
      <c r="B5" s="3" t="s">
        <v>40</v>
      </c>
      <c r="C5" s="6" t="s">
        <v>44</v>
      </c>
      <c r="D5" s="8" t="s">
        <v>319</v>
      </c>
      <c r="E5" s="80">
        <f>7641462+3648996</f>
        <v>11290458</v>
      </c>
      <c r="F5" s="79">
        <f>E5/SUM(E$2:E$12)</f>
        <v>0.4345233535255133</v>
      </c>
      <c r="G5"/>
      <c r="H5"/>
      <c r="I5" s="58"/>
      <c r="J5" s="58"/>
      <c r="K5" s="61"/>
    </row>
    <row r="6" spans="1:14">
      <c r="A6" s="103"/>
      <c r="B6" s="3" t="s">
        <v>41</v>
      </c>
      <c r="C6" s="6" t="s">
        <v>45</v>
      </c>
      <c r="D6" s="8" t="s">
        <v>320</v>
      </c>
      <c r="E6" s="60">
        <v>4.8495000000000003E-2</v>
      </c>
      <c r="F6" s="79">
        <f>E6/SUM(E$2:E$12)</f>
        <v>1.8663733596298546E-9</v>
      </c>
      <c r="H6" s="4"/>
      <c r="I6" s="4"/>
      <c r="J6" s="5"/>
      <c r="K6" s="4"/>
    </row>
    <row r="7" spans="1:14">
      <c r="A7" s="103"/>
      <c r="B7" s="3" t="s">
        <v>42</v>
      </c>
      <c r="C7" s="6" t="s">
        <v>37</v>
      </c>
      <c r="D7" s="8" t="s">
        <v>321</v>
      </c>
      <c r="H7" s="4"/>
      <c r="I7" s="4"/>
      <c r="J7" s="5"/>
      <c r="K7" s="4"/>
    </row>
    <row r="8" spans="1:14">
      <c r="A8" s="103"/>
      <c r="B8" s="3" t="s">
        <v>43</v>
      </c>
      <c r="C8" s="6" t="s">
        <v>43</v>
      </c>
      <c r="D8" s="8" t="s">
        <v>322</v>
      </c>
      <c r="E8" s="80">
        <v>1497788</v>
      </c>
      <c r="F8" s="79">
        <f t="shared" si="0"/>
        <v>5.7643708043577289E-2</v>
      </c>
      <c r="H8" s="4"/>
      <c r="I8" s="4"/>
      <c r="J8" s="5"/>
      <c r="K8" s="4"/>
    </row>
    <row r="9" spans="1:14">
      <c r="A9" s="103"/>
      <c r="B9" s="3" t="s">
        <v>44</v>
      </c>
      <c r="C9" s="6" t="s">
        <v>42</v>
      </c>
      <c r="D9" s="8" t="s">
        <v>323</v>
      </c>
      <c r="H9" s="4"/>
      <c r="I9" s="4"/>
      <c r="J9" s="5"/>
      <c r="K9" s="4"/>
    </row>
    <row r="10" spans="1:14">
      <c r="A10" s="103"/>
      <c r="B10" s="3" t="s">
        <v>45</v>
      </c>
      <c r="C10" s="6" t="s">
        <v>41</v>
      </c>
      <c r="D10" s="8" t="s">
        <v>324</v>
      </c>
      <c r="E10" s="80">
        <v>1058888</v>
      </c>
      <c r="F10" s="79">
        <f t="shared" si="0"/>
        <v>4.0752249799602791E-2</v>
      </c>
      <c r="H10" s="4"/>
      <c r="I10" s="4"/>
      <c r="J10" s="5"/>
      <c r="K10" s="4"/>
    </row>
    <row r="11" spans="1:14">
      <c r="A11" s="103"/>
      <c r="B11" s="3" t="s">
        <v>36</v>
      </c>
      <c r="C11" s="6" t="s">
        <v>39</v>
      </c>
      <c r="D11" s="8" t="s">
        <v>325</v>
      </c>
      <c r="E11" s="80">
        <v>481894</v>
      </c>
      <c r="F11" s="79">
        <f t="shared" si="0"/>
        <v>1.8546120708639428E-2</v>
      </c>
      <c r="H11" s="4"/>
      <c r="I11" s="4"/>
      <c r="J11" s="5"/>
      <c r="K11" s="4"/>
    </row>
    <row r="12" spans="1:14">
      <c r="A12" s="103"/>
      <c r="B12" s="3" t="s">
        <v>46</v>
      </c>
      <c r="C12" s="6" t="s">
        <v>38</v>
      </c>
      <c r="D12" s="8" t="s">
        <v>326</v>
      </c>
      <c r="H12" s="4"/>
      <c r="I12" s="4"/>
      <c r="J12" s="5"/>
      <c r="K12" s="4"/>
    </row>
    <row r="13" spans="1:14">
      <c r="A13" s="103" t="s">
        <v>4</v>
      </c>
      <c r="B13" s="3" t="s">
        <v>47</v>
      </c>
      <c r="C13" s="6" t="s">
        <v>47</v>
      </c>
      <c r="D13" s="8" t="s">
        <v>327</v>
      </c>
      <c r="E13" s="80">
        <v>279328694</v>
      </c>
      <c r="F13" s="79">
        <f t="shared" ref="F13" si="1">E13/SUM(E$13:E$18)</f>
        <v>1.4808357111119335E-2</v>
      </c>
      <c r="H13" s="4"/>
      <c r="I13" s="4"/>
      <c r="J13" s="5"/>
      <c r="K13" s="4"/>
    </row>
    <row r="14" spans="1:14">
      <c r="A14" s="103"/>
      <c r="B14" s="3" t="s">
        <v>48</v>
      </c>
      <c r="C14" s="6" t="s">
        <v>49</v>
      </c>
      <c r="D14" s="8" t="s">
        <v>328</v>
      </c>
      <c r="H14" s="4"/>
      <c r="I14" s="4"/>
      <c r="J14" s="5"/>
      <c r="K14" s="4"/>
    </row>
    <row r="15" spans="1:14">
      <c r="A15" s="103"/>
      <c r="B15" s="3" t="s">
        <v>49</v>
      </c>
      <c r="C15" s="6" t="s">
        <v>50</v>
      </c>
      <c r="D15" s="8" t="s">
        <v>329</v>
      </c>
      <c r="H15" s="4"/>
      <c r="I15" s="4"/>
      <c r="J15" s="5"/>
      <c r="K15" s="4"/>
    </row>
    <row r="16" spans="1:14">
      <c r="A16" s="103"/>
      <c r="B16" s="3" t="s">
        <v>50</v>
      </c>
      <c r="C16" s="6" t="s">
        <v>51</v>
      </c>
      <c r="D16" s="8" t="s">
        <v>330</v>
      </c>
      <c r="H16" s="4"/>
      <c r="I16" s="4"/>
      <c r="J16" s="5"/>
      <c r="K16" s="4"/>
    </row>
    <row r="17" spans="1:11">
      <c r="A17" s="103"/>
      <c r="B17" s="3" t="s">
        <v>51</v>
      </c>
      <c r="C17" s="6" t="s">
        <v>52</v>
      </c>
      <c r="D17" s="8" t="s">
        <v>331</v>
      </c>
      <c r="E17" s="80">
        <f>701556548+2699041757+0.748512</f>
        <v>3400598305.7485118</v>
      </c>
      <c r="F17" s="79">
        <f>E17/SUM(E$13:E$18)</f>
        <v>0.18027963179103734</v>
      </c>
      <c r="H17" s="4"/>
      <c r="I17" s="4"/>
      <c r="J17" s="5"/>
      <c r="K17" s="4"/>
    </row>
    <row r="18" spans="1:11">
      <c r="A18" s="103"/>
      <c r="B18" s="3" t="s">
        <v>52</v>
      </c>
      <c r="C18" s="6" t="s">
        <v>48</v>
      </c>
      <c r="D18" s="8" t="s">
        <v>332</v>
      </c>
      <c r="E18" s="60">
        <f>7441036671+7741945422</f>
        <v>15182982093</v>
      </c>
      <c r="F18" s="79">
        <f>E18/SUM(E$13:E$18)</f>
        <v>0.80491201109784327</v>
      </c>
      <c r="H18" s="4"/>
      <c r="I18" s="4"/>
      <c r="J18" s="5"/>
      <c r="K18" s="4"/>
    </row>
    <row r="19" spans="1:11">
      <c r="A19" s="103" t="s">
        <v>5</v>
      </c>
      <c r="B19" s="3" t="s">
        <v>53</v>
      </c>
      <c r="C19" s="6" t="s">
        <v>54</v>
      </c>
      <c r="D19" s="8" t="s">
        <v>333</v>
      </c>
      <c r="H19" s="4"/>
      <c r="I19" s="4"/>
      <c r="J19" s="5"/>
      <c r="K19" s="4"/>
    </row>
    <row r="20" spans="1:11">
      <c r="A20" s="103"/>
      <c r="B20" s="3" t="s">
        <v>54</v>
      </c>
      <c r="C20" s="6" t="s">
        <v>53</v>
      </c>
      <c r="D20" s="8" t="s">
        <v>334</v>
      </c>
      <c r="E20" s="60">
        <v>0.29311347900000001</v>
      </c>
      <c r="F20" s="79">
        <f t="shared" ref="F20" si="2">E20/SUM(E$19:E$26)</f>
        <v>7.2194279881100779E-13</v>
      </c>
      <c r="H20" s="4"/>
      <c r="I20" s="4"/>
      <c r="J20" s="5"/>
      <c r="K20" s="4"/>
    </row>
    <row r="21" spans="1:11">
      <c r="A21" s="103"/>
      <c r="B21" s="3" t="s">
        <v>55</v>
      </c>
      <c r="C21" s="6" t="s">
        <v>60</v>
      </c>
      <c r="D21" s="8" t="s">
        <v>335</v>
      </c>
      <c r="H21" s="4"/>
      <c r="I21" s="4"/>
      <c r="J21" s="5"/>
      <c r="K21" s="4"/>
    </row>
    <row r="22" spans="1:11">
      <c r="A22" s="103"/>
      <c r="B22" s="3" t="s">
        <v>56</v>
      </c>
      <c r="C22" s="6" t="s">
        <v>58</v>
      </c>
      <c r="D22" s="8" t="s">
        <v>336</v>
      </c>
      <c r="E22" s="60">
        <f>0.254133198+0.561384+0.01122768+0.23391+264546116628+0.174582</f>
        <v>264546116629.23526</v>
      </c>
      <c r="F22" s="79">
        <f>E22/SUM(E$19:E$26)</f>
        <v>0.65158096620283168</v>
      </c>
      <c r="H22" s="4"/>
      <c r="I22" s="4"/>
      <c r="J22" s="5"/>
      <c r="K22" s="4"/>
    </row>
    <row r="23" spans="1:11">
      <c r="A23" s="103"/>
      <c r="B23" s="3" t="s">
        <v>57</v>
      </c>
      <c r="C23" s="6" t="s">
        <v>57</v>
      </c>
      <c r="D23" s="8" t="s">
        <v>337</v>
      </c>
      <c r="E23" s="80">
        <f>313326+0.234483024</f>
        <v>313326.23448302399</v>
      </c>
      <c r="F23" s="79">
        <f t="shared" ref="F23:F26" si="3">E23/SUM(E$19:E$26)</f>
        <v>7.7172711209090606E-7</v>
      </c>
      <c r="H23" s="4"/>
      <c r="I23" s="4"/>
      <c r="J23" s="5"/>
      <c r="K23" s="4"/>
    </row>
    <row r="24" spans="1:11">
      <c r="A24" s="103"/>
      <c r="B24" s="3" t="s">
        <v>58</v>
      </c>
      <c r="C24" s="6" t="s">
        <v>59</v>
      </c>
      <c r="D24" s="8" t="s">
        <v>338</v>
      </c>
      <c r="E24" s="80">
        <v>1569720872</v>
      </c>
      <c r="F24" s="79">
        <f t="shared" si="3"/>
        <v>3.8662455358586078E-3</v>
      </c>
      <c r="H24" s="4"/>
      <c r="I24" s="4"/>
      <c r="J24" s="5"/>
      <c r="K24" s="4"/>
    </row>
    <row r="25" spans="1:11">
      <c r="A25" s="103"/>
      <c r="B25" s="3" t="s">
        <v>59</v>
      </c>
      <c r="C25" s="6" t="s">
        <v>55</v>
      </c>
      <c r="D25" s="8" t="s">
        <v>339</v>
      </c>
      <c r="E25" s="80">
        <f>1106796+7752428946+817736+0.294190068</f>
        <v>7754353478.2941904</v>
      </c>
      <c r="F25" s="79">
        <f t="shared" si="3"/>
        <v>1.9099086374972134E-2</v>
      </c>
      <c r="H25" s="4"/>
      <c r="I25" s="4"/>
      <c r="J25" s="5"/>
      <c r="K25" s="4"/>
    </row>
    <row r="26" spans="1:11">
      <c r="A26" s="103"/>
      <c r="B26" s="3" t="s">
        <v>60</v>
      </c>
      <c r="C26" s="6" t="s">
        <v>56</v>
      </c>
      <c r="D26" s="8" t="s">
        <v>340</v>
      </c>
      <c r="E26" s="80">
        <f>5784308937+126351700684</f>
        <v>132136009621</v>
      </c>
      <c r="F26" s="79">
        <f t="shared" si="3"/>
        <v>0.32545293015850352</v>
      </c>
      <c r="H26" s="4"/>
      <c r="I26" s="4"/>
      <c r="J26" s="5"/>
      <c r="K26" s="4"/>
    </row>
    <row r="27" spans="1:11">
      <c r="A27" s="103" t="s">
        <v>6</v>
      </c>
      <c r="B27" s="3" t="s">
        <v>61</v>
      </c>
      <c r="C27" s="6" t="s">
        <v>64</v>
      </c>
      <c r="D27" s="8" t="s">
        <v>341</v>
      </c>
      <c r="H27" s="4"/>
      <c r="I27" s="4"/>
      <c r="J27" s="5"/>
      <c r="K27" s="4"/>
    </row>
    <row r="28" spans="1:11">
      <c r="A28" s="103"/>
      <c r="B28" s="3" t="s">
        <v>62</v>
      </c>
      <c r="C28" s="6" t="s">
        <v>61</v>
      </c>
      <c r="D28" s="8" t="s">
        <v>342</v>
      </c>
      <c r="H28" s="4"/>
      <c r="I28" s="4"/>
      <c r="J28" s="5"/>
      <c r="K28" s="4"/>
    </row>
    <row r="29" spans="1:11">
      <c r="A29" s="103"/>
      <c r="B29" s="3" t="s">
        <v>63</v>
      </c>
      <c r="C29" s="6" t="s">
        <v>63</v>
      </c>
      <c r="D29" s="8" t="s">
        <v>343</v>
      </c>
      <c r="H29" s="4"/>
      <c r="I29" s="4"/>
      <c r="J29" s="5"/>
      <c r="K29" s="4"/>
    </row>
    <row r="30" spans="1:11">
      <c r="A30" s="103"/>
      <c r="B30" s="3" t="s">
        <v>64</v>
      </c>
      <c r="C30" s="6" t="s">
        <v>65</v>
      </c>
      <c r="D30" s="8" t="s">
        <v>344</v>
      </c>
      <c r="E30" s="60">
        <v>0.63043499999999997</v>
      </c>
      <c r="F30" s="79">
        <f>E30/SUM(E$27:E$31)</f>
        <v>1</v>
      </c>
      <c r="H30" s="4"/>
      <c r="I30" s="4"/>
      <c r="J30" s="5"/>
      <c r="K30" s="4"/>
    </row>
    <row r="31" spans="1:11">
      <c r="A31" s="103"/>
      <c r="B31" s="3" t="s">
        <v>65</v>
      </c>
      <c r="C31" s="6" t="s">
        <v>62</v>
      </c>
      <c r="D31" s="8" t="s">
        <v>345</v>
      </c>
      <c r="H31" s="4"/>
      <c r="I31" s="4"/>
      <c r="J31" s="5"/>
      <c r="K31" s="4"/>
    </row>
    <row r="32" spans="1:11">
      <c r="A32" s="103" t="s">
        <v>7</v>
      </c>
      <c r="B32" s="3" t="s">
        <v>66</v>
      </c>
      <c r="C32" s="6" t="s">
        <v>101</v>
      </c>
      <c r="D32" s="8" t="s">
        <v>346</v>
      </c>
      <c r="E32" s="80">
        <f>38083835163+1905516+0.576167529+140346+842076</f>
        <v>38086723101.576164</v>
      </c>
      <c r="F32" s="79">
        <f>E32/SUM(E$32:E$69)</f>
        <v>1.5101669512348663E-2</v>
      </c>
      <c r="H32" s="4"/>
      <c r="I32" s="4"/>
      <c r="J32" s="5"/>
      <c r="K32" s="4"/>
    </row>
    <row r="33" spans="1:11">
      <c r="A33" s="103"/>
      <c r="B33" s="3" t="s">
        <v>67</v>
      </c>
      <c r="C33" s="6" t="s">
        <v>102</v>
      </c>
      <c r="D33" s="8" t="s">
        <v>347</v>
      </c>
      <c r="E33" s="80">
        <f>80089219699+14477757+2637584856+3563699274+3929688+4647848091+8936068965</f>
        <v>99892828330</v>
      </c>
      <c r="F33" s="79">
        <f t="shared" ref="F33:F69" si="4">E33/SUM(E$32:E$69)</f>
        <v>3.9608250782567606E-2</v>
      </c>
      <c r="H33" s="4"/>
      <c r="I33" s="4"/>
      <c r="J33" s="5"/>
      <c r="K33" s="4"/>
    </row>
    <row r="34" spans="1:11">
      <c r="A34" s="103"/>
      <c r="B34" s="3" t="s">
        <v>68</v>
      </c>
      <c r="C34" s="6" t="s">
        <v>103</v>
      </c>
      <c r="D34" s="8" t="s">
        <v>348</v>
      </c>
      <c r="E34" s="80">
        <f>197702+3816356+5894532+3844661373+1936259865+0.067893</f>
        <v>5790829828.067893</v>
      </c>
      <c r="F34" s="79">
        <f t="shared" si="4"/>
        <v>2.2961071770995472E-3</v>
      </c>
      <c r="H34" s="4"/>
      <c r="I34" s="4"/>
      <c r="J34" s="5"/>
      <c r="K34" s="4"/>
    </row>
    <row r="35" spans="1:11">
      <c r="A35" s="103"/>
      <c r="B35" s="3" t="s">
        <v>69</v>
      </c>
      <c r="C35" s="6" t="s">
        <v>100</v>
      </c>
      <c r="D35" s="8" t="s">
        <v>349</v>
      </c>
      <c r="E35" s="80">
        <f>1387941687+10527507958+7412363423</f>
        <v>19327813068</v>
      </c>
      <c r="F35" s="79">
        <f t="shared" si="4"/>
        <v>7.6636219023345324E-3</v>
      </c>
      <c r="H35" s="4"/>
      <c r="I35" s="4"/>
      <c r="J35" s="5"/>
      <c r="K35" s="4"/>
    </row>
    <row r="36" spans="1:11">
      <c r="A36" s="103"/>
      <c r="B36" s="3" t="s">
        <v>70</v>
      </c>
      <c r="C36" s="6" t="s">
        <v>97</v>
      </c>
      <c r="D36" s="8" t="s">
        <v>350</v>
      </c>
      <c r="E36" s="60">
        <f>4615435215+115312916066+0.048495+150822801+280692+0.68842+0.68842+22473454899</f>
        <v>142552909674.42532</v>
      </c>
      <c r="F36" s="79">
        <f t="shared" si="4"/>
        <v>5.6523290916507644E-2</v>
      </c>
      <c r="H36" s="4"/>
      <c r="I36" s="4"/>
      <c r="J36" s="5"/>
      <c r="K36" s="4"/>
    </row>
    <row r="37" spans="1:11">
      <c r="A37" s="103"/>
      <c r="B37" s="3" t="s">
        <v>71</v>
      </c>
      <c r="C37" s="6" t="s">
        <v>98</v>
      </c>
      <c r="D37" s="8" t="s">
        <v>351</v>
      </c>
      <c r="E37" s="80">
        <f>120799570485+3540648888</f>
        <v>124340219373</v>
      </c>
      <c r="F37" s="79">
        <f t="shared" si="4"/>
        <v>4.9301823500438428E-2</v>
      </c>
      <c r="H37" s="4"/>
      <c r="I37" s="4"/>
      <c r="J37" s="5"/>
      <c r="K37" s="4"/>
    </row>
    <row r="38" spans="1:11">
      <c r="A38" s="103"/>
      <c r="B38" s="3" t="s">
        <v>72</v>
      </c>
      <c r="C38" s="6" t="s">
        <v>95</v>
      </c>
      <c r="D38" s="8" t="s">
        <v>352</v>
      </c>
      <c r="H38" s="4"/>
      <c r="I38" s="4"/>
      <c r="J38" s="5"/>
      <c r="K38" s="4"/>
    </row>
    <row r="39" spans="1:11">
      <c r="A39" s="103"/>
      <c r="B39" s="3" t="s">
        <v>73</v>
      </c>
      <c r="C39" s="6" t="s">
        <v>96</v>
      </c>
      <c r="D39" s="8" t="s">
        <v>353</v>
      </c>
      <c r="E39" s="80">
        <v>2144730171</v>
      </c>
      <c r="F39" s="79">
        <f t="shared" si="4"/>
        <v>8.504014942221339E-4</v>
      </c>
      <c r="H39" s="4"/>
      <c r="I39" s="4"/>
      <c r="J39" s="5"/>
      <c r="K39" s="4"/>
    </row>
    <row r="40" spans="1:11">
      <c r="A40" s="103"/>
      <c r="B40" s="3" t="s">
        <v>74</v>
      </c>
      <c r="C40" s="6" t="s">
        <v>99</v>
      </c>
      <c r="D40" s="8" t="s">
        <v>354</v>
      </c>
      <c r="H40" s="4"/>
      <c r="I40" s="4"/>
      <c r="J40" s="5"/>
      <c r="K40" s="4"/>
    </row>
    <row r="41" spans="1:11">
      <c r="A41" s="103"/>
      <c r="B41" s="3" t="s">
        <v>75</v>
      </c>
      <c r="C41" s="6" t="s">
        <v>93</v>
      </c>
      <c r="D41" s="8" t="s">
        <v>355</v>
      </c>
      <c r="E41" s="80">
        <f>39712948965+138566708944+1420736974+79724982255</f>
        <v>259425377138</v>
      </c>
      <c r="F41" s="79">
        <f t="shared" si="4"/>
        <v>0.10286409513903175</v>
      </c>
      <c r="H41" s="4"/>
      <c r="I41" s="4"/>
      <c r="J41" s="5"/>
      <c r="K41" s="4"/>
    </row>
    <row r="42" spans="1:11">
      <c r="A42" s="103"/>
      <c r="B42" s="3" t="s">
        <v>76</v>
      </c>
      <c r="C42" s="6" t="s">
        <v>94</v>
      </c>
      <c r="D42" s="8" t="s">
        <v>356</v>
      </c>
      <c r="E42" s="60">
        <f>74820368653+58821540614+6710426772+5520276+0.33219075</f>
        <v>140357856315.33218</v>
      </c>
      <c r="F42" s="79">
        <f t="shared" si="4"/>
        <v>5.565293590322419E-2</v>
      </c>
      <c r="H42" s="4"/>
      <c r="I42" s="4"/>
      <c r="J42" s="5"/>
      <c r="K42" s="4"/>
    </row>
    <row r="43" spans="1:11">
      <c r="A43" s="103"/>
      <c r="B43" s="3" t="s">
        <v>77</v>
      </c>
      <c r="C43" s="6" t="s">
        <v>92</v>
      </c>
      <c r="D43" s="8" t="s">
        <v>357</v>
      </c>
      <c r="E43" s="80">
        <v>23391</v>
      </c>
      <c r="F43" s="79">
        <f t="shared" si="4"/>
        <v>9.2747057976413086E-9</v>
      </c>
      <c r="H43" s="4"/>
      <c r="I43" s="4"/>
      <c r="J43" s="5"/>
      <c r="K43" s="4"/>
    </row>
    <row r="44" spans="1:11">
      <c r="A44" s="103"/>
      <c r="B44" s="3" t="s">
        <v>78</v>
      </c>
      <c r="C44" s="6" t="s">
        <v>91</v>
      </c>
      <c r="D44" s="8" t="s">
        <v>358</v>
      </c>
      <c r="E44" s="60">
        <f>101182375235+27037009284+42837051304+67080961023</f>
        <v>238137396846</v>
      </c>
      <c r="F44" s="79">
        <f t="shared" si="4"/>
        <v>9.4423252326228252E-2</v>
      </c>
      <c r="J44" s="10"/>
    </row>
    <row r="45" spans="1:11">
      <c r="A45" s="103"/>
      <c r="B45" s="3" t="s">
        <v>79</v>
      </c>
      <c r="C45" s="6" t="s">
        <v>90</v>
      </c>
      <c r="D45" s="8" t="s">
        <v>359</v>
      </c>
      <c r="J45" s="10"/>
    </row>
    <row r="46" spans="1:11">
      <c r="A46" s="103"/>
      <c r="B46" s="3" t="s">
        <v>80</v>
      </c>
      <c r="C46" s="6" t="s">
        <v>89</v>
      </c>
      <c r="D46" s="8" t="s">
        <v>360</v>
      </c>
      <c r="J46" s="10"/>
    </row>
    <row r="47" spans="1:11">
      <c r="A47" s="103"/>
      <c r="B47" s="3" t="s">
        <v>81</v>
      </c>
      <c r="C47" s="6" t="s">
        <v>88</v>
      </c>
      <c r="D47" s="8" t="s">
        <v>361</v>
      </c>
      <c r="E47" s="80">
        <f>22928848738+116908218+1122768</f>
        <v>23046879724</v>
      </c>
      <c r="F47" s="79">
        <f t="shared" si="4"/>
        <v>9.1382595440008853E-3</v>
      </c>
      <c r="J47" s="10"/>
    </row>
    <row r="48" spans="1:11">
      <c r="A48" s="103"/>
      <c r="B48" s="3" t="s">
        <v>82</v>
      </c>
      <c r="C48" s="6" t="s">
        <v>87</v>
      </c>
      <c r="D48" s="8" t="s">
        <v>362</v>
      </c>
      <c r="J48" s="10"/>
    </row>
    <row r="49" spans="1:10">
      <c r="A49" s="103"/>
      <c r="B49" s="3" t="s">
        <v>83</v>
      </c>
      <c r="C49" s="6" t="s">
        <v>86</v>
      </c>
      <c r="D49" s="8" t="s">
        <v>363</v>
      </c>
      <c r="E49" s="60">
        <f>39070667388+51692390322+15157368+7244500641+25026128445</f>
        <v>123048844164</v>
      </c>
      <c r="F49" s="79">
        <f t="shared" si="4"/>
        <v>4.8789783607409376E-2</v>
      </c>
      <c r="J49" s="10"/>
    </row>
    <row r="50" spans="1:10">
      <c r="A50" s="103"/>
      <c r="B50" s="3" t="s">
        <v>84</v>
      </c>
      <c r="C50" s="6" t="s">
        <v>85</v>
      </c>
      <c r="D50" s="8" t="s">
        <v>364</v>
      </c>
      <c r="J50" s="10"/>
    </row>
    <row r="51" spans="1:10">
      <c r="A51" s="103"/>
      <c r="B51" s="3" t="s">
        <v>85</v>
      </c>
      <c r="C51" s="6" t="s">
        <v>84</v>
      </c>
      <c r="D51" s="8" t="s">
        <v>365</v>
      </c>
      <c r="E51" s="80">
        <f>755280528+0.145485+0.693744+0.1946385</f>
        <v>755280529.03386748</v>
      </c>
      <c r="F51" s="79">
        <f t="shared" si="4"/>
        <v>2.9947435772203004E-4</v>
      </c>
      <c r="J51" s="10"/>
    </row>
    <row r="52" spans="1:10">
      <c r="A52" s="103"/>
      <c r="B52" s="3" t="s">
        <v>86</v>
      </c>
      <c r="C52" s="6" t="s">
        <v>83</v>
      </c>
      <c r="D52" s="8" t="s">
        <v>366</v>
      </c>
      <c r="E52" s="80">
        <f>40828723491+86572885228+0.39096669</f>
        <v>127401608719.39096</v>
      </c>
      <c r="F52" s="79">
        <f t="shared" si="4"/>
        <v>5.0515687188173432E-2</v>
      </c>
      <c r="J52" s="10"/>
    </row>
    <row r="53" spans="1:10">
      <c r="A53" s="103"/>
      <c r="B53" s="3" t="s">
        <v>87</v>
      </c>
      <c r="C53" s="6" t="s">
        <v>82</v>
      </c>
      <c r="D53" s="8" t="s">
        <v>367</v>
      </c>
      <c r="E53" s="80">
        <v>2458914</v>
      </c>
      <c r="F53" s="79">
        <f t="shared" si="4"/>
        <v>9.7497772355612749E-7</v>
      </c>
      <c r="J53" s="10"/>
    </row>
    <row r="54" spans="1:10">
      <c r="A54" s="103"/>
      <c r="B54" s="3" t="s">
        <v>88</v>
      </c>
      <c r="C54" s="6" t="s">
        <v>81</v>
      </c>
      <c r="D54" s="8" t="s">
        <v>368</v>
      </c>
      <c r="E54" s="80">
        <f>1996418+66447893856+10702282+12959008+25819212543+13440367932</f>
        <v>105733132039</v>
      </c>
      <c r="F54" s="79">
        <f t="shared" si="4"/>
        <v>4.192397472211052E-2</v>
      </c>
      <c r="J54" s="10"/>
    </row>
    <row r="55" spans="1:10">
      <c r="A55" s="103"/>
      <c r="B55" s="3" t="s">
        <v>89</v>
      </c>
      <c r="C55" s="6" t="s">
        <v>78</v>
      </c>
      <c r="D55" s="8" t="s">
        <v>369</v>
      </c>
      <c r="E55" s="80">
        <f>661805+19887849813+13897905+2461669395+1172502411+3051325963</f>
        <v>26587907292</v>
      </c>
      <c r="F55" s="79">
        <f t="shared" si="4"/>
        <v>1.0542303360619983E-2</v>
      </c>
      <c r="J55" s="10"/>
    </row>
    <row r="56" spans="1:10">
      <c r="A56" s="103"/>
      <c r="B56" s="3" t="s">
        <v>90</v>
      </c>
      <c r="C56" s="6" t="s">
        <v>77</v>
      </c>
      <c r="D56" s="8" t="s">
        <v>370</v>
      </c>
      <c r="E56" s="60">
        <f>49546861398+68842+33997223782+4580172335+6817676061+0.166299054+826104+6268788+22441115125+6933703955+275368+187128+36165250008+137684</f>
        <v>160489766578.16632</v>
      </c>
      <c r="F56" s="79">
        <f t="shared" si="4"/>
        <v>6.3635388335027118E-2</v>
      </c>
      <c r="J56" s="10"/>
    </row>
    <row r="57" spans="1:10">
      <c r="A57" s="103"/>
      <c r="B57" s="3" t="s">
        <v>91</v>
      </c>
      <c r="C57" s="6" t="s">
        <v>76</v>
      </c>
      <c r="D57" s="8" t="s">
        <v>371</v>
      </c>
      <c r="E57" s="80">
        <f>17869581468+9709786884</f>
        <v>27579368352</v>
      </c>
      <c r="F57" s="79">
        <f t="shared" si="4"/>
        <v>1.0935425058765321E-2</v>
      </c>
      <c r="J57" s="10"/>
    </row>
    <row r="58" spans="1:10">
      <c r="A58" s="103"/>
      <c r="B58" s="3" t="s">
        <v>92</v>
      </c>
      <c r="C58" s="6" t="s">
        <v>79</v>
      </c>
      <c r="D58" s="8" t="s">
        <v>372</v>
      </c>
      <c r="E58" s="80">
        <f>206526+2903366856+0.067893</f>
        <v>2903573382.067893</v>
      </c>
      <c r="F58" s="79">
        <f t="shared" si="4"/>
        <v>1.1512884819179202E-3</v>
      </c>
      <c r="J58" s="10"/>
    </row>
    <row r="59" spans="1:10">
      <c r="A59" s="103"/>
      <c r="B59" s="3" t="s">
        <v>93</v>
      </c>
      <c r="C59" s="6" t="s">
        <v>80</v>
      </c>
      <c r="D59" s="8" t="s">
        <v>373</v>
      </c>
      <c r="E59" s="80">
        <f>20796193695+4353084861+3041268466+281578+4116816+9150034+7415775138+1245624629+0.145485</f>
        <v>36865495217.145485</v>
      </c>
      <c r="F59" s="79">
        <f t="shared" si="4"/>
        <v>1.4617443556212951E-2</v>
      </c>
      <c r="J59" s="10"/>
    </row>
    <row r="60" spans="1:10">
      <c r="A60" s="103"/>
      <c r="B60" s="3" t="s">
        <v>94</v>
      </c>
      <c r="C60" s="6" t="s">
        <v>75</v>
      </c>
      <c r="D60" s="8" t="s">
        <v>374</v>
      </c>
      <c r="E60" s="80">
        <f>14824259139+187128+5422314122+187128+0.794166</f>
        <v>20246947517.794167</v>
      </c>
      <c r="F60" s="79">
        <f t="shared" si="4"/>
        <v>8.0280655605927433E-3</v>
      </c>
      <c r="J60" s="10"/>
    </row>
    <row r="61" spans="1:10">
      <c r="A61" s="103"/>
      <c r="B61" s="3" t="s">
        <v>95</v>
      </c>
      <c r="C61" s="6" t="s">
        <v>73</v>
      </c>
      <c r="D61" s="8" t="s">
        <v>375</v>
      </c>
      <c r="J61" s="10"/>
    </row>
    <row r="62" spans="1:10">
      <c r="A62" s="103"/>
      <c r="B62" s="3" t="s">
        <v>96</v>
      </c>
      <c r="C62" s="6" t="s">
        <v>74</v>
      </c>
      <c r="D62" s="8" t="s">
        <v>376</v>
      </c>
      <c r="E62" s="80">
        <f>67108651668+8559835464+4405888+1751096+3308212+2448054054+374256+1590588</f>
        <v>78127971226</v>
      </c>
      <c r="F62" s="79">
        <f t="shared" si="4"/>
        <v>3.0978322760366616E-2</v>
      </c>
      <c r="J62" s="10"/>
    </row>
    <row r="63" spans="1:10">
      <c r="A63" s="103"/>
      <c r="B63" s="3" t="s">
        <v>97</v>
      </c>
      <c r="C63" s="6" t="s">
        <v>72</v>
      </c>
      <c r="D63" s="8" t="s">
        <v>377</v>
      </c>
      <c r="J63" s="10"/>
    </row>
    <row r="64" spans="1:10">
      <c r="A64" s="103"/>
      <c r="B64" s="3" t="s">
        <v>98</v>
      </c>
      <c r="C64" s="6" t="s">
        <v>69</v>
      </c>
      <c r="D64" s="8" t="s">
        <v>378</v>
      </c>
      <c r="E64" s="80">
        <f>1029204+6643204569+5701131+0.389385753</f>
        <v>6649934904.3893862</v>
      </c>
      <c r="F64" s="79">
        <f t="shared" si="4"/>
        <v>2.6367487414679807E-3</v>
      </c>
      <c r="J64" s="10"/>
    </row>
    <row r="65" spans="1:10">
      <c r="A65" s="103"/>
      <c r="B65" s="3" t="s">
        <v>99</v>
      </c>
      <c r="C65" s="6" t="s">
        <v>70</v>
      </c>
      <c r="D65" s="8" t="s">
        <v>379</v>
      </c>
      <c r="E65" s="60">
        <f>0.09699+11250685+15473093108+280692+0.875586924+7351604509+0.23391+0.46782+1445682+0.23391+0.46782+0.048495</f>
        <v>22837674678.424534</v>
      </c>
      <c r="F65" s="79">
        <f t="shared" si="4"/>
        <v>9.0553081845423499E-3</v>
      </c>
      <c r="J65" s="10"/>
    </row>
    <row r="66" spans="1:10">
      <c r="A66" s="103"/>
      <c r="B66" s="3" t="s">
        <v>100</v>
      </c>
      <c r="C66" s="6" t="s">
        <v>68</v>
      </c>
      <c r="D66" s="8" t="s">
        <v>380</v>
      </c>
      <c r="E66" s="60">
        <f>47840403712+17573050809</f>
        <v>65413454521</v>
      </c>
      <c r="F66" s="79">
        <f t="shared" si="4"/>
        <v>2.59369221448277E-2</v>
      </c>
      <c r="J66" s="10"/>
    </row>
    <row r="67" spans="1:10">
      <c r="A67" s="103"/>
      <c r="B67" s="3" t="s">
        <v>101</v>
      </c>
      <c r="C67" s="6" t="s">
        <v>71</v>
      </c>
      <c r="D67" s="8" t="s">
        <v>381</v>
      </c>
      <c r="E67" s="80">
        <f>312424626536+794166+33051647628+135555</f>
        <v>345477203885</v>
      </c>
      <c r="F67" s="79">
        <f t="shared" si="4"/>
        <v>0.1369842856579504</v>
      </c>
      <c r="J67" s="10"/>
    </row>
    <row r="68" spans="1:10">
      <c r="A68" s="103"/>
      <c r="B68" s="3" t="s">
        <v>102</v>
      </c>
      <c r="C68" s="6" t="s">
        <v>67</v>
      </c>
      <c r="D68" s="8" t="s">
        <v>382</v>
      </c>
      <c r="E68" s="80">
        <f>481894+2879952+39962885005+7248603318</f>
        <v>47214850169</v>
      </c>
      <c r="F68" s="79">
        <f t="shared" si="4"/>
        <v>1.8721039912666836E-2</v>
      </c>
      <c r="J68" s="10"/>
    </row>
    <row r="69" spans="1:10">
      <c r="A69" s="103"/>
      <c r="B69" s="3" t="s">
        <v>103</v>
      </c>
      <c r="C69" s="6" t="s">
        <v>66</v>
      </c>
      <c r="D69" s="8" t="s">
        <v>383</v>
      </c>
      <c r="E69" s="80">
        <f>46425053664+167278139996+4428841842+11982146037+4500274+0.46782+0.070173+1459777092+3181176+0.46782</f>
        <v>231581640082.00583</v>
      </c>
      <c r="F69" s="79">
        <f t="shared" si="4"/>
        <v>9.1823845919193806E-2</v>
      </c>
      <c r="J69" s="10"/>
    </row>
    <row r="70" spans="1:10">
      <c r="A70" s="50" t="s">
        <v>623</v>
      </c>
      <c r="B70" s="3" t="s">
        <v>384</v>
      </c>
      <c r="C70" s="6" t="s">
        <v>384</v>
      </c>
      <c r="D70" s="8" t="s">
        <v>385</v>
      </c>
      <c r="E70" s="80">
        <f>654948+0.067893</f>
        <v>654948.06789299997</v>
      </c>
      <c r="F70" s="79">
        <v>1</v>
      </c>
      <c r="J70" s="10"/>
    </row>
    <row r="71" spans="1:10">
      <c r="A71" s="103" t="s">
        <v>8</v>
      </c>
      <c r="B71" s="3" t="s">
        <v>104</v>
      </c>
      <c r="C71" s="6" t="s">
        <v>106</v>
      </c>
      <c r="D71" s="8" t="s">
        <v>386</v>
      </c>
      <c r="J71" s="10"/>
    </row>
    <row r="72" spans="1:10">
      <c r="A72" s="103"/>
      <c r="B72" s="3" t="s">
        <v>105</v>
      </c>
      <c r="C72" s="6" t="s">
        <v>105</v>
      </c>
      <c r="D72" s="8" t="s">
        <v>387</v>
      </c>
      <c r="J72" s="10"/>
    </row>
    <row r="73" spans="1:10">
      <c r="A73" s="103"/>
      <c r="B73" s="3" t="s">
        <v>106</v>
      </c>
      <c r="C73" s="6" t="s">
        <v>104</v>
      </c>
      <c r="D73" s="8" t="s">
        <v>388</v>
      </c>
      <c r="J73" s="10"/>
    </row>
    <row r="74" spans="1:10">
      <c r="A74" s="103" t="s">
        <v>9</v>
      </c>
      <c r="B74" s="3" t="s">
        <v>107</v>
      </c>
      <c r="C74" s="6" t="s">
        <v>114</v>
      </c>
      <c r="D74" s="8" t="s">
        <v>389</v>
      </c>
      <c r="E74" s="80">
        <f>6942616747+661805</f>
        <v>6943278552</v>
      </c>
      <c r="F74" s="79">
        <f>E74/SUM(E$74:E$86)</f>
        <v>0.29625706149858827</v>
      </c>
      <c r="J74" s="10"/>
    </row>
    <row r="75" spans="1:10">
      <c r="A75" s="103"/>
      <c r="B75" s="3" t="s">
        <v>108</v>
      </c>
      <c r="C75" s="6" t="s">
        <v>390</v>
      </c>
      <c r="D75" s="8" t="s">
        <v>391</v>
      </c>
      <c r="J75" s="10"/>
    </row>
    <row r="76" spans="1:10">
      <c r="A76" s="103"/>
      <c r="B76" s="3" t="s">
        <v>109</v>
      </c>
      <c r="C76" s="6" t="s">
        <v>392</v>
      </c>
      <c r="D76" s="8" t="s">
        <v>393</v>
      </c>
    </row>
    <row r="77" spans="1:10">
      <c r="A77" s="103"/>
      <c r="B77" s="3" t="s">
        <v>110</v>
      </c>
      <c r="C77" s="6" t="s">
        <v>394</v>
      </c>
      <c r="D77" s="8" t="s">
        <v>395</v>
      </c>
    </row>
    <row r="78" spans="1:10">
      <c r="A78" s="103"/>
      <c r="B78" s="3" t="s">
        <v>111</v>
      </c>
      <c r="C78" s="6" t="s">
        <v>115</v>
      </c>
      <c r="D78" s="8" t="s">
        <v>396</v>
      </c>
      <c r="E78" s="60">
        <f>2016335412+6967214</f>
        <v>2023302626</v>
      </c>
      <c r="F78" s="79">
        <f t="shared" ref="F78:F86" si="5">E78/SUM(E$74:E$86)</f>
        <v>8.6330641355080867E-2</v>
      </c>
    </row>
    <row r="79" spans="1:10">
      <c r="A79" s="103"/>
      <c r="B79" s="3" t="s">
        <v>112</v>
      </c>
      <c r="C79" s="6" t="s">
        <v>110</v>
      </c>
      <c r="D79" s="8" t="s">
        <v>397</v>
      </c>
      <c r="E79" s="60">
        <f>0.48650184+5968121854+3044303+1779999276+0.280692</f>
        <v>7751165433.7671938</v>
      </c>
      <c r="F79" s="79">
        <f t="shared" si="5"/>
        <v>0.33072812467473928</v>
      </c>
    </row>
    <row r="80" spans="1:10">
      <c r="A80" s="103"/>
      <c r="B80" s="3" t="s">
        <v>113</v>
      </c>
      <c r="C80" s="6" t="s">
        <v>112</v>
      </c>
      <c r="D80" s="8" t="s">
        <v>398</v>
      </c>
    </row>
    <row r="81" spans="1:6">
      <c r="A81" s="103"/>
      <c r="B81" s="3" t="s">
        <v>114</v>
      </c>
      <c r="C81" s="6" t="s">
        <v>111</v>
      </c>
      <c r="D81" s="8" t="s">
        <v>399</v>
      </c>
    </row>
    <row r="82" spans="1:6">
      <c r="A82" s="103"/>
      <c r="B82" s="3" t="s">
        <v>115</v>
      </c>
      <c r="C82" s="6" t="s">
        <v>107</v>
      </c>
      <c r="D82" s="8" t="s">
        <v>400</v>
      </c>
      <c r="E82" s="80">
        <v>2378511543</v>
      </c>
      <c r="F82" s="79">
        <f t="shared" si="5"/>
        <v>0.10148675948866831</v>
      </c>
    </row>
    <row r="83" spans="1:6">
      <c r="A83" s="103"/>
      <c r="C83" s="6" t="s">
        <v>401</v>
      </c>
      <c r="D83" s="8" t="s">
        <v>402</v>
      </c>
    </row>
    <row r="84" spans="1:6">
      <c r="A84" s="103"/>
      <c r="C84" s="6" t="s">
        <v>113</v>
      </c>
      <c r="D84" s="8" t="s">
        <v>403</v>
      </c>
      <c r="E84" s="80">
        <v>132361</v>
      </c>
      <c r="F84" s="79">
        <f t="shared" si="5"/>
        <v>5.6476030197174564E-6</v>
      </c>
    </row>
    <row r="85" spans="1:6">
      <c r="A85" s="103"/>
      <c r="C85" s="6" t="s">
        <v>108</v>
      </c>
      <c r="D85" s="8" t="s">
        <v>404</v>
      </c>
      <c r="E85" s="80">
        <f>3719332461+620945559</f>
        <v>4340278020</v>
      </c>
      <c r="F85" s="79">
        <f t="shared" si="5"/>
        <v>0.18519176533998158</v>
      </c>
    </row>
    <row r="86" spans="1:6">
      <c r="A86" s="103"/>
      <c r="C86" s="6" t="s">
        <v>109</v>
      </c>
      <c r="D86" s="8" t="s">
        <v>405</v>
      </c>
      <c r="E86" s="60">
        <v>0.93564000000000003</v>
      </c>
      <c r="F86" s="79">
        <f t="shared" si="5"/>
        <v>3.9922056265580049E-11</v>
      </c>
    </row>
    <row r="87" spans="1:6">
      <c r="A87" s="103" t="s">
        <v>10</v>
      </c>
      <c r="B87" s="3" t="s">
        <v>116</v>
      </c>
      <c r="C87" s="6" t="s">
        <v>120</v>
      </c>
      <c r="D87" s="8" t="s">
        <v>406</v>
      </c>
      <c r="E87" s="60">
        <v>280692</v>
      </c>
      <c r="F87" s="79">
        <f>E87/SUM(E$87:E$105)</f>
        <v>6.8203756664432907E-7</v>
      </c>
    </row>
    <row r="88" spans="1:6">
      <c r="A88" s="103"/>
      <c r="B88" s="3" t="s">
        <v>117</v>
      </c>
      <c r="C88" s="6" t="s">
        <v>117</v>
      </c>
      <c r="D88" s="8" t="s">
        <v>407</v>
      </c>
    </row>
    <row r="89" spans="1:6">
      <c r="A89" s="103"/>
      <c r="B89" s="3" t="s">
        <v>118</v>
      </c>
      <c r="C89" s="6" t="s">
        <v>128</v>
      </c>
      <c r="D89" s="8" t="s">
        <v>408</v>
      </c>
    </row>
    <row r="90" spans="1:6">
      <c r="A90" s="103"/>
      <c r="B90" s="3" t="s">
        <v>119</v>
      </c>
      <c r="C90" s="6" t="s">
        <v>118</v>
      </c>
      <c r="D90" s="8" t="s">
        <v>409</v>
      </c>
      <c r="E90" s="80">
        <f>55414818027+374256+116786428916+3679837065+826104+5668287955+82813594348</f>
        <v>264364166671</v>
      </c>
      <c r="F90" s="79">
        <f t="shared" ref="F90:F105" si="6">E90/SUM(E$87:E$105)</f>
        <v>0.64236349074517507</v>
      </c>
    </row>
    <row r="91" spans="1:6">
      <c r="A91" s="103"/>
      <c r="B91" s="3" t="s">
        <v>120</v>
      </c>
      <c r="C91" s="6" t="s">
        <v>123</v>
      </c>
      <c r="D91" s="8" t="s">
        <v>410</v>
      </c>
      <c r="E91" s="80">
        <f>235695399+1071807393+23163175+397083</f>
        <v>1331063050</v>
      </c>
      <c r="F91" s="79">
        <f t="shared" si="6"/>
        <v>3.2342745916241963E-3</v>
      </c>
    </row>
    <row r="92" spans="1:6">
      <c r="A92" s="103"/>
      <c r="B92" s="3" t="s">
        <v>121</v>
      </c>
      <c r="C92" s="6" t="s">
        <v>119</v>
      </c>
      <c r="D92" s="8" t="s">
        <v>411</v>
      </c>
    </row>
    <row r="93" spans="1:6">
      <c r="A93" s="103"/>
      <c r="B93" s="3" t="s">
        <v>122</v>
      </c>
      <c r="C93" s="6" t="s">
        <v>129</v>
      </c>
      <c r="D93" s="8" t="s">
        <v>412</v>
      </c>
      <c r="E93" s="80">
        <f>4321847088+9271090728+926527</f>
        <v>13593864343</v>
      </c>
      <c r="F93" s="79">
        <f t="shared" si="6"/>
        <v>3.3030959762988726E-2</v>
      </c>
    </row>
    <row r="94" spans="1:6">
      <c r="A94" s="103"/>
      <c r="B94" s="3" t="s">
        <v>123</v>
      </c>
      <c r="C94" s="6" t="s">
        <v>124</v>
      </c>
      <c r="D94" s="8" t="s">
        <v>413</v>
      </c>
      <c r="E94" s="60">
        <f>0.2619792+48661481313</f>
        <v>48661481313.261978</v>
      </c>
      <c r="F94" s="79">
        <f t="shared" si="6"/>
        <v>0.11823977279083725</v>
      </c>
    </row>
    <row r="95" spans="1:6">
      <c r="A95" s="103"/>
      <c r="B95" s="3" t="s">
        <v>124</v>
      </c>
      <c r="C95" s="6" t="s">
        <v>126</v>
      </c>
      <c r="D95" s="8" t="s">
        <v>414</v>
      </c>
      <c r="E95" s="80">
        <f>4030641951+0.695912949</f>
        <v>4030641951.6959128</v>
      </c>
      <c r="F95" s="79">
        <f t="shared" si="6"/>
        <v>9.7938282129495305E-3</v>
      </c>
    </row>
    <row r="96" spans="1:6">
      <c r="A96" s="103"/>
      <c r="B96" s="3" t="s">
        <v>125</v>
      </c>
      <c r="C96" s="6" t="s">
        <v>127</v>
      </c>
      <c r="D96" s="8" t="s">
        <v>415</v>
      </c>
      <c r="E96" s="60">
        <v>0.92652699999999999</v>
      </c>
      <c r="F96" s="79">
        <f t="shared" si="6"/>
        <v>2.2513153937777717E-12</v>
      </c>
    </row>
    <row r="97" spans="1:6">
      <c r="A97" s="103"/>
      <c r="B97" s="3" t="s">
        <v>126</v>
      </c>
      <c r="C97" s="6" t="s">
        <v>121</v>
      </c>
      <c r="D97" s="8" t="s">
        <v>416</v>
      </c>
    </row>
    <row r="98" spans="1:6">
      <c r="A98" s="103"/>
      <c r="B98" s="3" t="s">
        <v>127</v>
      </c>
      <c r="C98" s="6" t="s">
        <v>125</v>
      </c>
      <c r="D98" s="8" t="s">
        <v>417</v>
      </c>
      <c r="E98" s="80">
        <f>5144689946+169236186+140346+20239548+8932697555+0.963788+0.135786+1369954653+1588332+5956245+1509979116+4135495587+4135495587+3087612+2911942+7217548456+8606125163+20660291307+3441386+7292992014</f>
        <v>69211870982.099579</v>
      </c>
      <c r="F98" s="79">
        <f t="shared" si="6"/>
        <v>0.1681739987870422</v>
      </c>
    </row>
    <row r="99" spans="1:6">
      <c r="A99" s="103"/>
      <c r="B99" s="3" t="s">
        <v>128</v>
      </c>
      <c r="C99" s="6" t="s">
        <v>122</v>
      </c>
      <c r="D99" s="8" t="s">
        <v>418</v>
      </c>
      <c r="E99" s="80">
        <f>34421+10321770567+2752916</f>
        <v>10324557904</v>
      </c>
      <c r="F99" s="79">
        <f t="shared" si="6"/>
        <v>2.5087057520423221E-2</v>
      </c>
    </row>
    <row r="100" spans="1:6">
      <c r="A100" s="103"/>
      <c r="B100" s="3" t="s">
        <v>129</v>
      </c>
      <c r="C100" s="6" t="s">
        <v>419</v>
      </c>
      <c r="D100" s="8" t="s">
        <v>420</v>
      </c>
    </row>
    <row r="101" spans="1:6">
      <c r="A101" s="103"/>
      <c r="B101" s="3" t="s">
        <v>130</v>
      </c>
      <c r="C101" s="6" t="s">
        <v>130</v>
      </c>
      <c r="D101" s="8" t="s">
        <v>421</v>
      </c>
      <c r="E101" s="60">
        <f>0.126087+31251212</f>
        <v>31251212.126086999</v>
      </c>
      <c r="F101" s="79">
        <f t="shared" si="6"/>
        <v>7.5935547408412514E-5</v>
      </c>
    </row>
    <row r="102" spans="1:6">
      <c r="A102" s="103"/>
      <c r="C102" s="6" t="s">
        <v>116</v>
      </c>
      <c r="D102" s="8" t="s">
        <v>422</v>
      </c>
    </row>
    <row r="103" spans="1:6">
      <c r="A103" s="103"/>
      <c r="C103" s="6" t="s">
        <v>423</v>
      </c>
      <c r="D103" s="8" t="s">
        <v>424</v>
      </c>
    </row>
    <row r="104" spans="1:6">
      <c r="A104" s="103"/>
      <c r="C104" s="6" t="s">
        <v>425</v>
      </c>
      <c r="D104" s="8" t="s">
        <v>426</v>
      </c>
    </row>
    <row r="105" spans="1:6">
      <c r="A105" s="103"/>
      <c r="C105" s="6" t="s">
        <v>427</v>
      </c>
      <c r="D105" s="8" t="s">
        <v>428</v>
      </c>
      <c r="E105" s="60">
        <v>0.71340367999999998</v>
      </c>
      <c r="F105" s="79">
        <f t="shared" si="6"/>
        <v>1.7334591293742236E-12</v>
      </c>
    </row>
    <row r="106" spans="1:6">
      <c r="A106" s="103" t="s">
        <v>11</v>
      </c>
      <c r="B106" s="3" t="s">
        <v>131</v>
      </c>
      <c r="C106" s="6" t="s">
        <v>132</v>
      </c>
      <c r="D106" s="8" t="s">
        <v>429</v>
      </c>
      <c r="E106" s="60">
        <v>0.84207600000000005</v>
      </c>
      <c r="F106" s="79">
        <f t="shared" ref="F106:F108" si="7">E106/SUM(E$106:E$132)</f>
        <v>1.9005231747910855E-12</v>
      </c>
    </row>
    <row r="107" spans="1:6">
      <c r="A107" s="103"/>
      <c r="B107" s="3" t="s">
        <v>132</v>
      </c>
      <c r="C107" s="6" t="s">
        <v>143</v>
      </c>
      <c r="D107" s="8" t="s">
        <v>430</v>
      </c>
      <c r="E107" s="80">
        <f>926527+21192357483+0.586217259+4632635+1180336071</f>
        <v>22378252716.586216</v>
      </c>
      <c r="F107" s="79">
        <f t="shared" si="7"/>
        <v>5.0506590734332377E-2</v>
      </c>
    </row>
    <row r="108" spans="1:6">
      <c r="A108" s="103"/>
      <c r="B108" s="3" t="s">
        <v>133</v>
      </c>
      <c r="C108" s="6" t="s">
        <v>141</v>
      </c>
      <c r="D108" s="8" t="s">
        <v>431</v>
      </c>
      <c r="E108" s="80">
        <v>5759325</v>
      </c>
      <c r="F108" s="79">
        <f t="shared" si="7"/>
        <v>1.2998506825575921E-5</v>
      </c>
    </row>
    <row r="109" spans="1:6">
      <c r="A109" s="103"/>
      <c r="B109" s="3" t="s">
        <v>134</v>
      </c>
      <c r="C109" s="6" t="s">
        <v>138</v>
      </c>
      <c r="D109" s="8" t="s">
        <v>432</v>
      </c>
      <c r="E109" s="80">
        <f>1583366+7448776473+481894</f>
        <v>7450841733</v>
      </c>
      <c r="F109" s="79">
        <f>E109/SUM(E$106:E$132)</f>
        <v>1.6816175007086147E-2</v>
      </c>
    </row>
    <row r="110" spans="1:6">
      <c r="A110" s="103"/>
      <c r="B110" s="3" t="s">
        <v>135</v>
      </c>
      <c r="C110" s="12" t="s">
        <v>145</v>
      </c>
      <c r="D110" s="13" t="s">
        <v>433</v>
      </c>
      <c r="E110" s="80">
        <f>114171746+8206382</f>
        <v>122378128</v>
      </c>
      <c r="F110" s="79">
        <f>E110/SUM(E$106:E$132)</f>
        <v>2.762012791619163E-4</v>
      </c>
    </row>
    <row r="111" spans="1:6">
      <c r="A111" s="103"/>
      <c r="B111" s="3" t="s">
        <v>136</v>
      </c>
      <c r="C111" s="12" t="s">
        <v>137</v>
      </c>
      <c r="D111" s="13" t="s">
        <v>434</v>
      </c>
      <c r="E111" s="60">
        <f>413052+2503845345+2805797232+3309025+34421+9300119835+30978376254+11120019144</f>
        <v>56711914308</v>
      </c>
      <c r="F111" s="79">
        <f>E111/SUM(E$106:E$132)</f>
        <v>0.12799593793092329</v>
      </c>
    </row>
    <row r="112" spans="1:6">
      <c r="A112" s="103"/>
      <c r="B112" s="3" t="s">
        <v>137</v>
      </c>
      <c r="C112" s="6" t="s">
        <v>134</v>
      </c>
      <c r="D112" s="8" t="s">
        <v>435</v>
      </c>
      <c r="E112" s="80">
        <f>18945744111+1402898616+15545779539+8061762717+3722007132+2032871604</f>
        <v>49711063719</v>
      </c>
      <c r="F112" s="79">
        <f>E112/SUM(E$106:E$132)</f>
        <v>0.1121953703008705</v>
      </c>
    </row>
    <row r="113" spans="1:6">
      <c r="A113" s="103"/>
      <c r="B113" s="3" t="s">
        <v>138</v>
      </c>
      <c r="C113" s="6" t="s">
        <v>151</v>
      </c>
      <c r="D113" s="8" t="s">
        <v>436</v>
      </c>
      <c r="E113" s="80">
        <f>25816312542+7385580106+8268644016+1379934924</f>
        <v>42850471588</v>
      </c>
      <c r="F113" s="79">
        <f t="shared" ref="F113:F126" si="8">E113/SUM(E$106:E$132)</f>
        <v>9.6711358955392346E-2</v>
      </c>
    </row>
    <row r="114" spans="1:6">
      <c r="A114" s="103"/>
      <c r="B114" s="3" t="s">
        <v>139</v>
      </c>
      <c r="C114" s="6" t="s">
        <v>133</v>
      </c>
      <c r="D114" s="8" t="s">
        <v>437</v>
      </c>
      <c r="E114" s="80">
        <f>661805+184466+327580101+4133487894+7385886096+1453424247+27856393938</f>
        <v>41157618547</v>
      </c>
      <c r="F114" s="79">
        <f t="shared" si="8"/>
        <v>9.2890674793943667E-2</v>
      </c>
    </row>
    <row r="115" spans="1:6">
      <c r="A115" s="103"/>
      <c r="B115" s="3" t="s">
        <v>140</v>
      </c>
      <c r="C115" s="6" t="s">
        <v>148</v>
      </c>
      <c r="D115" s="8" t="s">
        <v>438</v>
      </c>
      <c r="E115" s="80">
        <f>7038508086+4235552+30903402984</f>
        <v>37946146622</v>
      </c>
      <c r="F115" s="79">
        <f t="shared" si="8"/>
        <v>8.5642544199254544E-2</v>
      </c>
    </row>
    <row r="116" spans="1:6">
      <c r="A116" s="103"/>
      <c r="B116" s="3" t="s">
        <v>141</v>
      </c>
      <c r="C116" s="6" t="s">
        <v>135</v>
      </c>
      <c r="D116" s="8" t="s">
        <v>439</v>
      </c>
      <c r="E116" s="80">
        <f>1058888+713461874+2202944+722841+7645628+1588332+97252179268+4345542324+93564</f>
        <v>102324495663</v>
      </c>
      <c r="F116" s="79">
        <f t="shared" si="8"/>
        <v>0.23094123969373481</v>
      </c>
    </row>
    <row r="117" spans="1:6">
      <c r="A117" s="103"/>
      <c r="B117" s="3" t="s">
        <v>142</v>
      </c>
      <c r="C117" s="6" t="s">
        <v>136</v>
      </c>
      <c r="D117" s="8" t="s">
        <v>440</v>
      </c>
      <c r="E117" s="80">
        <f>4361768+5466848028+16543656928+10342245156</f>
        <v>32357111880</v>
      </c>
      <c r="F117" s="79">
        <f t="shared" si="8"/>
        <v>7.3028373920225667E-2</v>
      </c>
    </row>
    <row r="118" spans="1:6">
      <c r="A118" s="103"/>
      <c r="B118" s="3" t="s">
        <v>143</v>
      </c>
      <c r="C118" s="6" t="s">
        <v>140</v>
      </c>
      <c r="D118" s="8" t="s">
        <v>441</v>
      </c>
      <c r="E118" s="60">
        <v>0.280692</v>
      </c>
      <c r="F118" s="79">
        <f t="shared" si="8"/>
        <v>6.3350772493036183E-13</v>
      </c>
    </row>
    <row r="119" spans="1:6">
      <c r="A119" s="103"/>
      <c r="B119" s="3" t="s">
        <v>144</v>
      </c>
      <c r="C119" s="6" t="s">
        <v>139</v>
      </c>
      <c r="D119" s="8" t="s">
        <v>442</v>
      </c>
      <c r="E119" s="80">
        <f>1486934292+185978325+654948+5686972026+187128+0.0748512</f>
        <v>7360726719.074851</v>
      </c>
      <c r="F119" s="79">
        <f t="shared" si="8"/>
        <v>1.6612789953526413E-2</v>
      </c>
    </row>
    <row r="120" spans="1:6">
      <c r="A120" s="103"/>
      <c r="B120" s="3" t="s">
        <v>145</v>
      </c>
      <c r="C120" s="6" t="s">
        <v>142</v>
      </c>
      <c r="D120" s="8" t="s">
        <v>443</v>
      </c>
      <c r="E120" s="80">
        <f>6202239534+26328039915+0.175707084</f>
        <v>32530279449.175709</v>
      </c>
      <c r="F120" s="79">
        <f t="shared" si="8"/>
        <v>7.3419204413364858E-2</v>
      </c>
    </row>
    <row r="121" spans="1:6">
      <c r="A121" s="103"/>
      <c r="B121" s="3" t="s">
        <v>146</v>
      </c>
      <c r="C121" s="6" t="s">
        <v>144</v>
      </c>
      <c r="D121" s="8" t="s">
        <v>444</v>
      </c>
      <c r="E121" s="80">
        <f>2070945576+1839336+0.0698328</f>
        <v>2072784912.0698328</v>
      </c>
      <c r="F121" s="79">
        <f t="shared" si="8"/>
        <v>4.6781712835255009E-3</v>
      </c>
    </row>
    <row r="122" spans="1:6">
      <c r="A122" s="103"/>
      <c r="B122" s="3" t="s">
        <v>147</v>
      </c>
      <c r="C122" s="6" t="s">
        <v>146</v>
      </c>
      <c r="D122" s="8" t="s">
        <v>445</v>
      </c>
    </row>
    <row r="123" spans="1:6">
      <c r="A123" s="103"/>
      <c r="B123" s="3" t="s">
        <v>148</v>
      </c>
      <c r="C123" s="6" t="s">
        <v>147</v>
      </c>
      <c r="D123" s="8" t="s">
        <v>446</v>
      </c>
      <c r="E123" s="80">
        <v>35411512</v>
      </c>
      <c r="F123" s="79">
        <f t="shared" si="8"/>
        <v>7.9922001351888218E-5</v>
      </c>
    </row>
    <row r="124" spans="1:6">
      <c r="A124" s="103"/>
      <c r="B124" s="3" t="s">
        <v>149</v>
      </c>
      <c r="C124" s="6" t="s">
        <v>150</v>
      </c>
      <c r="D124" s="8" t="s">
        <v>447</v>
      </c>
      <c r="E124" s="80">
        <f>258138102+0.3585108</f>
        <v>258138102.35851079</v>
      </c>
      <c r="F124" s="79">
        <f t="shared" si="8"/>
        <v>5.8260471243562712E-4</v>
      </c>
    </row>
    <row r="125" spans="1:6">
      <c r="A125" s="103"/>
      <c r="B125" s="3" t="s">
        <v>150</v>
      </c>
      <c r="C125" s="6" t="s">
        <v>152</v>
      </c>
      <c r="D125" s="8" t="s">
        <v>448</v>
      </c>
      <c r="E125" s="80">
        <f>397083+37681872+888858+1927576+3706108+0.374256+619578</f>
        <v>45221075.374256</v>
      </c>
      <c r="F125" s="79">
        <f t="shared" si="8"/>
        <v>1.0206169245738863E-4</v>
      </c>
    </row>
    <row r="126" spans="1:6">
      <c r="A126" s="103"/>
      <c r="B126" s="3" t="s">
        <v>151</v>
      </c>
      <c r="C126" s="6" t="s">
        <v>149</v>
      </c>
      <c r="D126" s="8" t="s">
        <v>449</v>
      </c>
      <c r="E126" s="80">
        <f>7757275506+0.093564</f>
        <v>7757275506.093564</v>
      </c>
      <c r="F126" s="79">
        <f t="shared" si="8"/>
        <v>1.7507780619053465E-2</v>
      </c>
    </row>
    <row r="127" spans="1:6">
      <c r="A127" s="103"/>
      <c r="B127" s="3" t="s">
        <v>152</v>
      </c>
      <c r="C127" s="6" t="s">
        <v>131</v>
      </c>
      <c r="D127" s="8" t="s">
        <v>450</v>
      </c>
    </row>
    <row r="128" spans="1:6">
      <c r="A128" s="103"/>
      <c r="C128" s="6" t="s">
        <v>451</v>
      </c>
      <c r="D128" s="8" t="s">
        <v>452</v>
      </c>
    </row>
    <row r="129" spans="1:7">
      <c r="A129" s="103"/>
      <c r="C129" s="6" t="s">
        <v>453</v>
      </c>
      <c r="D129" s="8" t="s">
        <v>454</v>
      </c>
    </row>
    <row r="130" spans="1:7">
      <c r="A130" s="103"/>
      <c r="C130" s="6" t="s">
        <v>455</v>
      </c>
      <c r="D130" s="8" t="s">
        <v>456</v>
      </c>
    </row>
    <row r="131" spans="1:7">
      <c r="A131" s="103"/>
      <c r="C131" s="6" t="s">
        <v>457</v>
      </c>
      <c r="D131" s="8" t="s">
        <v>458</v>
      </c>
    </row>
    <row r="132" spans="1:7">
      <c r="A132" s="103"/>
      <c r="C132" s="6" t="s">
        <v>459</v>
      </c>
      <c r="D132" s="8" t="s">
        <v>460</v>
      </c>
    </row>
    <row r="133" spans="1:7">
      <c r="A133" s="103" t="s">
        <v>12</v>
      </c>
      <c r="B133" s="3" t="s">
        <v>153</v>
      </c>
      <c r="C133" s="13" t="s">
        <v>461</v>
      </c>
      <c r="D133" s="13" t="s">
        <v>462</v>
      </c>
    </row>
    <row r="134" spans="1:7">
      <c r="A134" s="103"/>
      <c r="B134" s="3" t="s">
        <v>154</v>
      </c>
      <c r="C134" s="6" t="s">
        <v>154</v>
      </c>
      <c r="D134" s="8" t="s">
        <v>463</v>
      </c>
      <c r="E134" s="80">
        <v>184037097</v>
      </c>
      <c r="F134" s="79">
        <f>E134/SUM(E$133:E$136)</f>
        <v>2.6262168816029332E-3</v>
      </c>
    </row>
    <row r="135" spans="1:7">
      <c r="A135" s="103"/>
      <c r="C135" s="6" t="s">
        <v>464</v>
      </c>
      <c r="D135" s="8" t="s">
        <v>465</v>
      </c>
      <c r="E135" s="80">
        <f>53961724309+15931123062</f>
        <v>69892847371</v>
      </c>
      <c r="F135" s="79">
        <f>E135/SUM(E$133:E$136)</f>
        <v>0.99737378311839708</v>
      </c>
      <c r="G135" s="3" t="s">
        <v>153</v>
      </c>
    </row>
    <row r="136" spans="1:7">
      <c r="A136" s="103"/>
      <c r="C136" s="6" t="s">
        <v>466</v>
      </c>
      <c r="D136" s="8" t="s">
        <v>467</v>
      </c>
    </row>
    <row r="137" spans="1:7">
      <c r="A137" s="103" t="s">
        <v>13</v>
      </c>
      <c r="B137" s="3" t="s">
        <v>155</v>
      </c>
      <c r="C137" s="6" t="s">
        <v>163</v>
      </c>
      <c r="D137" s="8" t="s">
        <v>468</v>
      </c>
      <c r="E137" s="80">
        <f>1592847372+1274002446+0.499654148+0.490129266+1750737393+275368+465701895+85954916495+15221515+0.98842509+207857+0.2058408+2066646957+0.930175305</f>
        <v>93120557301.114212</v>
      </c>
      <c r="F137" s="79">
        <f>E137/SUM(E$137:E$157)</f>
        <v>0.16384858233559341</v>
      </c>
    </row>
    <row r="138" spans="1:7">
      <c r="A138" s="103"/>
      <c r="B138" s="3" t="s">
        <v>156</v>
      </c>
      <c r="C138" s="6" t="s">
        <v>156</v>
      </c>
      <c r="D138" s="8" t="s">
        <v>469</v>
      </c>
    </row>
    <row r="139" spans="1:7">
      <c r="A139" s="103"/>
      <c r="B139" s="3" t="s">
        <v>157</v>
      </c>
      <c r="C139" s="6" t="s">
        <v>167</v>
      </c>
      <c r="D139" s="8" t="s">
        <v>470</v>
      </c>
      <c r="E139" s="60">
        <f>1950763305+2286290649+3573747</f>
        <v>4240627701</v>
      </c>
      <c r="F139" s="79">
        <f t="shared" ref="F139:F157" si="9">E139/SUM(E$137:E$157)</f>
        <v>7.4615193160316598E-3</v>
      </c>
    </row>
    <row r="140" spans="1:7">
      <c r="A140" s="103"/>
      <c r="B140" s="3" t="s">
        <v>158</v>
      </c>
      <c r="C140" s="6" t="s">
        <v>166</v>
      </c>
      <c r="D140" s="8" t="s">
        <v>471</v>
      </c>
      <c r="E140" s="80">
        <f>2733449772+2896979721+0.588981474+2069003814+0.19533786+0.575170098+1171406424+2748337737+5995150992+0.19533786+2898580056+5167039299</f>
        <v>25679947816.554829</v>
      </c>
      <c r="F140" s="79">
        <f t="shared" si="9"/>
        <v>4.5184684951882055E-2</v>
      </c>
    </row>
    <row r="141" spans="1:7">
      <c r="A141" s="103"/>
      <c r="B141" s="3" t="s">
        <v>159</v>
      </c>
      <c r="C141" s="6" t="s">
        <v>175</v>
      </c>
      <c r="D141" s="8" t="s">
        <v>472</v>
      </c>
      <c r="E141" s="80">
        <v>6715770921</v>
      </c>
      <c r="F141" s="79">
        <f t="shared" si="9"/>
        <v>1.1816612535278354E-2</v>
      </c>
    </row>
    <row r="142" spans="1:7">
      <c r="A142" s="103"/>
      <c r="B142" s="3" t="s">
        <v>160</v>
      </c>
      <c r="C142" s="6" t="s">
        <v>164</v>
      </c>
      <c r="D142" s="8" t="s">
        <v>473</v>
      </c>
    </row>
    <row r="143" spans="1:7">
      <c r="A143" s="103"/>
      <c r="B143" s="3" t="s">
        <v>161</v>
      </c>
      <c r="C143" s="6" t="s">
        <v>171</v>
      </c>
      <c r="D143" s="8" t="s">
        <v>474</v>
      </c>
      <c r="E143" s="60">
        <f>6163859626+8777481087+2117776+264722+397083+516673863+0.325755</f>
        <v>15460794157.325754</v>
      </c>
      <c r="F143" s="79">
        <f t="shared" si="9"/>
        <v>2.7203759061157805E-2</v>
      </c>
    </row>
    <row r="144" spans="1:7">
      <c r="A144" s="103"/>
      <c r="B144" s="3" t="s">
        <v>162</v>
      </c>
      <c r="C144" s="6" t="s">
        <v>174</v>
      </c>
      <c r="D144" s="8" t="s">
        <v>475</v>
      </c>
      <c r="E144" s="80">
        <v>4806403699</v>
      </c>
      <c r="F144" s="79">
        <f t="shared" si="9"/>
        <v>8.4570201794129437E-3</v>
      </c>
    </row>
    <row r="145" spans="1:6">
      <c r="A145" s="103"/>
      <c r="B145" s="3" t="s">
        <v>163</v>
      </c>
      <c r="C145" s="6" t="s">
        <v>173</v>
      </c>
      <c r="D145" s="8" t="s">
        <v>476</v>
      </c>
    </row>
    <row r="146" spans="1:6">
      <c r="A146" s="103"/>
      <c r="B146" s="3" t="s">
        <v>164</v>
      </c>
      <c r="C146" s="6" t="s">
        <v>172</v>
      </c>
      <c r="D146" s="8" t="s">
        <v>477</v>
      </c>
    </row>
    <row r="147" spans="1:6">
      <c r="A147" s="103"/>
      <c r="B147" s="3" t="s">
        <v>165</v>
      </c>
      <c r="C147" s="6" t="s">
        <v>161</v>
      </c>
      <c r="D147" s="8" t="s">
        <v>478</v>
      </c>
      <c r="E147" s="80">
        <f>144839772+0.46782+1858035672+0.280692+1612036356</f>
        <v>3614911800.7485123</v>
      </c>
      <c r="F147" s="79">
        <f t="shared" si="9"/>
        <v>6.3605522882084799E-3</v>
      </c>
    </row>
    <row r="148" spans="1:6">
      <c r="A148" s="103"/>
      <c r="B148" s="3" t="s">
        <v>166</v>
      </c>
      <c r="C148" s="6" t="s">
        <v>162</v>
      </c>
      <c r="D148" s="8" t="s">
        <v>479</v>
      </c>
      <c r="E148" s="80">
        <f>206613291+1497024</f>
        <v>208110315</v>
      </c>
      <c r="F148" s="79">
        <f t="shared" si="9"/>
        <v>3.6617671833623984E-4</v>
      </c>
    </row>
    <row r="149" spans="1:6" ht="30">
      <c r="A149" s="103"/>
      <c r="B149" s="3" t="s">
        <v>167</v>
      </c>
      <c r="C149" s="6" t="s">
        <v>158</v>
      </c>
      <c r="D149" s="8" t="s">
        <v>480</v>
      </c>
    </row>
    <row r="150" spans="1:6">
      <c r="A150" s="103"/>
      <c r="B150" s="3" t="s">
        <v>168</v>
      </c>
      <c r="C150" s="6" t="s">
        <v>159</v>
      </c>
      <c r="D150" s="8" t="s">
        <v>481</v>
      </c>
      <c r="E150" s="80">
        <f>17934282554+206526+4958892+5825859453+30522551406</f>
        <v>54287858831</v>
      </c>
      <c r="F150" s="79">
        <f t="shared" si="9"/>
        <v>9.5521214276364133E-2</v>
      </c>
    </row>
    <row r="151" spans="1:6">
      <c r="A151" s="103"/>
      <c r="B151" s="3" t="s">
        <v>169</v>
      </c>
      <c r="C151" s="6" t="s">
        <v>155</v>
      </c>
      <c r="D151" s="8" t="s">
        <v>482</v>
      </c>
      <c r="E151" s="80">
        <f>3741062976+1030670802+12271992896+20736923106+258332082+5426801+9091606355+275368+8266393848+2705591607+8312706573+696406+3741062976+982422+9667161281+9731904615+0.703239128</f>
        <v>89562790114.703232</v>
      </c>
      <c r="F151" s="79">
        <f t="shared" si="9"/>
        <v>0.15758857781383614</v>
      </c>
    </row>
    <row r="152" spans="1:6">
      <c r="A152" s="103"/>
      <c r="B152" s="3" t="s">
        <v>170</v>
      </c>
      <c r="C152" s="6" t="s">
        <v>169</v>
      </c>
      <c r="D152" s="8" t="s">
        <v>483</v>
      </c>
      <c r="E152" s="80">
        <f>2097728817+4337416+397083+4723343684+45264317685</f>
        <v>52090124685</v>
      </c>
      <c r="F152" s="79">
        <f t="shared" si="9"/>
        <v>9.1654231146009554E-2</v>
      </c>
    </row>
    <row r="153" spans="1:6">
      <c r="A153" s="103"/>
      <c r="B153" s="3" t="s">
        <v>171</v>
      </c>
      <c r="C153" s="6" t="s">
        <v>170</v>
      </c>
      <c r="D153" s="8" t="s">
        <v>484</v>
      </c>
      <c r="E153" s="80">
        <f>12915352929+476442024+1350081402+1539246</f>
        <v>14743415601</v>
      </c>
      <c r="F153" s="79">
        <f t="shared" si="9"/>
        <v>2.5941508674577236E-2</v>
      </c>
    </row>
    <row r="154" spans="1:6">
      <c r="A154" s="103"/>
      <c r="B154" s="3" t="s">
        <v>172</v>
      </c>
      <c r="C154" s="6" t="s">
        <v>160</v>
      </c>
      <c r="D154" s="8" t="s">
        <v>485</v>
      </c>
      <c r="E154" s="60">
        <f>0.781690905+2580740886+7279855+1853054+0.693129336+5559162+1720693+2382498+15301365+11879735637+4383883+397083+2425911977+1191249+16533146559+794166+1341658532+29781225+0.926527+573649512+6529524156+3573747+20659573581+264722+6205072845+926527+4103191+7544577+3309025+2437918086+0.390666021+13550951444+2382498+3712884626+0.926527+0.1590588+5956245+0.2058408+2664707297+0.93564+39748088442+16545125+3044303+3706108+1284660069+3478786597</f>
        <v>135729010552.01909</v>
      </c>
      <c r="F154" s="79">
        <f t="shared" si="9"/>
        <v>0.2388195110221385</v>
      </c>
    </row>
    <row r="155" spans="1:6">
      <c r="A155" s="103"/>
      <c r="B155" s="3" t="s">
        <v>173</v>
      </c>
      <c r="C155" s="6" t="s">
        <v>157</v>
      </c>
      <c r="D155" s="8" t="s">
        <v>486</v>
      </c>
    </row>
    <row r="156" spans="1:6">
      <c r="A156" s="103"/>
      <c r="B156" s="3" t="s">
        <v>174</v>
      </c>
      <c r="C156" s="6" t="s">
        <v>165</v>
      </c>
      <c r="D156" s="8" t="s">
        <v>487</v>
      </c>
      <c r="E156" s="80">
        <f>757262+15496850337+0.39067572</f>
        <v>15497607599.390676</v>
      </c>
      <c r="F156" s="79">
        <f t="shared" si="9"/>
        <v>2.7268533483348241E-2</v>
      </c>
    </row>
    <row r="157" spans="1:6">
      <c r="A157" s="103"/>
      <c r="B157" s="3" t="s">
        <v>175</v>
      </c>
      <c r="C157" s="6" t="s">
        <v>168</v>
      </c>
      <c r="D157" s="8" t="s">
        <v>488</v>
      </c>
      <c r="E157" s="80">
        <f>2507204634+2514859+0.774406956+1205264754+19845343132+19185943569+7279855+0.541427277+608166+5688620856+4132294917+0.019398</f>
        <v>52575074743.335236</v>
      </c>
      <c r="F157" s="79">
        <f t="shared" si="9"/>
        <v>9.2507516197825282E-2</v>
      </c>
    </row>
    <row r="158" spans="1:6">
      <c r="A158" s="29" t="s">
        <v>625</v>
      </c>
      <c r="C158" s="6" t="s">
        <v>489</v>
      </c>
      <c r="D158" s="8" t="s">
        <v>490</v>
      </c>
    </row>
    <row r="159" spans="1:6">
      <c r="A159" s="29" t="s">
        <v>14</v>
      </c>
      <c r="B159" s="3" t="s">
        <v>176</v>
      </c>
      <c r="C159" s="6" t="s">
        <v>176</v>
      </c>
      <c r="D159" s="8" t="s">
        <v>491</v>
      </c>
    </row>
    <row r="160" spans="1:6">
      <c r="A160" s="103" t="s">
        <v>624</v>
      </c>
      <c r="B160" s="4" t="s">
        <v>492</v>
      </c>
      <c r="C160" s="6" t="s">
        <v>492</v>
      </c>
      <c r="D160" s="8" t="s">
        <v>493</v>
      </c>
      <c r="E160" s="80">
        <v>3309025</v>
      </c>
      <c r="F160" s="79">
        <f>E160/SUM(E$160:E$161)</f>
        <v>0.97250204720628364</v>
      </c>
    </row>
    <row r="161" spans="1:6">
      <c r="A161" s="103"/>
      <c r="B161" s="4" t="s">
        <v>494</v>
      </c>
      <c r="C161" s="6" t="s">
        <v>494</v>
      </c>
      <c r="D161" s="8" t="s">
        <v>495</v>
      </c>
      <c r="E161" s="80">
        <f>93564+0.2382498</f>
        <v>93564.238249799993</v>
      </c>
      <c r="F161" s="79">
        <f>E161/SUM(E$160:E$161)</f>
        <v>2.7497952793716265E-2</v>
      </c>
    </row>
    <row r="162" spans="1:6">
      <c r="A162" s="29" t="s">
        <v>15</v>
      </c>
      <c r="B162" s="3" t="s">
        <v>177</v>
      </c>
      <c r="C162" s="6" t="s">
        <v>177</v>
      </c>
      <c r="D162" s="8" t="s">
        <v>15</v>
      </c>
    </row>
    <row r="163" spans="1:6">
      <c r="A163" s="103" t="s">
        <v>16</v>
      </c>
      <c r="B163" s="3" t="s">
        <v>178</v>
      </c>
      <c r="C163" s="6" t="s">
        <v>182</v>
      </c>
      <c r="D163" s="8" t="s">
        <v>496</v>
      </c>
    </row>
    <row r="164" spans="1:6">
      <c r="A164" s="103"/>
      <c r="B164" s="3" t="s">
        <v>179</v>
      </c>
      <c r="C164" s="6" t="s">
        <v>181</v>
      </c>
      <c r="D164" s="8" t="s">
        <v>497</v>
      </c>
    </row>
    <row r="165" spans="1:6">
      <c r="A165" s="103"/>
      <c r="B165" s="3" t="s">
        <v>180</v>
      </c>
      <c r="C165" s="6" t="s">
        <v>180</v>
      </c>
      <c r="D165" s="8" t="s">
        <v>498</v>
      </c>
      <c r="E165" s="80">
        <v>6455916</v>
      </c>
      <c r="F165" s="79">
        <f t="shared" ref="F165:F169" si="10">E165/SUM(E$163:E$170)</f>
        <v>0.9420570279222017</v>
      </c>
    </row>
    <row r="166" spans="1:6">
      <c r="A166" s="103"/>
      <c r="B166" s="3" t="s">
        <v>181</v>
      </c>
      <c r="C166" s="6" t="s">
        <v>179</v>
      </c>
      <c r="D166" s="8" t="s">
        <v>499</v>
      </c>
    </row>
    <row r="167" spans="1:6">
      <c r="A167" s="103"/>
      <c r="B167" s="3" t="s">
        <v>182</v>
      </c>
      <c r="C167" s="6" t="s">
        <v>184</v>
      </c>
      <c r="D167" s="8" t="s">
        <v>500</v>
      </c>
    </row>
    <row r="168" spans="1:6">
      <c r="A168" s="103"/>
      <c r="B168" s="3" t="s">
        <v>183</v>
      </c>
      <c r="C168" s="6" t="s">
        <v>183</v>
      </c>
      <c r="D168" s="8" t="s">
        <v>501</v>
      </c>
      <c r="E168" s="60">
        <v>0.137684</v>
      </c>
      <c r="F168" s="79">
        <f t="shared" si="10"/>
        <v>2.0091057540469922E-8</v>
      </c>
    </row>
    <row r="169" spans="1:6">
      <c r="A169" s="103"/>
      <c r="B169" s="3" t="s">
        <v>184</v>
      </c>
      <c r="C169" s="6" t="s">
        <v>178</v>
      </c>
      <c r="D169" s="8" t="s">
        <v>502</v>
      </c>
      <c r="E169" s="80">
        <v>397083</v>
      </c>
      <c r="F169" s="79">
        <f t="shared" si="10"/>
        <v>5.7942951986740786E-2</v>
      </c>
    </row>
    <row r="170" spans="1:6">
      <c r="A170" s="103"/>
      <c r="B170" s="3" t="s">
        <v>185</v>
      </c>
      <c r="C170" s="6" t="s">
        <v>185</v>
      </c>
      <c r="D170" s="8" t="s">
        <v>503</v>
      </c>
    </row>
    <row r="171" spans="1:6">
      <c r="A171" s="29" t="s">
        <v>505</v>
      </c>
      <c r="C171" s="6" t="s">
        <v>504</v>
      </c>
      <c r="D171" s="8" t="s">
        <v>505</v>
      </c>
    </row>
    <row r="172" spans="1:6">
      <c r="A172" s="103" t="s">
        <v>17</v>
      </c>
      <c r="B172" s="3" t="s">
        <v>186</v>
      </c>
      <c r="C172" s="6" t="s">
        <v>193</v>
      </c>
      <c r="D172" s="8" t="s">
        <v>506</v>
      </c>
      <c r="E172" s="80">
        <f>126087+145485+29097+0.67893</f>
        <v>300669.67892999999</v>
      </c>
      <c r="F172" s="79">
        <f t="shared" ref="F172:F174" si="11">E172/SUM(E$172:E$183)</f>
        <v>7.3018128901969348E-3</v>
      </c>
    </row>
    <row r="173" spans="1:6">
      <c r="A173" s="103"/>
      <c r="B173" s="3" t="s">
        <v>187</v>
      </c>
      <c r="C173" s="6" t="s">
        <v>195</v>
      </c>
      <c r="D173" s="8" t="s">
        <v>507</v>
      </c>
    </row>
    <row r="174" spans="1:6">
      <c r="A174" s="103"/>
      <c r="B174" s="3" t="s">
        <v>188</v>
      </c>
      <c r="C174" s="6" t="s">
        <v>197</v>
      </c>
      <c r="D174" s="8" t="s">
        <v>508</v>
      </c>
      <c r="E174" s="60">
        <v>0.96989999999999998</v>
      </c>
      <c r="F174" s="79">
        <f t="shared" si="11"/>
        <v>2.3554181942805082E-8</v>
      </c>
    </row>
    <row r="175" spans="1:6">
      <c r="A175" s="103"/>
      <c r="B175" s="3" t="s">
        <v>189</v>
      </c>
      <c r="C175" s="6" t="s">
        <v>188</v>
      </c>
      <c r="D175" s="8" t="s">
        <v>509</v>
      </c>
    </row>
    <row r="176" spans="1:6">
      <c r="A176" s="103"/>
      <c r="B176" s="3" t="s">
        <v>190</v>
      </c>
      <c r="C176" s="6" t="s">
        <v>194</v>
      </c>
      <c r="D176" s="8" t="s">
        <v>510</v>
      </c>
      <c r="E176" s="80">
        <f>3648626+3368304+1309896+0.67893+7124578+254639+0.413052+0.46782</f>
        <v>15706044.559801999</v>
      </c>
      <c r="F176" s="79">
        <f>E176/SUM(E$172:E$183)</f>
        <v>0.38142389026021267</v>
      </c>
    </row>
    <row r="177" spans="1:6">
      <c r="A177" s="103"/>
      <c r="B177" s="3" t="s">
        <v>191</v>
      </c>
      <c r="C177" s="6" t="s">
        <v>196</v>
      </c>
      <c r="D177" s="8" t="s">
        <v>511</v>
      </c>
    </row>
    <row r="178" spans="1:6">
      <c r="A178" s="103"/>
      <c r="B178" s="3" t="s">
        <v>192</v>
      </c>
      <c r="C178" s="6" t="s">
        <v>190</v>
      </c>
      <c r="D178" s="8" t="s">
        <v>512</v>
      </c>
    </row>
    <row r="179" spans="1:6">
      <c r="A179" s="103"/>
      <c r="B179" s="3" t="s">
        <v>193</v>
      </c>
      <c r="C179" s="6" t="s">
        <v>189</v>
      </c>
      <c r="D179" s="8" t="s">
        <v>513</v>
      </c>
      <c r="E179" s="80">
        <v>309789</v>
      </c>
      <c r="F179" s="79">
        <f t="shared" ref="F179:F183" si="12">E179/SUM(E$172:E$183)</f>
        <v>7.5232771109182842E-3</v>
      </c>
    </row>
    <row r="180" spans="1:6">
      <c r="A180" s="103"/>
      <c r="B180" s="3" t="s">
        <v>194</v>
      </c>
      <c r="C180" s="6" t="s">
        <v>186</v>
      </c>
      <c r="D180" s="8" t="s">
        <v>514</v>
      </c>
      <c r="E180" s="80"/>
    </row>
    <row r="181" spans="1:6">
      <c r="A181" s="103"/>
      <c r="B181" s="3" t="s">
        <v>195</v>
      </c>
      <c r="C181" s="6" t="s">
        <v>187</v>
      </c>
      <c r="D181" s="8" t="s">
        <v>515</v>
      </c>
    </row>
    <row r="182" spans="1:6">
      <c r="A182" s="103"/>
      <c r="B182" s="3" t="s">
        <v>196</v>
      </c>
      <c r="C182" s="6" t="s">
        <v>191</v>
      </c>
      <c r="D182" s="8" t="s">
        <v>516</v>
      </c>
      <c r="E182" s="80">
        <v>8603465</v>
      </c>
      <c r="F182" s="79">
        <f t="shared" si="12"/>
        <v>0.20893657072745181</v>
      </c>
    </row>
    <row r="183" spans="1:6">
      <c r="A183" s="103"/>
      <c r="B183" s="3" t="s">
        <v>197</v>
      </c>
      <c r="C183" s="6" t="s">
        <v>192</v>
      </c>
      <c r="D183" s="8" t="s">
        <v>517</v>
      </c>
      <c r="E183" s="80">
        <f>5567058+3855152+6353328+481894</f>
        <v>16257432</v>
      </c>
      <c r="F183" s="79">
        <f t="shared" si="12"/>
        <v>0.39481442545703838</v>
      </c>
    </row>
    <row r="184" spans="1:6">
      <c r="A184" s="103" t="s">
        <v>18</v>
      </c>
      <c r="B184" s="3" t="s">
        <v>198</v>
      </c>
      <c r="C184" s="6" t="s">
        <v>206</v>
      </c>
      <c r="D184" s="8" t="s">
        <v>518</v>
      </c>
    </row>
    <row r="185" spans="1:6">
      <c r="A185" s="103"/>
      <c r="B185" s="3" t="s">
        <v>199</v>
      </c>
      <c r="C185" s="6" t="s">
        <v>204</v>
      </c>
      <c r="D185" s="8" t="s">
        <v>519</v>
      </c>
      <c r="E185" s="80">
        <f>3940769547+33870264+35337928+18182991371+0.77592+1462018953+413052+0.5996106</f>
        <v>23655401116.37553</v>
      </c>
      <c r="F185" s="79">
        <f>E185/SUM(E$184:E$192)</f>
        <v>2.6833766433008693E-2</v>
      </c>
    </row>
    <row r="186" spans="1:6">
      <c r="A186" s="103"/>
      <c r="B186" s="3" t="s">
        <v>200</v>
      </c>
      <c r="C186" s="6" t="s">
        <v>203</v>
      </c>
      <c r="D186" s="8" t="s">
        <v>520</v>
      </c>
    </row>
    <row r="187" spans="1:6">
      <c r="A187" s="103"/>
      <c r="B187" s="3" t="s">
        <v>201</v>
      </c>
      <c r="C187" s="6" t="s">
        <v>205</v>
      </c>
      <c r="D187" s="8" t="s">
        <v>521</v>
      </c>
    </row>
    <row r="188" spans="1:6">
      <c r="A188" s="103"/>
      <c r="B188" s="3" t="s">
        <v>202</v>
      </c>
      <c r="C188" s="6" t="s">
        <v>200</v>
      </c>
      <c r="D188" s="8" t="s">
        <v>522</v>
      </c>
      <c r="E188" s="80">
        <f>262446094336+6284560539+60134228426+205785972992+70173</f>
        <v>534650926466</v>
      </c>
      <c r="F188" s="79">
        <f t="shared" ref="F188:F192" si="13">E188/SUM(E$184:E$192)</f>
        <v>0.60648720405965972</v>
      </c>
    </row>
    <row r="189" spans="1:6">
      <c r="A189" s="103"/>
      <c r="B189" s="3" t="s">
        <v>203</v>
      </c>
      <c r="C189" s="6" t="s">
        <v>202</v>
      </c>
      <c r="D189" s="8" t="s">
        <v>523</v>
      </c>
      <c r="E189" s="80">
        <f>17343607461+77145757009+1202975758+721128+0.44159547+81046373514+127036483948</f>
        <v>303775918818.44159</v>
      </c>
      <c r="F189" s="79">
        <f t="shared" si="13"/>
        <v>0.344591580309488</v>
      </c>
    </row>
    <row r="190" spans="1:6">
      <c r="A190" s="103"/>
      <c r="B190" s="3" t="s">
        <v>204</v>
      </c>
      <c r="C190" s="6" t="s">
        <v>201</v>
      </c>
      <c r="D190" s="8" t="s">
        <v>524</v>
      </c>
      <c r="E190" s="80">
        <v>7104626364</v>
      </c>
      <c r="F190" s="79">
        <f t="shared" si="13"/>
        <v>8.0592116577299523E-3</v>
      </c>
    </row>
    <row r="191" spans="1:6">
      <c r="A191" s="103"/>
      <c r="B191" s="3" t="s">
        <v>205</v>
      </c>
      <c r="C191" s="6" t="s">
        <v>199</v>
      </c>
      <c r="D191" s="8" t="s">
        <v>525</v>
      </c>
      <c r="E191" s="80">
        <v>561384</v>
      </c>
      <c r="F191" s="79">
        <f t="shared" si="13"/>
        <v>6.3681216230994339E-7</v>
      </c>
    </row>
    <row r="192" spans="1:6">
      <c r="A192" s="103"/>
      <c r="B192" s="3" t="s">
        <v>206</v>
      </c>
      <c r="C192" s="6" t="s">
        <v>198</v>
      </c>
      <c r="D192" s="8" t="s">
        <v>526</v>
      </c>
      <c r="E192" s="80">
        <v>12366080727</v>
      </c>
      <c r="F192" s="79">
        <f t="shared" si="13"/>
        <v>1.4027600727951254E-2</v>
      </c>
    </row>
    <row r="193" spans="1:6">
      <c r="A193" s="103" t="s">
        <v>19</v>
      </c>
      <c r="B193" s="3" t="s">
        <v>207</v>
      </c>
      <c r="C193" s="6" t="s">
        <v>219</v>
      </c>
      <c r="D193" s="8" t="s">
        <v>527</v>
      </c>
      <c r="E193" s="80">
        <f>2288499051+4235552+1141513781+1907821+0.285429365</f>
        <v>3436156205.2854295</v>
      </c>
      <c r="F193" s="79">
        <f t="shared" ref="F193" si="14">E193/SUM(E$193:E$209)</f>
        <v>6.7947511285224521E-3</v>
      </c>
    </row>
    <row r="194" spans="1:6">
      <c r="A194" s="103"/>
      <c r="B194" s="3" t="s">
        <v>208</v>
      </c>
      <c r="C194" s="6" t="s">
        <v>210</v>
      </c>
      <c r="D194" s="8" t="s">
        <v>528</v>
      </c>
      <c r="E194" s="80">
        <f>453021579+1471941+0.46782+15256302097</f>
        <v>15710795617.467819</v>
      </c>
      <c r="F194" s="79">
        <f t="shared" ref="F194:F199" si="15">E194/SUM(E$193:E$209)</f>
        <v>3.1066965491141761E-2</v>
      </c>
    </row>
    <row r="195" spans="1:6">
      <c r="A195" s="103"/>
      <c r="B195" s="3" t="s">
        <v>209</v>
      </c>
      <c r="C195" s="6" t="s">
        <v>221</v>
      </c>
      <c r="D195" s="8" t="s">
        <v>529</v>
      </c>
      <c r="E195" s="80">
        <f>2354552211+5894532+1067482567+2779581+1712139735+0.570810235</f>
        <v>5142848626.5708103</v>
      </c>
      <c r="F195" s="79">
        <f t="shared" si="15"/>
        <v>1.0169612328875326E-2</v>
      </c>
    </row>
    <row r="196" spans="1:6">
      <c r="A196" s="103"/>
      <c r="B196" s="3" t="s">
        <v>210</v>
      </c>
      <c r="C196" s="6" t="s">
        <v>207</v>
      </c>
      <c r="D196" s="8" t="s">
        <v>530</v>
      </c>
    </row>
    <row r="197" spans="1:6">
      <c r="A197" s="103"/>
      <c r="B197" s="3" t="s">
        <v>211</v>
      </c>
      <c r="C197" s="6" t="s">
        <v>216</v>
      </c>
      <c r="D197" s="8" t="s">
        <v>531</v>
      </c>
      <c r="E197" s="80">
        <f>1985415+3138694921+1853054+38413836</f>
        <v>3180947226</v>
      </c>
      <c r="F197" s="79">
        <f t="shared" si="15"/>
        <v>6.2900937740804734E-3</v>
      </c>
    </row>
    <row r="198" spans="1:6">
      <c r="A198" s="103"/>
      <c r="B198" s="3" t="s">
        <v>212</v>
      </c>
      <c r="C198" s="6" t="s">
        <v>218</v>
      </c>
      <c r="D198" s="8" t="s">
        <v>532</v>
      </c>
      <c r="E198" s="60">
        <f>0.8982144+3565524754+2066957325+2497465723+1343631375+0.713975921</f>
        <v>9473579178.6121902</v>
      </c>
      <c r="F198" s="79">
        <f t="shared" si="15"/>
        <v>1.8733319723942803E-2</v>
      </c>
    </row>
    <row r="199" spans="1:6">
      <c r="A199" s="103"/>
      <c r="B199" s="3" t="s">
        <v>213</v>
      </c>
      <c r="C199" s="6" t="s">
        <v>213</v>
      </c>
      <c r="D199" s="8" t="s">
        <v>533</v>
      </c>
      <c r="E199" s="80">
        <f>2245536+0.235355934+1142047226+4966245636+11906684058</f>
        <v>18017222456.235355</v>
      </c>
      <c r="F199" s="79">
        <f t="shared" si="15"/>
        <v>3.562775825762439E-2</v>
      </c>
    </row>
    <row r="200" spans="1:6">
      <c r="A200" s="103"/>
      <c r="B200" s="3" t="s">
        <v>214</v>
      </c>
      <c r="C200" s="6" t="s">
        <v>220</v>
      </c>
      <c r="D200" s="8" t="s">
        <v>534</v>
      </c>
      <c r="E200" s="80">
        <f>399452949294+214030803+8273658399+2140181943+0.856171707+0.998871841+0.570897526</f>
        <v>410080820441.42603</v>
      </c>
      <c r="F200" s="79">
        <f>E200/SUM(E$193:E$209)</f>
        <v>0.81090525314123096</v>
      </c>
    </row>
    <row r="201" spans="1:6">
      <c r="A201" s="103"/>
      <c r="B201" s="3" t="s">
        <v>215</v>
      </c>
      <c r="C201" s="6" t="s">
        <v>208</v>
      </c>
      <c r="D201" s="8" t="s">
        <v>535</v>
      </c>
    </row>
    <row r="202" spans="1:6">
      <c r="A202" s="103"/>
      <c r="B202" s="3" t="s">
        <v>216</v>
      </c>
      <c r="C202" s="6" t="s">
        <v>211</v>
      </c>
      <c r="D202" s="8" t="s">
        <v>536</v>
      </c>
      <c r="E202" s="80">
        <v>29313390704</v>
      </c>
      <c r="F202" s="79">
        <f>E202/SUM(E$193:E$209)</f>
        <v>5.7965116446235192E-2</v>
      </c>
    </row>
    <row r="203" spans="1:6">
      <c r="A203" s="103"/>
      <c r="B203" s="3" t="s">
        <v>217</v>
      </c>
      <c r="C203" s="6" t="s">
        <v>223</v>
      </c>
      <c r="D203" s="8" t="s">
        <v>537</v>
      </c>
      <c r="E203" s="60">
        <v>0.24635460000000001</v>
      </c>
      <c r="F203" s="79">
        <f>E203/SUM(E$193:E$209)</f>
        <v>4.8714845785878664E-13</v>
      </c>
    </row>
    <row r="204" spans="1:6">
      <c r="A204" s="103"/>
      <c r="B204" s="3" t="s">
        <v>218</v>
      </c>
      <c r="C204" s="6" t="s">
        <v>222</v>
      </c>
      <c r="D204" s="8" t="s">
        <v>538</v>
      </c>
    </row>
    <row r="205" spans="1:6">
      <c r="A205" s="103"/>
      <c r="B205" s="3" t="s">
        <v>219</v>
      </c>
      <c r="C205" s="6" t="s">
        <v>217</v>
      </c>
      <c r="D205" s="8" t="s">
        <v>539</v>
      </c>
      <c r="E205" s="60">
        <v>0.85612321199999997</v>
      </c>
      <c r="F205" s="79">
        <f>E205/SUM(E$193:E$209)</f>
        <v>1.6929219201220967E-12</v>
      </c>
    </row>
    <row r="206" spans="1:6">
      <c r="A206" s="103"/>
      <c r="B206" s="3" t="s">
        <v>220</v>
      </c>
      <c r="C206" s="6" t="s">
        <v>209</v>
      </c>
      <c r="D206" s="8" t="s">
        <v>540</v>
      </c>
    </row>
    <row r="207" spans="1:6">
      <c r="A207" s="103"/>
      <c r="B207" s="3" t="s">
        <v>221</v>
      </c>
      <c r="C207" s="6" t="s">
        <v>212</v>
      </c>
      <c r="D207" s="8" t="s">
        <v>541</v>
      </c>
    </row>
    <row r="208" spans="1:6">
      <c r="A208" s="103"/>
      <c r="B208" s="3" t="s">
        <v>222</v>
      </c>
      <c r="C208" s="6" t="s">
        <v>214</v>
      </c>
      <c r="D208" s="8" t="s">
        <v>542</v>
      </c>
    </row>
    <row r="209" spans="1:6">
      <c r="A209" s="103"/>
      <c r="B209" s="3" t="s">
        <v>223</v>
      </c>
      <c r="C209" s="6" t="s">
        <v>215</v>
      </c>
      <c r="D209" s="8" t="s">
        <v>543</v>
      </c>
      <c r="E209" s="80">
        <f>11347047886+4632635</f>
        <v>11351680521</v>
      </c>
      <c r="F209" s="79">
        <f t="shared" ref="F209" si="16">E209/SUM(E$193:E$209)</f>
        <v>2.2447129706166549E-2</v>
      </c>
    </row>
    <row r="210" spans="1:6">
      <c r="A210" s="103" t="s">
        <v>20</v>
      </c>
      <c r="B210" s="3" t="s">
        <v>224</v>
      </c>
      <c r="C210" s="6" t="s">
        <v>226</v>
      </c>
      <c r="D210" s="8" t="s">
        <v>544</v>
      </c>
      <c r="E210" s="80">
        <f>1702082511+1242628242+2067742944+0.9309618+0.46782+2067645954+350865+4632635</f>
        <v>7085083152.3987818</v>
      </c>
      <c r="F210" s="79">
        <f>E210/SUM(E$210:E$216)</f>
        <v>0.48269683286895737</v>
      </c>
    </row>
    <row r="211" spans="1:6">
      <c r="A211" s="103"/>
      <c r="B211" s="3" t="s">
        <v>225</v>
      </c>
      <c r="C211" s="6" t="s">
        <v>225</v>
      </c>
      <c r="D211" s="8" t="s">
        <v>545</v>
      </c>
    </row>
    <row r="212" spans="1:6">
      <c r="A212" s="103"/>
      <c r="B212" s="3" t="s">
        <v>226</v>
      </c>
      <c r="C212" s="6" t="s">
        <v>228</v>
      </c>
      <c r="D212" s="8" t="s">
        <v>546</v>
      </c>
      <c r="E212" s="80">
        <f>4367913+0.46283628+2013224865+1455971+1603414584</f>
        <v>3622463333.4628363</v>
      </c>
      <c r="F212" s="79">
        <f t="shared" ref="F212:F213" si="17">E212/SUM(E$210:E$216)</f>
        <v>0.24679337428163189</v>
      </c>
    </row>
    <row r="213" spans="1:6">
      <c r="A213" s="103"/>
      <c r="B213" s="3" t="s">
        <v>227</v>
      </c>
      <c r="C213" s="6" t="s">
        <v>224</v>
      </c>
      <c r="D213" s="8" t="s">
        <v>547</v>
      </c>
      <c r="E213" s="80">
        <v>3970575826</v>
      </c>
      <c r="F213" s="79">
        <f t="shared" si="17"/>
        <v>0.27050979284941074</v>
      </c>
    </row>
    <row r="214" spans="1:6">
      <c r="A214" s="103"/>
      <c r="B214" s="3" t="s">
        <v>228</v>
      </c>
      <c r="C214" s="6" t="s">
        <v>227</v>
      </c>
      <c r="D214" s="8" t="s">
        <v>548</v>
      </c>
    </row>
    <row r="215" spans="1:6">
      <c r="A215" s="103"/>
      <c r="C215" s="6" t="s">
        <v>549</v>
      </c>
      <c r="D215" s="8" t="s">
        <v>550</v>
      </c>
    </row>
    <row r="216" spans="1:6">
      <c r="A216" s="103"/>
      <c r="C216" s="6" t="s">
        <v>551</v>
      </c>
      <c r="D216" s="8" t="s">
        <v>552</v>
      </c>
    </row>
    <row r="217" spans="1:6">
      <c r="A217" s="103" t="s">
        <v>21</v>
      </c>
      <c r="B217" s="3" t="s">
        <v>229</v>
      </c>
      <c r="C217" s="6" t="s">
        <v>231</v>
      </c>
      <c r="D217" s="8" t="s">
        <v>553</v>
      </c>
      <c r="E217" s="80">
        <v>46782</v>
      </c>
      <c r="F217" s="79">
        <f t="shared" ref="F217:F220" si="18">E217/SUM(E$217:E$224)</f>
        <v>2.6784726549830742E-3</v>
      </c>
    </row>
    <row r="218" spans="1:6">
      <c r="A218" s="103"/>
      <c r="B218" s="3" t="s">
        <v>230</v>
      </c>
      <c r="C218" s="6" t="s">
        <v>236</v>
      </c>
      <c r="D218" s="8" t="s">
        <v>554</v>
      </c>
      <c r="E218" s="60">
        <f>7544577+748512</f>
        <v>8293089</v>
      </c>
      <c r="F218" s="79">
        <f t="shared" si="18"/>
        <v>0.47481535872431546</v>
      </c>
    </row>
    <row r="219" spans="1:6">
      <c r="A219" s="103"/>
      <c r="B219" s="3" t="s">
        <v>231</v>
      </c>
      <c r="C219" s="6" t="s">
        <v>232</v>
      </c>
      <c r="D219" s="8" t="s">
        <v>555</v>
      </c>
      <c r="E219" s="80">
        <f>3309025+140346</f>
        <v>3449371</v>
      </c>
      <c r="F219" s="79">
        <f t="shared" si="18"/>
        <v>0.19749146894941688</v>
      </c>
    </row>
    <row r="220" spans="1:6">
      <c r="A220" s="103"/>
      <c r="B220" s="3" t="s">
        <v>232</v>
      </c>
      <c r="C220" s="6" t="s">
        <v>230</v>
      </c>
      <c r="D220" s="8" t="s">
        <v>556</v>
      </c>
      <c r="E220" s="80">
        <f>779324+0.137684</f>
        <v>779324.13768399996</v>
      </c>
      <c r="F220" s="79">
        <f t="shared" si="18"/>
        <v>4.4619691166578129E-2</v>
      </c>
    </row>
    <row r="221" spans="1:6">
      <c r="A221" s="103"/>
      <c r="B221" s="3" t="s">
        <v>233</v>
      </c>
      <c r="C221" s="6" t="s">
        <v>234</v>
      </c>
      <c r="D221" s="8" t="s">
        <v>557</v>
      </c>
      <c r="E221" s="80">
        <f>4897357+0.926527</f>
        <v>4897357.926527</v>
      </c>
      <c r="F221" s="79">
        <f>E221/SUM(E$217:E$224)</f>
        <v>0.28039500850470644</v>
      </c>
    </row>
    <row r="222" spans="1:6">
      <c r="A222" s="103"/>
      <c r="B222" s="3" t="s">
        <v>234</v>
      </c>
      <c r="C222" s="6" t="s">
        <v>233</v>
      </c>
      <c r="D222" s="8" t="s">
        <v>558</v>
      </c>
    </row>
    <row r="223" spans="1:6">
      <c r="A223" s="103"/>
      <c r="B223" s="3" t="s">
        <v>235</v>
      </c>
      <c r="C223" s="6" t="s">
        <v>229</v>
      </c>
      <c r="D223" s="8" t="s">
        <v>559</v>
      </c>
    </row>
    <row r="224" spans="1:6">
      <c r="A224" s="103"/>
      <c r="B224" s="3" t="s">
        <v>236</v>
      </c>
      <c r="C224" s="6" t="s">
        <v>235</v>
      </c>
      <c r="D224" s="8" t="s">
        <v>560</v>
      </c>
    </row>
    <row r="225" spans="1:6">
      <c r="A225" s="103" t="s">
        <v>22</v>
      </c>
      <c r="B225" s="3" t="s">
        <v>237</v>
      </c>
      <c r="C225" s="6" t="s">
        <v>237</v>
      </c>
      <c r="D225" s="8" t="s">
        <v>561</v>
      </c>
      <c r="E225" s="80">
        <f>57987+9662353</f>
        <v>9720340</v>
      </c>
      <c r="F225" s="79">
        <f>E225/SUM(E$225:E$226)</f>
        <v>0.67268155815280906</v>
      </c>
    </row>
    <row r="226" spans="1:6">
      <c r="A226" s="103"/>
      <c r="B226" s="3" t="s">
        <v>238</v>
      </c>
      <c r="C226" s="6" t="s">
        <v>238</v>
      </c>
      <c r="D226" s="8" t="s">
        <v>562</v>
      </c>
      <c r="E226" s="80">
        <f>1079412+1590588+1000908+1058888</f>
        <v>4729796</v>
      </c>
      <c r="F226" s="79">
        <f>E226/SUM(E$225:E$226)</f>
        <v>0.32731844184719094</v>
      </c>
    </row>
    <row r="227" spans="1:6">
      <c r="A227" s="103" t="s">
        <v>23</v>
      </c>
      <c r="B227" s="3" t="s">
        <v>239</v>
      </c>
      <c r="C227" s="6" t="s">
        <v>241</v>
      </c>
      <c r="D227" s="8" t="s">
        <v>563</v>
      </c>
    </row>
    <row r="228" spans="1:6">
      <c r="A228" s="103"/>
      <c r="B228" s="3" t="s">
        <v>240</v>
      </c>
      <c r="C228" s="6" t="s">
        <v>239</v>
      </c>
      <c r="D228" s="8" t="s">
        <v>564</v>
      </c>
    </row>
    <row r="229" spans="1:6">
      <c r="A229" s="103"/>
      <c r="B229" s="3" t="s">
        <v>241</v>
      </c>
      <c r="C229" s="6" t="s">
        <v>242</v>
      </c>
      <c r="D229" s="8" t="s">
        <v>565</v>
      </c>
      <c r="E229" s="80">
        <v>354096504</v>
      </c>
      <c r="F229" s="79">
        <f>E229/SUM(E$229:E$230)</f>
        <v>4.4980604039934181E-2</v>
      </c>
    </row>
    <row r="230" spans="1:6">
      <c r="A230" s="103"/>
      <c r="B230" s="3" t="s">
        <v>242</v>
      </c>
      <c r="C230" s="6" t="s">
        <v>240</v>
      </c>
      <c r="D230" s="8" t="s">
        <v>566</v>
      </c>
      <c r="E230" s="80">
        <v>7518107784</v>
      </c>
      <c r="F230" s="79">
        <f>E230/SUM(E$229:E$230)</f>
        <v>0.9550193959600658</v>
      </c>
    </row>
    <row r="231" spans="1:6">
      <c r="A231" s="103" t="s">
        <v>24</v>
      </c>
      <c r="B231" s="3" t="s">
        <v>243</v>
      </c>
      <c r="C231" s="6" t="s">
        <v>243</v>
      </c>
      <c r="D231" s="8" t="s">
        <v>567</v>
      </c>
      <c r="E231" s="60">
        <f>3747613179+384264711164+10994846565+315478102192+274887459524+18608410339+8088750015+1918062+2760138+1013232+11025335+16215508389+152473565965+2331552309</f>
        <v>1187107236408</v>
      </c>
      <c r="F231" s="79">
        <f>E231/SUM($E$231:$E$235)</f>
        <v>0.25638262204219658</v>
      </c>
    </row>
    <row r="232" spans="1:6">
      <c r="A232" s="103"/>
      <c r="B232" s="3" t="s">
        <v>244</v>
      </c>
      <c r="C232" s="6" t="s">
        <v>245</v>
      </c>
      <c r="D232" s="8" t="s">
        <v>568</v>
      </c>
      <c r="E232" s="80">
        <f>110794301325+748512</f>
        <v>110795049837</v>
      </c>
      <c r="F232" s="79">
        <f>E232/SUM($E$231:$E$235)</f>
        <v>2.3928693647305002E-2</v>
      </c>
    </row>
    <row r="233" spans="1:6">
      <c r="A233" s="103"/>
      <c r="B233" s="3" t="s">
        <v>245</v>
      </c>
      <c r="C233" s="6" t="s">
        <v>244</v>
      </c>
      <c r="D233" s="8" t="s">
        <v>569</v>
      </c>
      <c r="E233" s="60">
        <f>161489944714+602539361858+45376463859+250702735069+453948595896+337933312882+3257851788+13149969255+1559841675+14294784+5967194+2770577013</f>
        <v>1872748915987</v>
      </c>
      <c r="F233" s="79">
        <f t="shared" ref="F233:F234" si="19">E233/SUM($E$231:$E$235)</f>
        <v>0.4044624299993802</v>
      </c>
    </row>
    <row r="234" spans="1:6">
      <c r="A234" s="103"/>
      <c r="B234" s="3" t="s">
        <v>246</v>
      </c>
      <c r="C234" s="6" t="s">
        <v>246</v>
      </c>
      <c r="D234" s="8" t="s">
        <v>570</v>
      </c>
      <c r="E234" s="60">
        <f>328324488832+150317491948+298452321415+246109460828+285968586112+149083911191+1309425765+350865</f>
        <v>1459566036956</v>
      </c>
      <c r="F234" s="79">
        <f t="shared" si="19"/>
        <v>0.31522625431111817</v>
      </c>
    </row>
    <row r="235" spans="1:6">
      <c r="A235" s="103"/>
      <c r="C235" s="6" t="s">
        <v>571</v>
      </c>
      <c r="D235" s="8" t="s">
        <v>572</v>
      </c>
    </row>
    <row r="236" spans="1:6">
      <c r="A236" s="103" t="s">
        <v>25</v>
      </c>
      <c r="B236" s="3" t="s">
        <v>247</v>
      </c>
      <c r="C236" s="6" t="s">
        <v>247</v>
      </c>
      <c r="D236" s="8" t="s">
        <v>573</v>
      </c>
      <c r="E236" s="80">
        <f>9471112901+0.963788</f>
        <v>9471112901.9637871</v>
      </c>
      <c r="F236" s="79">
        <f>E236/SUM(E$237:E$243)</f>
        <v>2.2638098025231481E-3</v>
      </c>
    </row>
    <row r="237" spans="1:6">
      <c r="A237" s="103"/>
      <c r="B237" s="3" t="s">
        <v>248</v>
      </c>
      <c r="C237" s="6" t="s">
        <v>248</v>
      </c>
      <c r="D237" s="8" t="s">
        <v>574</v>
      </c>
      <c r="E237" s="80">
        <f>17206068612+233871229431+3147277005+195011378584+54061607556+21373762815+826104+8206382+327535794</f>
        <v>525007892283</v>
      </c>
      <c r="F237" s="79">
        <f>E237/SUM(E$237:E$243)</f>
        <v>0.12548873878441882</v>
      </c>
    </row>
    <row r="238" spans="1:6">
      <c r="A238" s="103"/>
      <c r="B238" s="3" t="s">
        <v>249</v>
      </c>
      <c r="C238" s="6" t="s">
        <v>252</v>
      </c>
      <c r="D238" s="8" t="s">
        <v>575</v>
      </c>
      <c r="E238" s="80">
        <f>731469426952+6044601+4966569315+3229098</f>
        <v>736445269966</v>
      </c>
      <c r="F238" s="79">
        <f t="shared" ref="F238:F243" si="20">E238/SUM(E$237:E$243)</f>
        <v>0.1760270454410017</v>
      </c>
    </row>
    <row r="239" spans="1:6">
      <c r="A239" s="103"/>
      <c r="B239" s="3" t="s">
        <v>250</v>
      </c>
      <c r="C239" s="6" t="s">
        <v>254</v>
      </c>
      <c r="D239" s="8" t="s">
        <v>576</v>
      </c>
      <c r="E239" s="80">
        <f>23084934+213966720968+132361</f>
        <v>213989938263</v>
      </c>
      <c r="F239" s="79">
        <f t="shared" si="20"/>
        <v>5.1148426261570387E-2</v>
      </c>
    </row>
    <row r="240" spans="1:6">
      <c r="A240" s="103"/>
      <c r="B240" s="3" t="s">
        <v>251</v>
      </c>
      <c r="C240" s="6" t="s">
        <v>251</v>
      </c>
      <c r="D240" s="8" t="s">
        <v>577</v>
      </c>
      <c r="E240" s="60">
        <f>3611246+78261759394+207733549012+2202944+11255064261+3332468736+3176664+15457895594+661805</f>
        <v>316050389656</v>
      </c>
      <c r="F240" s="79">
        <f t="shared" si="20"/>
        <v>7.5543178251645873E-2</v>
      </c>
    </row>
    <row r="241" spans="1:6">
      <c r="A241" s="103"/>
      <c r="B241" s="3" t="s">
        <v>252</v>
      </c>
      <c r="C241" s="6" t="s">
        <v>253</v>
      </c>
      <c r="D241" s="8" t="s">
        <v>578</v>
      </c>
      <c r="E241" s="80">
        <f>113546391828+205672717644+394267227508+44121675+122190559935+26971791+22933551272+6259527105+3516266+4257162+1309896+654948+40699585544</f>
        <v>905650392574</v>
      </c>
      <c r="F241" s="79">
        <f t="shared" si="20"/>
        <v>0.21647088970324235</v>
      </c>
    </row>
    <row r="242" spans="1:6">
      <c r="A242" s="103"/>
      <c r="B242" s="3" t="s">
        <v>253</v>
      </c>
      <c r="C242" s="6" t="s">
        <v>250</v>
      </c>
      <c r="D242" s="8" t="s">
        <v>579</v>
      </c>
      <c r="E242" s="80">
        <f>453435504116+14185994205+212557903326+106217331748</f>
        <v>786396733395</v>
      </c>
      <c r="F242" s="79">
        <f t="shared" si="20"/>
        <v>0.18796657290007149</v>
      </c>
    </row>
    <row r="243" spans="1:6">
      <c r="A243" s="103"/>
      <c r="B243" s="3" t="s">
        <v>254</v>
      </c>
      <c r="C243" s="6" t="s">
        <v>249</v>
      </c>
      <c r="D243" s="8" t="s">
        <v>580</v>
      </c>
      <c r="E243" s="80">
        <f>338026972628+200504667952+161632969494</f>
        <v>700164610074</v>
      </c>
      <c r="F243" s="79">
        <f t="shared" si="20"/>
        <v>0.16735514865804937</v>
      </c>
    </row>
    <row r="244" spans="1:6">
      <c r="A244" s="103" t="s">
        <v>26</v>
      </c>
      <c r="B244" s="3" t="s">
        <v>255</v>
      </c>
      <c r="C244" s="6" t="s">
        <v>294</v>
      </c>
      <c r="D244" s="8" t="s">
        <v>581</v>
      </c>
    </row>
    <row r="245" spans="1:6">
      <c r="A245" s="103"/>
      <c r="B245" s="3" t="s">
        <v>256</v>
      </c>
      <c r="C245" s="6" t="s">
        <v>268</v>
      </c>
      <c r="D245" s="8" t="s">
        <v>582</v>
      </c>
      <c r="E245" s="60">
        <v>0.97676781999999995</v>
      </c>
      <c r="F245" s="79">
        <f>E245/SUM(E$246:E$261)</f>
        <v>4.8689191797233271E-12</v>
      </c>
    </row>
    <row r="246" spans="1:6">
      <c r="A246" s="103"/>
      <c r="B246" s="3" t="s">
        <v>257</v>
      </c>
      <c r="C246" s="6" t="s">
        <v>280</v>
      </c>
      <c r="D246" s="8" t="s">
        <v>583</v>
      </c>
      <c r="E246" s="60">
        <f>4208695848+22651648485+693744+17380202635</f>
        <v>44241240712</v>
      </c>
      <c r="F246" s="79">
        <f>E246/SUM(E$246:E$261)</f>
        <v>0.22053042803704703</v>
      </c>
    </row>
    <row r="247" spans="1:6">
      <c r="A247" s="103"/>
      <c r="B247" s="3" t="s">
        <v>258</v>
      </c>
      <c r="C247" s="6" t="s">
        <v>270</v>
      </c>
      <c r="D247" s="8" t="s">
        <v>584</v>
      </c>
      <c r="E247" s="80">
        <f>41230071546+0.09699+0.838410657+0.561384+3629092+8603465+140346</f>
        <v>41242444450.496788</v>
      </c>
      <c r="F247" s="79">
        <f>E247/SUM(E$244:E$284)</f>
        <v>0.11423520725215677</v>
      </c>
    </row>
    <row r="248" spans="1:6">
      <c r="A248" s="103"/>
      <c r="B248" s="3" t="s">
        <v>259</v>
      </c>
      <c r="C248" s="6" t="s">
        <v>285</v>
      </c>
      <c r="D248" s="8" t="s">
        <v>585</v>
      </c>
      <c r="E248" s="80">
        <f>5575264846+1259142+16702928055</f>
        <v>22279452043</v>
      </c>
      <c r="F248" s="79">
        <f>E248/SUM(E$244:E$284)</f>
        <v>6.1710644349693373E-2</v>
      </c>
    </row>
    <row r="249" spans="1:6">
      <c r="A249" s="103"/>
      <c r="B249" s="3" t="s">
        <v>260</v>
      </c>
      <c r="C249" s="6" t="s">
        <v>264</v>
      </c>
      <c r="D249" s="8" t="s">
        <v>586</v>
      </c>
    </row>
    <row r="250" spans="1:6">
      <c r="A250" s="103"/>
      <c r="B250" s="3" t="s">
        <v>261</v>
      </c>
      <c r="C250" s="6" t="s">
        <v>269</v>
      </c>
      <c r="D250" s="8" t="s">
        <v>587</v>
      </c>
    </row>
    <row r="251" spans="1:6" ht="30">
      <c r="A251" s="103"/>
      <c r="B251" s="3" t="s">
        <v>262</v>
      </c>
      <c r="C251" s="6" t="s">
        <v>277</v>
      </c>
      <c r="D251" s="8" t="s">
        <v>588</v>
      </c>
    </row>
    <row r="252" spans="1:6">
      <c r="A252" s="103"/>
      <c r="B252" s="3" t="s">
        <v>263</v>
      </c>
      <c r="C252" s="6" t="s">
        <v>295</v>
      </c>
      <c r="D252" s="8" t="s">
        <v>589</v>
      </c>
    </row>
    <row r="253" spans="1:6">
      <c r="A253" s="103"/>
      <c r="B253" s="3" t="s">
        <v>264</v>
      </c>
      <c r="C253" s="6" t="s">
        <v>266</v>
      </c>
      <c r="D253" s="8" t="s">
        <v>590</v>
      </c>
    </row>
    <row r="254" spans="1:6">
      <c r="A254" s="103"/>
      <c r="B254" s="3" t="s">
        <v>265</v>
      </c>
      <c r="C254" s="6" t="s">
        <v>263</v>
      </c>
      <c r="D254" s="8" t="s">
        <v>591</v>
      </c>
      <c r="E254" s="80">
        <f>1277610474+0.1212375</f>
        <v>1277610474.1212375</v>
      </c>
      <c r="F254" s="79">
        <f t="shared" ref="F254:F256" si="21">E254/SUM(E$244:E$284)</f>
        <v>3.5387838728605675E-3</v>
      </c>
    </row>
    <row r="255" spans="1:6">
      <c r="A255" s="103"/>
      <c r="B255" s="3" t="s">
        <v>266</v>
      </c>
      <c r="C255" s="6" t="s">
        <v>279</v>
      </c>
      <c r="D255" s="8" t="s">
        <v>592</v>
      </c>
      <c r="E255" s="80">
        <v>4424043619</v>
      </c>
      <c r="F255" s="79">
        <f t="shared" si="21"/>
        <v>1.225391817683491E-2</v>
      </c>
    </row>
    <row r="256" spans="1:6" ht="30">
      <c r="A256" s="103"/>
      <c r="B256" s="3" t="s">
        <v>267</v>
      </c>
      <c r="C256" s="6" t="s">
        <v>272</v>
      </c>
      <c r="D256" s="8" t="s">
        <v>593</v>
      </c>
      <c r="E256" s="80">
        <v>9927075</v>
      </c>
      <c r="F256" s="79">
        <f t="shared" si="21"/>
        <v>2.7496465962241098E-5</v>
      </c>
    </row>
    <row r="257" spans="1:6">
      <c r="A257" s="103"/>
      <c r="B257" s="3" t="s">
        <v>268</v>
      </c>
      <c r="C257" s="6" t="s">
        <v>271</v>
      </c>
      <c r="D257" s="8" t="s">
        <v>594</v>
      </c>
    </row>
    <row r="258" spans="1:6" ht="30">
      <c r="A258" s="103"/>
      <c r="B258" s="3" t="s">
        <v>269</v>
      </c>
      <c r="C258" s="6" t="s">
        <v>275</v>
      </c>
      <c r="D258" s="8" t="s">
        <v>595</v>
      </c>
    </row>
    <row r="259" spans="1:6">
      <c r="A259" s="103"/>
      <c r="B259" s="3" t="s">
        <v>270</v>
      </c>
      <c r="C259" s="6" t="s">
        <v>267</v>
      </c>
      <c r="D259" s="8" t="s">
        <v>596</v>
      </c>
    </row>
    <row r="260" spans="1:6">
      <c r="A260" s="103"/>
      <c r="B260" s="3" t="s">
        <v>271</v>
      </c>
      <c r="C260" s="6" t="s">
        <v>274</v>
      </c>
      <c r="D260" s="8" t="s">
        <v>597</v>
      </c>
      <c r="E260" s="80">
        <v>20666440473</v>
      </c>
      <c r="F260" s="79">
        <f>E260/SUM(E$244:E$284)</f>
        <v>5.724285119499211E-2</v>
      </c>
    </row>
    <row r="261" spans="1:6">
      <c r="A261" s="103"/>
      <c r="B261" s="3" t="s">
        <v>272</v>
      </c>
      <c r="C261" s="6" t="s">
        <v>282</v>
      </c>
      <c r="D261" s="8" t="s">
        <v>598</v>
      </c>
      <c r="E261" s="60">
        <f>66471704901</f>
        <v>66471704901</v>
      </c>
      <c r="F261" s="79">
        <f>E261/SUM(E$244:E$284)</f>
        <v>0.18411636572328519</v>
      </c>
    </row>
    <row r="262" spans="1:6">
      <c r="A262" s="103"/>
      <c r="B262" s="3" t="s">
        <v>273</v>
      </c>
      <c r="C262" s="6" t="s">
        <v>287</v>
      </c>
      <c r="D262" s="8" t="s">
        <v>599</v>
      </c>
    </row>
    <row r="263" spans="1:6">
      <c r="A263" s="103"/>
      <c r="B263" s="3" t="s">
        <v>274</v>
      </c>
      <c r="C263" s="6" t="s">
        <v>265</v>
      </c>
      <c r="D263" s="8" t="s">
        <v>600</v>
      </c>
    </row>
    <row r="264" spans="1:6">
      <c r="A264" s="103"/>
      <c r="B264" s="3" t="s">
        <v>275</v>
      </c>
      <c r="C264" s="6" t="s">
        <v>293</v>
      </c>
      <c r="D264" s="8" t="s">
        <v>601</v>
      </c>
    </row>
    <row r="265" spans="1:6">
      <c r="A265" s="103"/>
      <c r="B265" s="3" t="s">
        <v>276</v>
      </c>
      <c r="C265" s="6" t="s">
        <v>292</v>
      </c>
      <c r="D265" s="8" t="s">
        <v>602</v>
      </c>
    </row>
    <row r="266" spans="1:6">
      <c r="A266" s="103"/>
      <c r="B266" s="3" t="s">
        <v>277</v>
      </c>
      <c r="C266" s="6" t="s">
        <v>291</v>
      </c>
      <c r="D266" s="8" t="s">
        <v>603</v>
      </c>
    </row>
    <row r="267" spans="1:6">
      <c r="A267" s="103"/>
      <c r="B267" s="3" t="s">
        <v>278</v>
      </c>
      <c r="C267" s="6" t="s">
        <v>290</v>
      </c>
      <c r="D267" s="8" t="s">
        <v>604</v>
      </c>
    </row>
    <row r="268" spans="1:6" ht="30">
      <c r="A268" s="103"/>
      <c r="B268" s="3" t="s">
        <v>279</v>
      </c>
      <c r="C268" s="6" t="s">
        <v>289</v>
      </c>
      <c r="D268" s="8" t="s">
        <v>605</v>
      </c>
    </row>
    <row r="269" spans="1:6" ht="30">
      <c r="A269" s="103"/>
      <c r="B269" s="3" t="s">
        <v>280</v>
      </c>
      <c r="C269" s="6" t="s">
        <v>286</v>
      </c>
      <c r="D269" s="8" t="s">
        <v>606</v>
      </c>
    </row>
    <row r="270" spans="1:6">
      <c r="A270" s="103"/>
      <c r="B270" s="3" t="s">
        <v>281</v>
      </c>
      <c r="C270" s="6" t="s">
        <v>283</v>
      </c>
      <c r="D270" s="8" t="s">
        <v>607</v>
      </c>
    </row>
    <row r="271" spans="1:6">
      <c r="A271" s="103"/>
      <c r="B271" s="3" t="s">
        <v>282</v>
      </c>
      <c r="C271" s="6" t="s">
        <v>276</v>
      </c>
      <c r="D271" s="8" t="s">
        <v>608</v>
      </c>
      <c r="E271" s="60">
        <v>0.81400680000000003</v>
      </c>
      <c r="F271" s="79">
        <f t="shared" ref="F271:F283" si="22">E271/SUM(E$244:E$284)</f>
        <v>2.254673231463729E-12</v>
      </c>
    </row>
    <row r="272" spans="1:6">
      <c r="A272" s="103"/>
      <c r="B272" s="3" t="s">
        <v>283</v>
      </c>
      <c r="C272" s="6" t="s">
        <v>273</v>
      </c>
      <c r="D272" s="8" t="s">
        <v>609</v>
      </c>
      <c r="E272" s="80">
        <f>25807534947+9927075+72594870357+1101472+0.561384</f>
        <v>98413433851.561386</v>
      </c>
      <c r="F272" s="79">
        <f t="shared" si="22"/>
        <v>0.27259002617857964</v>
      </c>
    </row>
    <row r="273" spans="1:6" ht="30">
      <c r="A273" s="103"/>
      <c r="B273" s="3" t="s">
        <v>284</v>
      </c>
      <c r="C273" s="6" t="s">
        <v>288</v>
      </c>
      <c r="D273" s="8" t="s">
        <v>610</v>
      </c>
      <c r="E273" s="80">
        <f>280692+129759+0.187128</f>
        <v>410451.18712800002</v>
      </c>
      <c r="F273" s="79">
        <f t="shared" si="22"/>
        <v>1.1368864540689481E-6</v>
      </c>
    </row>
    <row r="274" spans="1:6">
      <c r="A274" s="103"/>
      <c r="B274" s="3" t="s">
        <v>285</v>
      </c>
      <c r="C274" s="6" t="s">
        <v>284</v>
      </c>
      <c r="D274" s="8" t="s">
        <v>611</v>
      </c>
      <c r="E274" s="80">
        <f>9270861084+0.275368</f>
        <v>9270861084.2753677</v>
      </c>
      <c r="F274" s="79">
        <f t="shared" si="22"/>
        <v>2.5678854672140913E-2</v>
      </c>
    </row>
    <row r="275" spans="1:6">
      <c r="A275" s="103"/>
      <c r="B275" s="3" t="s">
        <v>286</v>
      </c>
      <c r="C275" s="6" t="s">
        <v>281</v>
      </c>
      <c r="D275" s="8" t="s">
        <v>612</v>
      </c>
    </row>
    <row r="276" spans="1:6">
      <c r="A276" s="103"/>
      <c r="B276" s="3" t="s">
        <v>287</v>
      </c>
      <c r="C276" s="6" t="s">
        <v>278</v>
      </c>
      <c r="D276" s="8" t="s">
        <v>613</v>
      </c>
      <c r="E276" s="80">
        <f>5302073283+1122768+1927576</f>
        <v>5305123627</v>
      </c>
      <c r="F276" s="79">
        <f t="shared" si="22"/>
        <v>1.4694373844791797E-2</v>
      </c>
    </row>
    <row r="277" spans="1:6">
      <c r="A277" s="103"/>
      <c r="B277" s="3" t="s">
        <v>288</v>
      </c>
      <c r="C277" s="6" t="s">
        <v>255</v>
      </c>
      <c r="D277" s="8" t="s">
        <v>614</v>
      </c>
      <c r="E277" s="80">
        <f>7279855+794166</f>
        <v>8074021</v>
      </c>
      <c r="F277" s="79">
        <f t="shared" si="22"/>
        <v>2.2363792315956092E-5</v>
      </c>
    </row>
    <row r="278" spans="1:6">
      <c r="A278" s="103"/>
      <c r="B278" s="3" t="s">
        <v>289</v>
      </c>
      <c r="C278" s="6" t="s">
        <v>256</v>
      </c>
      <c r="D278" s="8" t="s">
        <v>615</v>
      </c>
      <c r="E278" s="80">
        <f>413904101+9000548+40636684234</f>
        <v>41059588883</v>
      </c>
      <c r="F278" s="79">
        <f t="shared" si="22"/>
        <v>0.11372872554554311</v>
      </c>
    </row>
    <row r="279" spans="1:6">
      <c r="A279" s="103"/>
      <c r="B279" s="3" t="s">
        <v>290</v>
      </c>
      <c r="C279" s="6" t="s">
        <v>261</v>
      </c>
      <c r="D279" s="8" t="s">
        <v>616</v>
      </c>
      <c r="E279" s="80">
        <v>826104</v>
      </c>
      <c r="F279" s="79">
        <f t="shared" si="22"/>
        <v>2.2881806088169192E-6</v>
      </c>
    </row>
    <row r="280" spans="1:6">
      <c r="A280" s="103"/>
      <c r="B280" s="3" t="s">
        <v>291</v>
      </c>
      <c r="C280" s="6" t="s">
        <v>259</v>
      </c>
      <c r="D280" s="8" t="s">
        <v>617</v>
      </c>
    </row>
    <row r="281" spans="1:6">
      <c r="A281" s="103"/>
      <c r="B281" s="3" t="s">
        <v>292</v>
      </c>
      <c r="C281" s="6" t="s">
        <v>260</v>
      </c>
      <c r="D281" s="8" t="s">
        <v>618</v>
      </c>
      <c r="E281" s="80">
        <v>2063550144</v>
      </c>
      <c r="F281" s="79">
        <f t="shared" si="22"/>
        <v>5.7157154847599836E-3</v>
      </c>
    </row>
    <row r="282" spans="1:6">
      <c r="A282" s="103"/>
      <c r="B282" s="3" t="s">
        <v>293</v>
      </c>
      <c r="C282" s="6" t="s">
        <v>258</v>
      </c>
      <c r="D282" s="8" t="s">
        <v>619</v>
      </c>
    </row>
    <row r="283" spans="1:6">
      <c r="A283" s="103"/>
      <c r="B283" s="3" t="s">
        <v>294</v>
      </c>
      <c r="C283" s="6" t="s">
        <v>257</v>
      </c>
      <c r="D283" s="8" t="s">
        <v>620</v>
      </c>
      <c r="E283" s="80">
        <f>0.93564+4296209792</f>
        <v>4296209792.9356403</v>
      </c>
      <c r="F283" s="79">
        <f t="shared" si="22"/>
        <v>1.1899838203912201E-2</v>
      </c>
    </row>
    <row r="284" spans="1:6">
      <c r="A284" s="103"/>
      <c r="B284" s="3" t="s">
        <v>295</v>
      </c>
      <c r="C284" s="6" t="s">
        <v>262</v>
      </c>
      <c r="D284" s="8" t="s">
        <v>621</v>
      </c>
    </row>
    <row r="285" spans="1:6">
      <c r="A285" s="103" t="s">
        <v>27</v>
      </c>
      <c r="B285" s="3" t="s">
        <v>296</v>
      </c>
      <c r="C285" s="14" t="s">
        <v>298</v>
      </c>
      <c r="D285" s="13" t="s">
        <v>630</v>
      </c>
    </row>
    <row r="286" spans="1:6">
      <c r="A286" s="103"/>
      <c r="B286" s="3" t="s">
        <v>297</v>
      </c>
      <c r="C286" s="13" t="s">
        <v>297</v>
      </c>
      <c r="D286" s="13" t="s">
        <v>631</v>
      </c>
    </row>
    <row r="287" spans="1:6">
      <c r="A287" s="103"/>
      <c r="B287" s="3" t="s">
        <v>298</v>
      </c>
      <c r="C287" s="13" t="s">
        <v>299</v>
      </c>
      <c r="D287" s="13" t="s">
        <v>632</v>
      </c>
    </row>
    <row r="288" spans="1:6">
      <c r="A288" s="103"/>
      <c r="B288" s="3" t="s">
        <v>299</v>
      </c>
      <c r="C288" s="6" t="s">
        <v>626</v>
      </c>
      <c r="D288" s="13" t="s">
        <v>633</v>
      </c>
    </row>
    <row r="289" spans="1:4">
      <c r="A289" s="103"/>
      <c r="B289" s="3" t="s">
        <v>300</v>
      </c>
      <c r="C289" s="14" t="s">
        <v>627</v>
      </c>
      <c r="D289" s="13" t="s">
        <v>634</v>
      </c>
    </row>
    <row r="290" spans="1:4">
      <c r="A290" s="103"/>
      <c r="B290" s="3" t="s">
        <v>301</v>
      </c>
      <c r="C290" s="14" t="s">
        <v>628</v>
      </c>
      <c r="D290" s="13" t="s">
        <v>635</v>
      </c>
    </row>
    <row r="291" spans="1:4">
      <c r="A291" s="103"/>
      <c r="B291" s="3" t="s">
        <v>302</v>
      </c>
      <c r="C291" s="14" t="s">
        <v>629</v>
      </c>
      <c r="D291" s="13" t="s">
        <v>636</v>
      </c>
    </row>
    <row r="292" spans="1:4">
      <c r="A292" s="103" t="s">
        <v>637</v>
      </c>
      <c r="B292" s="3" t="s">
        <v>303</v>
      </c>
      <c r="C292" s="14" t="s">
        <v>305</v>
      </c>
      <c r="D292" s="14" t="s">
        <v>638</v>
      </c>
    </row>
    <row r="293" spans="1:4">
      <c r="A293" s="103"/>
      <c r="B293" s="3" t="s">
        <v>304</v>
      </c>
      <c r="C293" s="14" t="s">
        <v>307</v>
      </c>
      <c r="D293" s="14" t="s">
        <v>639</v>
      </c>
    </row>
    <row r="294" spans="1:4">
      <c r="A294" s="103"/>
      <c r="B294" s="3" t="s">
        <v>305</v>
      </c>
      <c r="C294" s="14" t="s">
        <v>309</v>
      </c>
      <c r="D294" s="14" t="s">
        <v>640</v>
      </c>
    </row>
    <row r="295" spans="1:4">
      <c r="A295" s="103"/>
      <c r="B295" s="3" t="s">
        <v>306</v>
      </c>
      <c r="C295" s="14" t="s">
        <v>303</v>
      </c>
      <c r="D295" s="14" t="s">
        <v>641</v>
      </c>
    </row>
    <row r="296" spans="1:4">
      <c r="A296" s="103"/>
      <c r="B296" s="3" t="s">
        <v>307</v>
      </c>
      <c r="C296" s="14" t="s">
        <v>308</v>
      </c>
      <c r="D296" s="14" t="s">
        <v>642</v>
      </c>
    </row>
    <row r="297" spans="1:4">
      <c r="A297" s="103"/>
      <c r="B297" s="3" t="s">
        <v>308</v>
      </c>
      <c r="C297" s="14" t="s">
        <v>304</v>
      </c>
      <c r="D297" s="14" t="s">
        <v>643</v>
      </c>
    </row>
    <row r="298" spans="1:4">
      <c r="A298" s="103"/>
      <c r="B298" s="3" t="s">
        <v>309</v>
      </c>
      <c r="C298" s="14" t="s">
        <v>306</v>
      </c>
      <c r="D298" s="14" t="s">
        <v>644</v>
      </c>
    </row>
    <row r="299" spans="1:4">
      <c r="A299" s="29" t="s">
        <v>28</v>
      </c>
      <c r="B299" s="3" t="s">
        <v>310</v>
      </c>
      <c r="C299" s="31" t="s">
        <v>310</v>
      </c>
      <c r="D299" s="31" t="s">
        <v>645</v>
      </c>
    </row>
    <row r="300" spans="1:4">
      <c r="A300" s="50" t="s">
        <v>29</v>
      </c>
      <c r="B300" s="3" t="s">
        <v>311</v>
      </c>
      <c r="C300" s="13" t="s">
        <v>311</v>
      </c>
      <c r="D300" s="8" t="s">
        <v>646</v>
      </c>
    </row>
    <row r="301" spans="1:4">
      <c r="A301" s="103" t="s">
        <v>30</v>
      </c>
      <c r="B301" s="3" t="s">
        <v>35</v>
      </c>
      <c r="C301" s="13" t="s">
        <v>33</v>
      </c>
      <c r="D301" s="13" t="s">
        <v>647</v>
      </c>
    </row>
    <row r="302" spans="1:4">
      <c r="A302" s="103"/>
      <c r="B302" s="3" t="s">
        <v>34</v>
      </c>
      <c r="C302" s="13" t="s">
        <v>34</v>
      </c>
      <c r="D302" s="13" t="s">
        <v>648</v>
      </c>
    </row>
    <row r="303" spans="1:4">
      <c r="A303" s="103"/>
      <c r="B303" s="3" t="s">
        <v>33</v>
      </c>
      <c r="C303" s="13" t="s">
        <v>35</v>
      </c>
      <c r="D303" s="13" t="s">
        <v>649</v>
      </c>
    </row>
    <row r="304" spans="1:4">
      <c r="A304" s="103" t="s">
        <v>31</v>
      </c>
      <c r="B304" s="3" t="s">
        <v>312</v>
      </c>
      <c r="C304" s="13" t="s">
        <v>315</v>
      </c>
      <c r="D304" s="13" t="s">
        <v>650</v>
      </c>
    </row>
    <row r="305" spans="1:4">
      <c r="A305" s="103"/>
      <c r="B305" s="3" t="s">
        <v>313</v>
      </c>
      <c r="C305" s="13" t="s">
        <v>314</v>
      </c>
      <c r="D305" s="13" t="s">
        <v>651</v>
      </c>
    </row>
    <row r="306" spans="1:4">
      <c r="A306" s="103"/>
      <c r="B306" s="3" t="s">
        <v>314</v>
      </c>
      <c r="C306" s="13" t="s">
        <v>313</v>
      </c>
      <c r="D306" s="8" t="s">
        <v>652</v>
      </c>
    </row>
    <row r="307" spans="1:4">
      <c r="A307" s="103"/>
      <c r="B307" s="3" t="s">
        <v>315</v>
      </c>
      <c r="C307" s="13" t="s">
        <v>312</v>
      </c>
      <c r="D307" s="8" t="s">
        <v>653</v>
      </c>
    </row>
    <row r="308" spans="1:4">
      <c r="A308" s="29" t="s">
        <v>32</v>
      </c>
      <c r="B308" s="3" t="s">
        <v>316</v>
      </c>
      <c r="C308" s="32" t="s">
        <v>656</v>
      </c>
    </row>
    <row r="309" spans="1:4">
      <c r="A309" s="29" t="s">
        <v>655</v>
      </c>
      <c r="B309" s="3" t="s">
        <v>658</v>
      </c>
      <c r="C309" s="32" t="s">
        <v>658</v>
      </c>
      <c r="D309" s="3" t="s">
        <v>655</v>
      </c>
    </row>
    <row r="310" spans="1:4">
      <c r="A310" s="29" t="s">
        <v>654</v>
      </c>
      <c r="C310" s="32" t="s">
        <v>657</v>
      </c>
      <c r="D310" s="3" t="s">
        <v>654</v>
      </c>
    </row>
  </sheetData>
  <mergeCells count="27">
    <mergeCell ref="A292:A298"/>
    <mergeCell ref="A301:A303"/>
    <mergeCell ref="A304:A307"/>
    <mergeCell ref="A225:A226"/>
    <mergeCell ref="A227:A230"/>
    <mergeCell ref="A231:A235"/>
    <mergeCell ref="A236:A243"/>
    <mergeCell ref="A244:A284"/>
    <mergeCell ref="A285:A291"/>
    <mergeCell ref="A217:A224"/>
    <mergeCell ref="A74:A86"/>
    <mergeCell ref="A87:A105"/>
    <mergeCell ref="A106:A132"/>
    <mergeCell ref="A133:A136"/>
    <mergeCell ref="A137:A157"/>
    <mergeCell ref="A160:A161"/>
    <mergeCell ref="A163:A170"/>
    <mergeCell ref="A172:A183"/>
    <mergeCell ref="A184:A192"/>
    <mergeCell ref="A193:A209"/>
    <mergeCell ref="A210:A216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steel</vt:lpstr>
      <vt:lpstr>steel_stainless</vt:lpstr>
      <vt:lpstr>alu_prim</vt:lpstr>
      <vt:lpstr>chlorin</vt:lpstr>
      <vt:lpstr>methanol</vt:lpstr>
      <vt:lpstr>ethylene</vt:lpstr>
      <vt:lpstr>propylene</vt:lpstr>
      <vt:lpstr>aromate</vt:lpstr>
      <vt:lpstr>paper</vt:lpstr>
      <vt:lpstr>cement</vt:lpstr>
      <vt:lpstr>glass</vt:lpstr>
      <vt:lpstr>ammonia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Bujandric, Andelka</cp:lastModifiedBy>
  <dcterms:created xsi:type="dcterms:W3CDTF">2021-05-13T14:32:01Z</dcterms:created>
  <dcterms:modified xsi:type="dcterms:W3CDTF">2021-06-22T13:27:22Z</dcterms:modified>
</cp:coreProperties>
</file>