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:\Projekte\endemo\input\traffic\"/>
    </mc:Choice>
  </mc:AlternateContent>
  <xr:revisionPtr revIDLastSave="0" documentId="13_ncr:1_{DD12E677-036D-4C02-9AD3-89BE9B97F3F6}" xr6:coauthVersionLast="47" xr6:coauthVersionMax="47" xr10:uidLastSave="{00000000-0000-0000-0000-000000000000}"/>
  <bookViews>
    <workbookView xWindow="30510" yWindow="-9330" windowWidth="21990" windowHeight="15300" tabRatio="852" xr2:uid="{00000000-000D-0000-FFFF-FFFF00000000}"/>
  </bookViews>
  <sheets>
    <sheet name="EnergyperSource" sheetId="28" r:id="rId1"/>
    <sheet name="elec_rail" sheetId="14" r:id="rId2"/>
    <sheet name="elec_rail_ref" sheetId="10" r:id="rId3"/>
    <sheet name="elec_road_ref" sheetId="3" r:id="rId4"/>
    <sheet name="elec_ship_ref" sheetId="12" r:id="rId5"/>
    <sheet name="elec_flight_ref" sheetId="13" r:id="rId6"/>
    <sheet name="elec_rail_user" sheetId="17" r:id="rId7"/>
    <sheet name="elec_road_user" sheetId="18" r:id="rId8"/>
    <sheet name="elec_ship_user" sheetId="15" r:id="rId9"/>
    <sheet name="elec_flight_user" sheetId="16" r:id="rId10"/>
    <sheet name="h2_rail_ref" sheetId="20" r:id="rId11"/>
    <sheet name="h2_road_ref" sheetId="21" r:id="rId12"/>
    <sheet name="h2_ship_ref" sheetId="22" r:id="rId13"/>
    <sheet name="h2_flight_ref" sheetId="23" r:id="rId14"/>
    <sheet name="h2_rail_user" sheetId="24" r:id="rId15"/>
    <sheet name="h2_road_user" sheetId="25" r:id="rId16"/>
    <sheet name="h2_ship_user" sheetId="26" r:id="rId17"/>
    <sheet name="h2_flight_user" sheetId="2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8" l="1"/>
  <c r="E4" i="28"/>
  <c r="D5" i="28"/>
  <c r="D6" i="28"/>
  <c r="D4" i="28" s="1"/>
  <c r="D24" i="28"/>
  <c r="C28" i="28" s="1"/>
  <c r="B3" i="17"/>
  <c r="C3" i="17"/>
  <c r="D3" i="17"/>
  <c r="E3" i="17"/>
  <c r="F3" i="17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B20" i="17"/>
  <c r="C20" i="17"/>
  <c r="D20" i="17"/>
  <c r="E20" i="17"/>
  <c r="F20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28" i="17"/>
  <c r="C28" i="17"/>
  <c r="D28" i="17"/>
  <c r="E28" i="17"/>
  <c r="F28" i="17"/>
  <c r="B29" i="17"/>
  <c r="C29" i="17"/>
  <c r="D29" i="17"/>
  <c r="E29" i="17"/>
  <c r="F29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B34" i="17"/>
  <c r="C34" i="17"/>
  <c r="D34" i="17"/>
  <c r="E34" i="17"/>
  <c r="F34" i="17"/>
  <c r="B35" i="17"/>
  <c r="C35" i="17"/>
  <c r="D35" i="17"/>
  <c r="E35" i="17"/>
  <c r="F35" i="17"/>
  <c r="B36" i="17"/>
  <c r="C36" i="17"/>
  <c r="D36" i="17"/>
  <c r="E36" i="17"/>
  <c r="F36" i="17"/>
  <c r="B37" i="17"/>
  <c r="C37" i="17"/>
  <c r="D37" i="17"/>
  <c r="E37" i="17"/>
  <c r="F37" i="17"/>
  <c r="C2" i="17"/>
  <c r="D2" i="17"/>
  <c r="E2" i="17"/>
  <c r="F2" i="17"/>
  <c r="B2" i="17"/>
  <c r="E8" i="10"/>
  <c r="E3" i="10"/>
  <c r="E4" i="10"/>
  <c r="E5" i="10"/>
  <c r="E6" i="10"/>
  <c r="E7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2" i="10"/>
  <c r="F3" i="10"/>
  <c r="F4" i="10"/>
  <c r="F5" i="10"/>
  <c r="F6" i="10"/>
  <c r="F7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7" i="10"/>
  <c r="F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2" i="10"/>
  <c r="D43" i="10"/>
  <c r="D44" i="10"/>
  <c r="B6" i="10"/>
  <c r="B8" i="10"/>
  <c r="B10" i="10"/>
  <c r="B11" i="10"/>
  <c r="B13" i="10"/>
  <c r="B14" i="10"/>
  <c r="B17" i="10"/>
  <c r="B19" i="10"/>
  <c r="B20" i="10"/>
  <c r="B21" i="10"/>
  <c r="B22" i="10"/>
  <c r="B28" i="10"/>
  <c r="B30" i="10"/>
  <c r="B2" i="10"/>
  <c r="B6" i="28" l="1"/>
  <c r="B37" i="14"/>
  <c r="B37" i="10" s="1"/>
  <c r="B36" i="14"/>
  <c r="B36" i="10" s="1"/>
  <c r="B35" i="14"/>
  <c r="B35" i="10" s="1"/>
  <c r="B34" i="14"/>
  <c r="B34" i="10" s="1"/>
  <c r="B33" i="14"/>
  <c r="B33" i="10" s="1"/>
  <c r="B32" i="14"/>
  <c r="B32" i="10" s="1"/>
  <c r="B31" i="14"/>
  <c r="B31" i="10" s="1"/>
  <c r="B29" i="14"/>
  <c r="B29" i="10" s="1"/>
  <c r="B27" i="14"/>
  <c r="B27" i="10" s="1"/>
  <c r="B26" i="14"/>
  <c r="B26" i="10" s="1"/>
  <c r="B25" i="14"/>
  <c r="B25" i="10" s="1"/>
  <c r="B24" i="14"/>
  <c r="B24" i="10" s="1"/>
  <c r="B23" i="14"/>
  <c r="B23" i="10" s="1"/>
  <c r="B18" i="14"/>
  <c r="B18" i="10" s="1"/>
  <c r="B16" i="14"/>
  <c r="B16" i="10" s="1"/>
  <c r="B15" i="14"/>
  <c r="B15" i="10" s="1"/>
  <c r="B12" i="14"/>
  <c r="B12" i="10" s="1"/>
  <c r="B9" i="14"/>
  <c r="B9" i="10" s="1"/>
  <c r="B7" i="14"/>
  <c r="B7" i="10" s="1"/>
  <c r="B5" i="14"/>
  <c r="B5" i="10" s="1"/>
  <c r="B4" i="14"/>
  <c r="B4" i="10" s="1"/>
  <c r="B3" i="14"/>
  <c r="B3" i="10" s="1"/>
  <c r="B2" i="28" l="1"/>
  <c r="B3" i="28"/>
  <c r="B4" i="28"/>
  <c r="B7" i="28"/>
</calcChain>
</file>

<file path=xl/sharedStrings.xml><?xml version="1.0" encoding="utf-8"?>
<sst xmlns="http://schemas.openxmlformats.org/spreadsheetml/2006/main" count="849" uniqueCount="154">
  <si>
    <t>Country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</si>
  <si>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</si>
  <si>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</si>
  <si>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</si>
  <si>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</si>
  <si>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</si>
  <si>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</si>
  <si>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</si>
  <si>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</si>
  <si>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</si>
  <si>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</si>
  <si>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</si>
  <si>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</si>
  <si>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</si>
  <si>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</si>
  <si>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</si>
  <si>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</si>
  <si>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</si>
  <si>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</si>
  <si>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</si>
  <si>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</si>
  <si>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</si>
  <si>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</si>
  <si>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</si>
  <si>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</si>
  <si>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</si>
  <si>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</si>
  <si>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</si>
  <si>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</si>
  <si>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</si>
  <si>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</si>
  <si>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</si>
  <si>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</si>
  <si>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</si>
  <si>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Serbia</t>
  </si>
  <si>
    <t>Albania</t>
  </si>
  <si>
    <t>Bosnia and Herzegovina</t>
  </si>
  <si>
    <t>https://www.allianz-pro-schiene.de/themen/aktuell/innovative-antriebe-auf-der-schiene/</t>
  </si>
  <si>
    <t>%</t>
  </si>
  <si>
    <t>[1]</t>
  </si>
  <si>
    <t>[2]</t>
  </si>
  <si>
    <t>https://backend.orbit.dtu.dk/ws/portalfiles/portal/113160092/ICEECC_Proceedings.pdf</t>
  </si>
  <si>
    <t>Statista</t>
  </si>
  <si>
    <t>https://de.statista.com/statistik/daten/studie/689512/umfrage/elektrifizierungsgrad-staatlicher-eisenbahnnetze-in-europa/</t>
  </si>
  <si>
    <t>Forschungsinformationssystem</t>
  </si>
  <si>
    <t>https://www.forschungsinformationssystem.de/servlet/is/343598/</t>
  </si>
  <si>
    <t>https://uic.org/IMG/pdf/synopsis_2015_print_5_.pdf</t>
  </si>
  <si>
    <t>Year</t>
  </si>
  <si>
    <t>Source</t>
  </si>
  <si>
    <t>Electrification [%]</t>
  </si>
  <si>
    <t xml:space="preserve">Unit: </t>
  </si>
  <si>
    <t>Source:</t>
  </si>
  <si>
    <t>Assumption</t>
  </si>
  <si>
    <t>A1</t>
  </si>
  <si>
    <t>Electrification = 100% - diesel_percentage</t>
  </si>
  <si>
    <t>Further Info</t>
  </si>
  <si>
    <t>F1</t>
  </si>
  <si>
    <t>Original source for [2]</t>
  </si>
  <si>
    <t>[2], A1</t>
  </si>
  <si>
    <t>Source used by statista from time to time</t>
  </si>
  <si>
    <t>F2</t>
  </si>
  <si>
    <t>[3]</t>
  </si>
  <si>
    <t>[4]</t>
  </si>
  <si>
    <t>https://unece.org/fileadmin/DAM/trans/doc/2018/wp6/Iceland.pdf</t>
  </si>
  <si>
    <t>A2</t>
  </si>
  <si>
    <t>once it is built, the rail transport will be 100% electrified</t>
  </si>
  <si>
    <t>[3,4], A2</t>
  </si>
  <si>
    <t>Eurostat</t>
  </si>
  <si>
    <t>ModalSplit_Person_EU_2009.xlsx</t>
  </si>
  <si>
    <t>Modal split of passenger transport [TRAN_HV_PSMOD]</t>
  </si>
  <si>
    <t>No rail transport</t>
  </si>
  <si>
    <t>https://www.irishrail.ie/en-ie/about-us/iarnrod-eireann-fleet</t>
  </si>
  <si>
    <t>[5]</t>
  </si>
  <si>
    <t>only one electrified rail line</t>
  </si>
  <si>
    <t>Projections</t>
  </si>
  <si>
    <t>F3</t>
  </si>
  <si>
    <t>influence of nonelectrified railway on non electrified rail-transport</t>
  </si>
  <si>
    <t>influence of electrified railway on electrified rail-transport</t>
  </si>
  <si>
    <t>59% of German electrified railways account for 90% of transport intensity</t>
  </si>
  <si>
    <t xml:space="preserve">Assumption </t>
  </si>
  <si>
    <t>Ireland has currently a very low electrification rate, but also rather short railway-network. It can be relatively easy electrified</t>
  </si>
  <si>
    <t>Source / Assumption</t>
  </si>
  <si>
    <t>all countries as Germany for influences from [1]</t>
  </si>
  <si>
    <t>A3</t>
  </si>
  <si>
    <t>=WENN(B13&gt;60;100;MIN(B13*2;100))</t>
  </si>
  <si>
    <t>own assumption</t>
  </si>
  <si>
    <t>Gnann, Till; Speth, Daniel; Krail, Michael; Wietschel, Martin; Oberle, Stella (2022): Pathways to Carbon-Free Transport in Germany until 2050. In: WEVJ 13 (8), S. 136. DOI: 10.3390/wevj13080136.</t>
  </si>
  <si>
    <t>https://www.mdpi.com/2032-6653/13/8/136</t>
  </si>
  <si>
    <t>BNEF (2021): Hitting the EV Inflection Point.</t>
  </si>
  <si>
    <t>https://www.transportenvironment.org/wp-content/uploads/2021/08/2021_05_05_Electric_vehicle_price_parity_and_adoption_in_Europe_Final.pdf</t>
  </si>
  <si>
    <t>Moritz Wenzel; The Role of Fusion Power Plants in a European Energy Supply System with Consideration of P2X Technologies; 2023; Technical University of Munich</t>
  </si>
  <si>
    <t>Scenario</t>
  </si>
  <si>
    <t>Methodology</t>
  </si>
  <si>
    <t>Country-Grouping</t>
  </si>
  <si>
    <t>Cyprus as Greece</t>
  </si>
  <si>
    <t>Malta as Italy</t>
  </si>
  <si>
    <t>https://www.faz.net/aktuell/wissen/die-rechnung-fuer-den-gueterverkehr-fracht-auf-die-schiene-1492289.html</t>
  </si>
  <si>
    <t>1.8l/100tkm</t>
  </si>
  <si>
    <t>https://elib.dlr.de/121388/1/studie-drop-in-kraftstoffe-luftfahrt.pdf</t>
  </si>
  <si>
    <t xml:space="preserve">spezifische Kerosinverbrauch pro Tonnenkilometer von 0,375 kg Treibstoff / Tonnenkilometer (bzw. 16,1 MJ / tkm) im Jahr 2000 auf 0,246 kg Treibstoff / Tonnenkilometer (10,6 MJ / tkm) im Jahr 2030 verbessern wird. </t>
  </si>
  <si>
    <t>p. 25</t>
  </si>
  <si>
    <t>Further Info:</t>
  </si>
  <si>
    <t>https://www.chemie.de/lexikon/Kraftstoff.html</t>
  </si>
  <si>
    <t>Diesel MJ/l</t>
  </si>
  <si>
    <t>CF2</t>
  </si>
  <si>
    <t>https://livebunkers.com/heavy-fuel-oil-hfo</t>
  </si>
  <si>
    <t>Heavy oil MJ/kg</t>
  </si>
  <si>
    <t>CF1</t>
  </si>
  <si>
    <t>Conversion factor:</t>
  </si>
  <si>
    <t>ratio of energy consumptions as for the person trafic (cars)</t>
  </si>
  <si>
    <t>same consumption regardless of the energy carrier</t>
  </si>
  <si>
    <t>Assumption:</t>
  </si>
  <si>
    <t>https://www.fvv-net.de/fileadmin/Transfer/Downloads/FVV_H1086_Renewables_in_Transport_2050_-_Kraftstoffstudie_II.pdf</t>
  </si>
  <si>
    <t>p.124</t>
  </si>
  <si>
    <t>https://www.bussgeld-info.de/zuladung-lkw/</t>
  </si>
  <si>
    <t>tonnes per truck</t>
  </si>
  <si>
    <t>25 t per truck</t>
  </si>
  <si>
    <t>https://www.bwl.uni-hamburg.de/vw/lehre/lehre-frueherer-semester/ws2013-14/vul-zwei-fahrzeugkosten.pdf</t>
  </si>
  <si>
    <t>exemplary</t>
  </si>
  <si>
    <t>36l/100km</t>
  </si>
  <si>
    <t>p. 5</t>
  </si>
  <si>
    <t>https://media1.verkehrsrundschau.de/fm/3576/VR-CO2_Spezial_2011_Juni.pdf</t>
  </si>
  <si>
    <t>many different values</t>
  </si>
  <si>
    <t>p. 14</t>
  </si>
  <si>
    <t>MJ/tkm</t>
  </si>
  <si>
    <t>flights</t>
  </si>
  <si>
    <t>railways</t>
  </si>
  <si>
    <t>roads</t>
  </si>
  <si>
    <t>transport</t>
  </si>
  <si>
    <t>https://www.forschungsinformationssystem.de/servlet/is/342234/</t>
  </si>
  <si>
    <t>year 2018</t>
  </si>
  <si>
    <t>Unit:</t>
  </si>
  <si>
    <t>[5]+calc, A2</t>
  </si>
  <si>
    <t>Petrol</t>
  </si>
  <si>
    <t>[2], CF1 + see [1]</t>
  </si>
  <si>
    <t>[5],+ see [1], F2</t>
  </si>
  <si>
    <t>[3,4], + see [1]</t>
  </si>
  <si>
    <t>Diesel</t>
  </si>
  <si>
    <t>[1], F1</t>
  </si>
  <si>
    <t>Kerosine</t>
  </si>
  <si>
    <t>[5]+calc</t>
  </si>
  <si>
    <t>Hydrogen</t>
  </si>
  <si>
    <t>Plug-in-Hybrid</t>
  </si>
  <si>
    <t>Electricity</t>
  </si>
  <si>
    <t>Source flight</t>
  </si>
  <si>
    <t>Source ship</t>
  </si>
  <si>
    <t>Source rail</t>
  </si>
  <si>
    <t>Source road</t>
  </si>
  <si>
    <t>Sources</t>
  </si>
  <si>
    <t>flight</t>
  </si>
  <si>
    <t>ship</t>
  </si>
  <si>
    <t>rail</t>
  </si>
  <si>
    <t>road</t>
  </si>
  <si>
    <t>Energy consumption MJ/tkm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</si>
</sst>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1" fontId="0" fillId="0" borderId="0" xfId="0" applyNumberFormat="1"/>
    <xf numFmtId="0" fontId="2" fillId="0" borderId="0" xfId="1"/>
    <xf numFmtId="164" fontId="0" fillId="0" borderId="0" xfId="0" applyNumberFormat="1"/>
    <xf numFmtId="0" fontId="4" fillId="0" borderId="0" xfId="1" applyFont="1"/>
    <xf numFmtId="0" fontId="0" fillId="0" borderId="0" xfId="0" quotePrefix="1"/>
    <xf numFmtId="0" fontId="5" fillId="0" borderId="0" xfId="0" applyFont="1" applyAlignment="1">
      <alignment vertical="center"/>
    </xf>
    <xf numFmtId="0" fontId="6" fillId="0" borderId="0" xfId="0" applyFont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/>
    <xf numFmtId="0" fontId="0" fillId="0" borderId="5" xfId="0" applyBorder="1"/>
    <xf numFmtId="2" fontId="0" fillId="0" borderId="0" xfId="0" applyNumberFormat="1"/>
    <xf numFmtId="2" fontId="0" fillId="0" borderId="5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z.net/aktuell/wissen/die-rechnung-fuer-den-gueterverkehr-fracht-auf-die-schiene-1492289.html" TargetMode="External"/><Relationship Id="rId3" Type="http://schemas.openxmlformats.org/officeDocument/2006/relationships/hyperlink" Target="https://www.bwl.uni-hamburg.de/vw/lehre/lehre-frueherer-semester/ws2013-14/vul-zwei-fahrzeugkosten.pdf" TargetMode="External"/><Relationship Id="rId7" Type="http://schemas.openxmlformats.org/officeDocument/2006/relationships/hyperlink" Target="https://elib.dlr.de/121388/1/studie-drop-in-kraftstoffe-luftfahrt.pdf" TargetMode="External"/><Relationship Id="rId2" Type="http://schemas.openxmlformats.org/officeDocument/2006/relationships/hyperlink" Target="https://media1.verkehrsrundschau.de/fm/3576/VR-CO2_Spezial_2011_Juni.pdf" TargetMode="External"/><Relationship Id="rId1" Type="http://schemas.openxmlformats.org/officeDocument/2006/relationships/hyperlink" Target="https://www.forschungsinformationssystem.de/servlet/is/342234/" TargetMode="External"/><Relationship Id="rId6" Type="http://schemas.openxmlformats.org/officeDocument/2006/relationships/hyperlink" Target="https://www.chemie.de/lexikon/Kraftstoff.html" TargetMode="External"/><Relationship Id="rId5" Type="http://schemas.openxmlformats.org/officeDocument/2006/relationships/hyperlink" Target="https://livebunkers.com/heavy-fuel-oil-hfo" TargetMode="External"/><Relationship Id="rId4" Type="http://schemas.openxmlformats.org/officeDocument/2006/relationships/hyperlink" Target="https://www.bussgeld-info.de/zuladung-lkw/" TargetMode="External"/><Relationship Id="rId9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ransportenvironment.org/wp-content/uploads/2021/08/2021_05_05_Electric_vehicle_price_parity_and_adoption_in_Europe_Final.pdf" TargetMode="External"/><Relationship Id="rId1" Type="http://schemas.openxmlformats.org/officeDocument/2006/relationships/hyperlink" Target="https://www.mdpi.com/2032-6653/13/8/13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.statista.com/statistik/daten/studie/689512/umfrage/elektrifizierungsgrad-staatlicher-eisenbahnnetze-in-europa/" TargetMode="External"/><Relationship Id="rId2" Type="http://schemas.openxmlformats.org/officeDocument/2006/relationships/hyperlink" Target="https://uic.org/IMG/pdf/synopsis_2015_print_5_.pdf" TargetMode="External"/><Relationship Id="rId1" Type="http://schemas.openxmlformats.org/officeDocument/2006/relationships/hyperlink" Target="https://www.allianz-pro-schiene.de/themen/aktuell/innovative-antriebe-auf-der-schiene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backend.orbit.dtu.dk/ws/portalfiles/portal/113160092/ICEECC_Proceedings.pdf" TargetMode="External"/><Relationship Id="rId4" Type="http://schemas.openxmlformats.org/officeDocument/2006/relationships/hyperlink" Target="https://www.forschungsinformationssystem.de/servlet/is/343598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orschungsinformationssystem.de/servlet/is/343598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transportenvironment.org/wp-content/uploads/2021/08/2021_05_05_Electric_vehicle_price_parity_and_adoption_in_Europe_Final.pdf" TargetMode="External"/><Relationship Id="rId1" Type="http://schemas.openxmlformats.org/officeDocument/2006/relationships/hyperlink" Target="https://www.mdpi.com/2032-6653/13/8/1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9EC6-8394-49F7-9847-0D4F325761FB}">
  <dimension ref="A1:K28"/>
  <sheetViews>
    <sheetView tabSelected="1" workbookViewId="0">
      <selection activeCell="F9" sqref="F9"/>
    </sheetView>
  </sheetViews>
  <sheetFormatPr baseColWidth="10" defaultRowHeight="14.5" x14ac:dyDescent="0.35"/>
  <cols>
    <col min="1" max="1" width="26.54296875" bestFit="1" customWidth="1"/>
    <col min="7" max="7" width="26.54296875" bestFit="1" customWidth="1"/>
    <col min="8" max="8" width="13.453125" bestFit="1" customWidth="1"/>
    <col min="9" max="9" width="14.453125" bestFit="1" customWidth="1"/>
    <col min="10" max="10" width="16.54296875" bestFit="1" customWidth="1"/>
    <col min="11" max="11" width="12.1796875" bestFit="1" customWidth="1"/>
  </cols>
  <sheetData>
    <row r="1" spans="1:11" x14ac:dyDescent="0.35">
      <c r="A1" s="23" t="s">
        <v>153</v>
      </c>
      <c r="B1" s="22" t="s">
        <v>152</v>
      </c>
      <c r="C1" s="22" t="s">
        <v>151</v>
      </c>
      <c r="D1" s="22" t="s">
        <v>150</v>
      </c>
      <c r="E1" s="21" t="s">
        <v>149</v>
      </c>
      <c r="G1" s="23" t="s">
        <v>148</v>
      </c>
      <c r="H1" s="22" t="s">
        <v>147</v>
      </c>
      <c r="I1" s="22" t="s">
        <v>146</v>
      </c>
      <c r="J1" s="22" t="s">
        <v>145</v>
      </c>
      <c r="K1" s="21" t="s">
        <v>144</v>
      </c>
    </row>
    <row r="2" spans="1:11" x14ac:dyDescent="0.35">
      <c r="A2" s="17" t="s">
        <v>143</v>
      </c>
      <c r="B2" s="19">
        <f>B6*0.6/1.94</f>
        <v>0.15712329896907218</v>
      </c>
      <c r="C2" s="19">
        <v>0.157</v>
      </c>
      <c r="D2">
        <v>0</v>
      </c>
      <c r="E2" s="18">
        <v>0</v>
      </c>
      <c r="G2" s="17" t="s">
        <v>143</v>
      </c>
      <c r="H2" s="16" t="s">
        <v>132</v>
      </c>
      <c r="I2" s="16" t="s">
        <v>72</v>
      </c>
      <c r="J2" s="16"/>
      <c r="K2" s="15"/>
    </row>
    <row r="3" spans="1:11" x14ac:dyDescent="0.35">
      <c r="A3" s="17" t="s">
        <v>142</v>
      </c>
      <c r="B3" s="19">
        <f>B6*1.66/1.94</f>
        <v>0.43470779381443303</v>
      </c>
      <c r="E3" s="18"/>
      <c r="G3" s="17" t="s">
        <v>142</v>
      </c>
      <c r="H3" s="16" t="s">
        <v>132</v>
      </c>
      <c r="I3" s="16"/>
      <c r="J3" s="16"/>
      <c r="K3" s="15"/>
    </row>
    <row r="4" spans="1:11" x14ac:dyDescent="0.35">
      <c r="A4" s="17" t="s">
        <v>141</v>
      </c>
      <c r="B4" s="19">
        <f>7.2/10*B6</f>
        <v>0.36578304</v>
      </c>
      <c r="C4" s="19">
        <f>92/83*C2</f>
        <v>0.17402409638554217</v>
      </c>
      <c r="D4">
        <f>$D$6</f>
        <v>0.16</v>
      </c>
      <c r="E4" s="20">
        <f>184/206*E5</f>
        <v>8.7533980582524276</v>
      </c>
      <c r="G4" s="17" t="s">
        <v>141</v>
      </c>
      <c r="H4" s="16" t="s">
        <v>140</v>
      </c>
      <c r="I4" s="16" t="s">
        <v>72</v>
      </c>
      <c r="J4" s="16" t="s">
        <v>53</v>
      </c>
      <c r="K4" s="15" t="s">
        <v>72</v>
      </c>
    </row>
    <row r="5" spans="1:11" x14ac:dyDescent="0.35">
      <c r="A5" s="17" t="s">
        <v>139</v>
      </c>
      <c r="D5">
        <f>$D$6</f>
        <v>0.16</v>
      </c>
      <c r="E5" s="18">
        <v>9.8000000000000007</v>
      </c>
      <c r="G5" s="17" t="s">
        <v>139</v>
      </c>
      <c r="H5" s="16"/>
      <c r="I5" s="16"/>
      <c r="J5" s="16" t="s">
        <v>53</v>
      </c>
      <c r="K5" s="15" t="s">
        <v>138</v>
      </c>
    </row>
    <row r="6" spans="1:11" x14ac:dyDescent="0.35">
      <c r="A6" s="17" t="s">
        <v>137</v>
      </c>
      <c r="B6" s="19">
        <f>36/100/25*$D$24</f>
        <v>0.50803200000000004</v>
      </c>
      <c r="C6">
        <v>0.30599999999999999</v>
      </c>
      <c r="D6">
        <f>4/1000*D23</f>
        <v>0.16</v>
      </c>
      <c r="E6" s="18"/>
      <c r="G6" s="17" t="s">
        <v>137</v>
      </c>
      <c r="H6" s="16" t="s">
        <v>136</v>
      </c>
      <c r="I6" s="16" t="s">
        <v>135</v>
      </c>
      <c r="J6" s="16" t="s">
        <v>134</v>
      </c>
      <c r="K6" s="15"/>
    </row>
    <row r="7" spans="1:11" ht="15" thickBot="1" x14ac:dyDescent="0.4">
      <c r="A7" s="11" t="s">
        <v>133</v>
      </c>
      <c r="B7" s="14">
        <f>2.17/1.94*B6</f>
        <v>0.56826259793814438</v>
      </c>
      <c r="C7" s="13"/>
      <c r="D7" s="13"/>
      <c r="E7" s="12"/>
      <c r="G7" s="11" t="s">
        <v>133</v>
      </c>
      <c r="H7" s="10" t="s">
        <v>132</v>
      </c>
      <c r="I7" s="10"/>
      <c r="J7" s="10"/>
      <c r="K7" s="9"/>
    </row>
    <row r="9" spans="1:11" x14ac:dyDescent="0.35">
      <c r="A9" s="8" t="s">
        <v>131</v>
      </c>
      <c r="B9" t="s">
        <v>124</v>
      </c>
    </row>
    <row r="10" spans="1:11" x14ac:dyDescent="0.35">
      <c r="A10" s="8"/>
    </row>
    <row r="11" spans="1:11" x14ac:dyDescent="0.35">
      <c r="A11" s="8" t="s">
        <v>51</v>
      </c>
      <c r="B11" t="s">
        <v>39</v>
      </c>
      <c r="E11" t="s">
        <v>130</v>
      </c>
      <c r="F11" s="3" t="s">
        <v>129</v>
      </c>
    </row>
    <row r="12" spans="1:11" x14ac:dyDescent="0.35">
      <c r="A12" s="8"/>
      <c r="C12" t="s">
        <v>128</v>
      </c>
      <c r="D12" t="s">
        <v>127</v>
      </c>
      <c r="E12" t="s">
        <v>126</v>
      </c>
      <c r="F12" t="s">
        <v>125</v>
      </c>
    </row>
    <row r="13" spans="1:11" x14ac:dyDescent="0.35">
      <c r="A13" s="8"/>
      <c r="C13" t="s">
        <v>124</v>
      </c>
      <c r="D13">
        <v>1.1499999999999999</v>
      </c>
      <c r="E13">
        <v>0.35</v>
      </c>
      <c r="F13">
        <v>9.8000000000000007</v>
      </c>
    </row>
    <row r="14" spans="1:11" x14ac:dyDescent="0.35">
      <c r="A14" s="8"/>
      <c r="B14" t="s">
        <v>40</v>
      </c>
      <c r="C14" t="s">
        <v>123</v>
      </c>
      <c r="E14" t="s">
        <v>122</v>
      </c>
      <c r="F14" s="3" t="s">
        <v>121</v>
      </c>
    </row>
    <row r="15" spans="1:11" x14ac:dyDescent="0.35">
      <c r="A15" s="8"/>
      <c r="B15" t="s">
        <v>61</v>
      </c>
      <c r="C15" t="s">
        <v>120</v>
      </c>
      <c r="D15" t="s">
        <v>119</v>
      </c>
      <c r="E15" t="s">
        <v>118</v>
      </c>
      <c r="F15" s="3" t="s">
        <v>117</v>
      </c>
    </row>
    <row r="16" spans="1:11" x14ac:dyDescent="0.35">
      <c r="A16" s="8"/>
      <c r="B16" t="s">
        <v>62</v>
      </c>
      <c r="D16" t="s">
        <v>116</v>
      </c>
      <c r="E16" t="s">
        <v>115</v>
      </c>
      <c r="F16" s="3" t="s">
        <v>114</v>
      </c>
    </row>
    <row r="17" spans="1:6" x14ac:dyDescent="0.35">
      <c r="A17" s="8"/>
      <c r="B17" t="s">
        <v>72</v>
      </c>
      <c r="C17" t="s">
        <v>113</v>
      </c>
      <c r="F17" t="s">
        <v>112</v>
      </c>
    </row>
    <row r="18" spans="1:6" x14ac:dyDescent="0.35">
      <c r="A18" s="8"/>
    </row>
    <row r="19" spans="1:6" x14ac:dyDescent="0.35">
      <c r="A19" s="8"/>
    </row>
    <row r="20" spans="1:6" x14ac:dyDescent="0.35">
      <c r="A20" s="8" t="s">
        <v>111</v>
      </c>
      <c r="B20" t="s">
        <v>53</v>
      </c>
      <c r="C20" t="s">
        <v>110</v>
      </c>
    </row>
    <row r="21" spans="1:6" x14ac:dyDescent="0.35">
      <c r="A21" s="8"/>
      <c r="B21" t="s">
        <v>64</v>
      </c>
      <c r="C21" t="s">
        <v>109</v>
      </c>
    </row>
    <row r="22" spans="1:6" x14ac:dyDescent="0.35">
      <c r="A22" s="8"/>
    </row>
    <row r="23" spans="1:6" x14ac:dyDescent="0.35">
      <c r="A23" s="8" t="s">
        <v>108</v>
      </c>
      <c r="B23" t="s">
        <v>107</v>
      </c>
      <c r="C23" t="s">
        <v>106</v>
      </c>
      <c r="D23">
        <v>40</v>
      </c>
      <c r="F23" s="3" t="s">
        <v>105</v>
      </c>
    </row>
    <row r="24" spans="1:6" x14ac:dyDescent="0.35">
      <c r="A24" s="8"/>
      <c r="B24" t="s">
        <v>104</v>
      </c>
      <c r="C24" t="s">
        <v>103</v>
      </c>
      <c r="D24">
        <f>9.8*3600/1000</f>
        <v>35.28</v>
      </c>
      <c r="F24" s="3" t="s">
        <v>102</v>
      </c>
    </row>
    <row r="25" spans="1:6" x14ac:dyDescent="0.35">
      <c r="A25" s="8"/>
    </row>
    <row r="26" spans="1:6" x14ac:dyDescent="0.35">
      <c r="A26" s="8"/>
    </row>
    <row r="27" spans="1:6" x14ac:dyDescent="0.35">
      <c r="A27" s="8" t="s">
        <v>101</v>
      </c>
      <c r="B27" t="s">
        <v>56</v>
      </c>
      <c r="C27" t="s">
        <v>100</v>
      </c>
      <c r="E27" t="s">
        <v>99</v>
      </c>
      <c r="F27" s="3" t="s">
        <v>98</v>
      </c>
    </row>
    <row r="28" spans="1:6" x14ac:dyDescent="0.35">
      <c r="B28" t="s">
        <v>60</v>
      </c>
      <c r="C28">
        <f>1.8/100*$D$24</f>
        <v>0.63504000000000005</v>
      </c>
      <c r="E28" t="s">
        <v>97</v>
      </c>
      <c r="F28" s="3" t="s">
        <v>96</v>
      </c>
    </row>
  </sheetData>
  <hyperlinks>
    <hyperlink ref="F11" r:id="rId1" xr:uid="{910EEE6B-98B5-4CA9-99F3-B065182436AC}"/>
    <hyperlink ref="F14" r:id="rId2" xr:uid="{E33EBA8A-CDE4-4112-A629-EB7A5F8D380F}"/>
    <hyperlink ref="F15" r:id="rId3" xr:uid="{B9B95307-6347-4AE4-BF6B-FD7859C96883}"/>
    <hyperlink ref="F16" r:id="rId4" xr:uid="{772B29C3-A13A-4703-9FEB-3D92EB48C0FD}"/>
    <hyperlink ref="F23" r:id="rId5" xr:uid="{C3E6DDD2-DFCA-4372-9B10-C92820D0EF2B}"/>
    <hyperlink ref="F24" r:id="rId6" xr:uid="{F5BD38FE-21E3-4218-AD95-1FE060D938BA}"/>
    <hyperlink ref="F27" r:id="rId7" xr:uid="{E6E5DB42-939A-4467-BCF6-F0D5CCFC29E5}"/>
    <hyperlink ref="F28" r:id="rId8" xr:uid="{46BA1F48-15C1-4BA6-A363-F10442097171}"/>
  </hyperlinks>
  <pageMargins left="0.7" right="0.7" top="0.78740157499999996" bottom="0.78740157499999996" header="0.3" footer="0.3"/>
  <pageSetup paperSize="9"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5CEE-198D-4C66-BB02-5D4D76E2832B}">
  <dimension ref="A1:F37"/>
  <sheetViews>
    <sheetView workbookViewId="0">
      <selection activeCell="F39" sqref="F39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35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35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3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35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35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35">
      <c r="A9" s="1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35">
      <c r="A10" s="1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35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35">
      <c r="A12" s="1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35">
      <c r="A13" s="1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35">
      <c r="A14" s="1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35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35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35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35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35">
      <c r="A19" s="1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35">
      <c r="A20" s="1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35">
      <c r="A21" s="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35">
      <c r="A22" s="1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35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35">
      <c r="A24" s="1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35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35">
      <c r="A26" s="1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35">
      <c r="A27" s="1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35">
      <c r="A28" s="1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35">
      <c r="A29" s="1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35">
      <c r="A30" s="1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35">
      <c r="A31" s="1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35">
      <c r="A32" s="1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35">
      <c r="A33" s="1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35">
      <c r="A34" s="1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35">
      <c r="A35" s="1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35">
      <c r="A36" s="1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35">
      <c r="A37" s="1" t="s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4F3D-040E-4ABF-82B5-3FB8ABC425CF}">
  <dimension ref="A1:F46"/>
  <sheetViews>
    <sheetView zoomScaleNormal="100" workbookViewId="0">
      <selection activeCell="B2" sqref="B2:F37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35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35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3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35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35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35">
      <c r="A9" s="1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35">
      <c r="A10" s="1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35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35">
      <c r="A12" s="1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35">
      <c r="A13" s="1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35">
      <c r="A14" s="1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35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35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35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35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35">
      <c r="A19" s="1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35">
      <c r="A20" s="1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35">
      <c r="A21" s="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35">
      <c r="A22" s="1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35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35">
      <c r="A24" s="1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35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35">
      <c r="A26" s="1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35">
      <c r="A27" s="1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35">
      <c r="A28" s="1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35">
      <c r="A29" s="1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35">
      <c r="A30" s="1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35">
      <c r="A31" s="1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35">
      <c r="A32" s="1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35">
      <c r="A33" s="1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35">
      <c r="A34" s="1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35">
      <c r="A35" s="1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35">
      <c r="A36" s="1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35">
      <c r="A37" s="1" t="s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  <row r="40" spans="1:6" x14ac:dyDescent="0.35">
      <c r="A40" t="s">
        <v>50</v>
      </c>
      <c r="B40" t="s">
        <v>38</v>
      </c>
    </row>
    <row r="42" spans="1:6" x14ac:dyDescent="0.35">
      <c r="A42" t="s">
        <v>51</v>
      </c>
      <c r="B42" t="s">
        <v>39</v>
      </c>
      <c r="F42" s="3"/>
    </row>
    <row r="43" spans="1:6" x14ac:dyDescent="0.35">
      <c r="E43" s="5"/>
    </row>
    <row r="44" spans="1:6" x14ac:dyDescent="0.35">
      <c r="E44" s="5"/>
    </row>
    <row r="46" spans="1:6" x14ac:dyDescent="0.35">
      <c r="A46" t="s">
        <v>79</v>
      </c>
      <c r="B46" t="s">
        <v>53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D65D-9AAC-48EE-9DB1-659E05D7884C}">
  <sheetPr>
    <tabColor rgb="FFFFFF00"/>
  </sheetPr>
  <dimension ref="A1:G46"/>
  <sheetViews>
    <sheetView workbookViewId="0">
      <selection activeCell="I15" sqref="I15"/>
    </sheetView>
  </sheetViews>
  <sheetFormatPr baseColWidth="10" defaultRowHeight="14.5" x14ac:dyDescent="0.35"/>
  <sheetData>
    <row r="1" spans="1:7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7" x14ac:dyDescent="0.35">
      <c r="A2" s="1" t="s">
        <v>1</v>
      </c>
      <c r="B2">
        <v>0</v>
      </c>
      <c r="C2" s="2">
        <v>0</v>
      </c>
      <c r="D2" s="2">
        <v>0</v>
      </c>
      <c r="E2" s="2">
        <v>3.6193204724816597</v>
      </c>
      <c r="F2" s="2">
        <v>31.033721751412429</v>
      </c>
    </row>
    <row r="3" spans="1:7" x14ac:dyDescent="0.35">
      <c r="A3" s="1" t="s">
        <v>2</v>
      </c>
      <c r="B3">
        <v>0</v>
      </c>
      <c r="C3" s="2">
        <v>0</v>
      </c>
      <c r="D3" s="2">
        <v>0</v>
      </c>
      <c r="E3" s="2">
        <v>0.47344252355192573</v>
      </c>
      <c r="F3" s="2">
        <v>26.199226954964416</v>
      </c>
    </row>
    <row r="4" spans="1:7" x14ac:dyDescent="0.35">
      <c r="A4" s="1" t="s">
        <v>3</v>
      </c>
      <c r="B4">
        <v>0</v>
      </c>
      <c r="C4" s="2">
        <v>0</v>
      </c>
      <c r="D4" s="2">
        <v>0</v>
      </c>
      <c r="E4" s="2">
        <v>0.47344252355192573</v>
      </c>
      <c r="F4" s="2">
        <v>26.199226954964416</v>
      </c>
    </row>
    <row r="5" spans="1:7" x14ac:dyDescent="0.35">
      <c r="A5" s="1" t="s">
        <v>4</v>
      </c>
      <c r="B5">
        <v>0</v>
      </c>
      <c r="C5" s="2">
        <v>0</v>
      </c>
      <c r="D5" s="2">
        <v>5.5224672087450521E-2</v>
      </c>
      <c r="E5" s="2">
        <v>15.741498280073074</v>
      </c>
      <c r="F5" s="2">
        <v>37.350999697652298</v>
      </c>
    </row>
    <row r="6" spans="1:7" x14ac:dyDescent="0.35">
      <c r="A6" s="1" t="s">
        <v>5</v>
      </c>
      <c r="B6">
        <v>0</v>
      </c>
      <c r="C6" s="2">
        <v>0</v>
      </c>
      <c r="D6" s="2">
        <v>0</v>
      </c>
      <c r="E6" s="2">
        <v>3.6193204724816597</v>
      </c>
      <c r="F6" s="2">
        <v>31.033721751412429</v>
      </c>
      <c r="G6" s="3"/>
    </row>
    <row r="7" spans="1:7" x14ac:dyDescent="0.35">
      <c r="A7" s="1" t="s">
        <v>6</v>
      </c>
      <c r="B7">
        <v>0</v>
      </c>
      <c r="C7" s="2">
        <v>0</v>
      </c>
      <c r="D7" s="2">
        <v>0</v>
      </c>
      <c r="E7" s="2">
        <v>0.47344252355192573</v>
      </c>
      <c r="F7" s="2">
        <v>26.199226954964416</v>
      </c>
    </row>
    <row r="8" spans="1:7" x14ac:dyDescent="0.35">
      <c r="A8" s="1" t="s">
        <v>7</v>
      </c>
      <c r="B8">
        <v>0</v>
      </c>
      <c r="C8" s="2">
        <v>0</v>
      </c>
      <c r="D8" s="2">
        <v>0</v>
      </c>
      <c r="E8" s="2">
        <v>3.6193204724816597</v>
      </c>
      <c r="F8" s="2">
        <v>31.033721751412429</v>
      </c>
    </row>
    <row r="9" spans="1:7" x14ac:dyDescent="0.35">
      <c r="A9" s="1" t="s">
        <v>8</v>
      </c>
      <c r="B9">
        <v>0</v>
      </c>
      <c r="C9" s="2">
        <v>0</v>
      </c>
      <c r="D9" s="2">
        <v>0</v>
      </c>
      <c r="E9" s="2">
        <v>0.47344252355192573</v>
      </c>
      <c r="F9" s="2">
        <v>26.199226954964416</v>
      </c>
    </row>
    <row r="10" spans="1:7" x14ac:dyDescent="0.35">
      <c r="A10" s="1" t="s">
        <v>9</v>
      </c>
      <c r="B10">
        <v>0</v>
      </c>
      <c r="C10" s="2">
        <v>0</v>
      </c>
      <c r="D10" s="2">
        <v>0</v>
      </c>
      <c r="E10" s="2">
        <v>0.54625264200760526</v>
      </c>
      <c r="F10" s="2">
        <v>26.832499828228151</v>
      </c>
    </row>
    <row r="11" spans="1:7" x14ac:dyDescent="0.35">
      <c r="A11" s="1" t="s">
        <v>10</v>
      </c>
      <c r="B11">
        <v>0</v>
      </c>
      <c r="C11" s="2">
        <v>0</v>
      </c>
      <c r="D11" s="2">
        <v>0</v>
      </c>
      <c r="E11" s="2">
        <v>3.6193204724816597</v>
      </c>
      <c r="F11" s="2">
        <v>31.033721751412429</v>
      </c>
    </row>
    <row r="12" spans="1:7" x14ac:dyDescent="0.35">
      <c r="A12" s="1" t="s">
        <v>11</v>
      </c>
      <c r="B12">
        <v>0</v>
      </c>
      <c r="C12" s="2">
        <v>0</v>
      </c>
      <c r="D12" s="2">
        <v>0</v>
      </c>
      <c r="E12" s="2">
        <v>0.47344252355192573</v>
      </c>
      <c r="F12" s="2">
        <v>26.199226954964416</v>
      </c>
    </row>
    <row r="13" spans="1:7" x14ac:dyDescent="0.35">
      <c r="A13" s="1" t="s">
        <v>12</v>
      </c>
      <c r="B13">
        <v>0</v>
      </c>
      <c r="C13" s="2">
        <v>0</v>
      </c>
      <c r="D13" s="2">
        <v>0</v>
      </c>
      <c r="E13" s="2">
        <v>0.54625264200760526</v>
      </c>
      <c r="F13" s="2">
        <v>26.832499828228151</v>
      </c>
    </row>
    <row r="14" spans="1:7" x14ac:dyDescent="0.35">
      <c r="A14" s="1" t="s">
        <v>13</v>
      </c>
      <c r="B14">
        <v>0</v>
      </c>
      <c r="C14" s="2">
        <v>0</v>
      </c>
      <c r="D14" s="2">
        <v>0</v>
      </c>
      <c r="E14" s="2">
        <v>0.47344252355192573</v>
      </c>
      <c r="F14" s="2">
        <v>26.199226954964416</v>
      </c>
    </row>
    <row r="15" spans="1:7" x14ac:dyDescent="0.35">
      <c r="A15" s="1" t="s">
        <v>14</v>
      </c>
      <c r="B15">
        <v>0</v>
      </c>
      <c r="C15" s="2">
        <v>0</v>
      </c>
      <c r="D15" s="2">
        <v>0</v>
      </c>
      <c r="E15" s="2">
        <v>0.47344252355192573</v>
      </c>
      <c r="F15" s="2">
        <v>26.199226954964416</v>
      </c>
    </row>
    <row r="16" spans="1:7" x14ac:dyDescent="0.35">
      <c r="A16" s="1" t="s">
        <v>15</v>
      </c>
      <c r="B16">
        <v>0</v>
      </c>
      <c r="C16" s="2">
        <v>0</v>
      </c>
      <c r="D16" s="2">
        <v>0</v>
      </c>
      <c r="E16" s="2">
        <v>0.47344252355192573</v>
      </c>
      <c r="F16" s="2">
        <v>26.199226954964416</v>
      </c>
    </row>
    <row r="17" spans="1:6" x14ac:dyDescent="0.35">
      <c r="A17" s="1" t="s">
        <v>16</v>
      </c>
      <c r="B17">
        <v>0</v>
      </c>
      <c r="C17" s="2">
        <v>0</v>
      </c>
      <c r="D17" s="2">
        <v>0</v>
      </c>
      <c r="E17" s="2">
        <v>3.6193204724816597</v>
      </c>
      <c r="F17" s="2">
        <v>31.033721751412429</v>
      </c>
    </row>
    <row r="18" spans="1:6" x14ac:dyDescent="0.35">
      <c r="A18" s="1" t="s">
        <v>17</v>
      </c>
      <c r="B18">
        <v>0</v>
      </c>
      <c r="C18" s="2">
        <v>0</v>
      </c>
      <c r="D18" s="2">
        <v>0</v>
      </c>
      <c r="E18" s="2">
        <v>0.47344252355192573</v>
      </c>
      <c r="F18" s="2">
        <v>26.199226954964416</v>
      </c>
    </row>
    <row r="19" spans="1:6" x14ac:dyDescent="0.35">
      <c r="A19" s="1" t="s">
        <v>18</v>
      </c>
      <c r="B19">
        <v>0</v>
      </c>
      <c r="C19" s="2">
        <v>0</v>
      </c>
      <c r="D19" s="2">
        <v>0</v>
      </c>
      <c r="E19" s="2">
        <v>0.54625264200760526</v>
      </c>
      <c r="F19" s="2">
        <v>26.832499828228151</v>
      </c>
    </row>
    <row r="20" spans="1:6" x14ac:dyDescent="0.35">
      <c r="A20" s="1" t="s">
        <v>19</v>
      </c>
      <c r="B20">
        <v>0</v>
      </c>
      <c r="C20" s="2">
        <v>0</v>
      </c>
      <c r="D20" s="2">
        <v>5.5224672087450521E-2</v>
      </c>
      <c r="E20" s="2">
        <v>15.741498280073074</v>
      </c>
      <c r="F20" s="2">
        <v>37.350999697652298</v>
      </c>
    </row>
    <row r="21" spans="1:6" x14ac:dyDescent="0.35">
      <c r="A21" s="1" t="s">
        <v>20</v>
      </c>
      <c r="B21">
        <v>0</v>
      </c>
      <c r="C21" s="2">
        <v>0</v>
      </c>
      <c r="D21" s="2">
        <v>0</v>
      </c>
      <c r="E21" s="2">
        <v>3.6193204724816597</v>
      </c>
      <c r="F21" s="2">
        <v>31.033721751412429</v>
      </c>
    </row>
    <row r="22" spans="1:6" x14ac:dyDescent="0.35">
      <c r="A22" s="1" t="s">
        <v>21</v>
      </c>
      <c r="B22">
        <v>0</v>
      </c>
      <c r="C22" s="2">
        <v>0</v>
      </c>
      <c r="D22" s="2">
        <v>0</v>
      </c>
      <c r="E22" s="2">
        <v>0.47344252355192573</v>
      </c>
      <c r="F22" s="2">
        <v>26.199226954964416</v>
      </c>
    </row>
    <row r="23" spans="1:6" x14ac:dyDescent="0.35">
      <c r="A23" s="1" t="s">
        <v>22</v>
      </c>
      <c r="B23">
        <v>0</v>
      </c>
      <c r="C23" s="2">
        <v>0</v>
      </c>
      <c r="D23" s="2">
        <v>0</v>
      </c>
      <c r="E23" s="2">
        <v>0.54625264200760526</v>
      </c>
      <c r="F23" s="2">
        <v>26.832499828228151</v>
      </c>
    </row>
    <row r="24" spans="1:6" x14ac:dyDescent="0.35">
      <c r="A24" s="1" t="s">
        <v>23</v>
      </c>
      <c r="B24">
        <v>0</v>
      </c>
      <c r="C24" s="2">
        <v>0</v>
      </c>
      <c r="D24" s="2">
        <v>0</v>
      </c>
      <c r="E24" s="2">
        <v>0.47344252355192573</v>
      </c>
      <c r="F24" s="2">
        <v>26.199226954964416</v>
      </c>
    </row>
    <row r="25" spans="1:6" x14ac:dyDescent="0.35">
      <c r="A25" s="1" t="s">
        <v>24</v>
      </c>
      <c r="B25">
        <v>0</v>
      </c>
      <c r="C25" s="2">
        <v>0</v>
      </c>
      <c r="D25" s="2">
        <v>0</v>
      </c>
      <c r="E25" s="2">
        <v>0.47344252355192573</v>
      </c>
      <c r="F25" s="2">
        <v>26.199226954964416</v>
      </c>
    </row>
    <row r="26" spans="1:6" x14ac:dyDescent="0.35">
      <c r="A26" s="1" t="s">
        <v>25</v>
      </c>
      <c r="B26">
        <v>0</v>
      </c>
      <c r="C26" s="2">
        <v>0</v>
      </c>
      <c r="D26" s="2">
        <v>0</v>
      </c>
      <c r="E26" s="2">
        <v>0.47344252355192573</v>
      </c>
      <c r="F26" s="2">
        <v>26.199226954964416</v>
      </c>
    </row>
    <row r="27" spans="1:6" x14ac:dyDescent="0.35">
      <c r="A27" s="1" t="s">
        <v>26</v>
      </c>
      <c r="B27">
        <v>0</v>
      </c>
      <c r="C27" s="2">
        <v>0</v>
      </c>
      <c r="D27" s="2">
        <v>5.5224672087450521E-2</v>
      </c>
      <c r="E27" s="2">
        <v>15.741498280073074</v>
      </c>
      <c r="F27" s="2">
        <v>37.350999697652298</v>
      </c>
    </row>
    <row r="28" spans="1:6" x14ac:dyDescent="0.35">
      <c r="A28" s="1" t="s">
        <v>27</v>
      </c>
      <c r="B28">
        <v>0</v>
      </c>
      <c r="C28" s="2">
        <v>0</v>
      </c>
      <c r="D28" s="2">
        <v>5.5224672087450521E-2</v>
      </c>
      <c r="E28" s="2">
        <v>15.741498280073074</v>
      </c>
      <c r="F28" s="2">
        <v>37.350999697652298</v>
      </c>
    </row>
    <row r="29" spans="1:6" x14ac:dyDescent="0.35">
      <c r="A29" s="1" t="s">
        <v>28</v>
      </c>
      <c r="B29">
        <v>0</v>
      </c>
      <c r="C29" s="2">
        <v>0</v>
      </c>
      <c r="D29" s="2">
        <v>0</v>
      </c>
      <c r="E29" s="2">
        <v>3.6193204724816597</v>
      </c>
      <c r="F29" s="2">
        <v>31.033721751412429</v>
      </c>
    </row>
    <row r="30" spans="1:6" x14ac:dyDescent="0.35">
      <c r="A30" s="1" t="s">
        <v>29</v>
      </c>
      <c r="B30">
        <v>0</v>
      </c>
      <c r="C30" s="2">
        <v>0</v>
      </c>
      <c r="D30" s="2">
        <v>5.5224672087450521E-2</v>
      </c>
      <c r="E30" s="2">
        <v>15.741498280073074</v>
      </c>
      <c r="F30" s="2">
        <v>37.350999697652298</v>
      </c>
    </row>
    <row r="31" spans="1:6" x14ac:dyDescent="0.35">
      <c r="A31" s="1" t="s">
        <v>30</v>
      </c>
      <c r="B31">
        <v>0</v>
      </c>
      <c r="C31" s="2">
        <v>0</v>
      </c>
      <c r="D31" s="2">
        <v>5.5224672087450521E-2</v>
      </c>
      <c r="E31" s="2">
        <v>15.741498280073074</v>
      </c>
      <c r="F31" s="2">
        <v>37.350999697652298</v>
      </c>
    </row>
    <row r="32" spans="1:6" x14ac:dyDescent="0.35">
      <c r="A32" s="1" t="s">
        <v>31</v>
      </c>
      <c r="B32">
        <v>0</v>
      </c>
      <c r="C32" s="2">
        <v>0</v>
      </c>
      <c r="D32" s="2">
        <v>0</v>
      </c>
      <c r="E32" s="2">
        <v>3.6193204724816597</v>
      </c>
      <c r="F32" s="2">
        <v>31.033721751412429</v>
      </c>
    </row>
    <row r="33" spans="1:6" x14ac:dyDescent="0.35">
      <c r="A33" s="1" t="s">
        <v>32</v>
      </c>
      <c r="B33">
        <v>0</v>
      </c>
      <c r="C33" s="2">
        <v>0</v>
      </c>
      <c r="D33" s="2">
        <v>0</v>
      </c>
      <c r="E33" s="2">
        <v>0.47344252355192573</v>
      </c>
      <c r="F33" s="2">
        <v>26.199226954964416</v>
      </c>
    </row>
    <row r="34" spans="1:6" x14ac:dyDescent="0.35">
      <c r="A34" s="1" t="s">
        <v>33</v>
      </c>
      <c r="B34">
        <v>0</v>
      </c>
      <c r="C34" s="2">
        <v>0</v>
      </c>
      <c r="D34" s="2">
        <v>0</v>
      </c>
      <c r="E34" s="2">
        <v>0.47344252355192573</v>
      </c>
      <c r="F34" s="2">
        <v>26.199226954964416</v>
      </c>
    </row>
    <row r="35" spans="1:6" x14ac:dyDescent="0.35">
      <c r="A35" s="1" t="s">
        <v>34</v>
      </c>
      <c r="B35">
        <v>0</v>
      </c>
      <c r="C35" s="2">
        <v>0</v>
      </c>
      <c r="D35" s="2">
        <v>0</v>
      </c>
      <c r="E35" s="2">
        <v>0.47344252355192573</v>
      </c>
      <c r="F35" s="2">
        <v>26.199226954964416</v>
      </c>
    </row>
    <row r="36" spans="1:6" x14ac:dyDescent="0.35">
      <c r="A36" s="1" t="s">
        <v>35</v>
      </c>
      <c r="B36">
        <v>0</v>
      </c>
      <c r="C36" s="2">
        <v>0</v>
      </c>
      <c r="D36" s="2">
        <v>0</v>
      </c>
      <c r="E36" s="2">
        <v>0.47344252355192573</v>
      </c>
      <c r="F36" s="2">
        <v>26.199226954964416</v>
      </c>
    </row>
    <row r="37" spans="1:6" x14ac:dyDescent="0.35">
      <c r="A37" s="1" t="s">
        <v>36</v>
      </c>
      <c r="B37">
        <v>0</v>
      </c>
      <c r="C37" s="2">
        <v>0</v>
      </c>
      <c r="D37" s="2">
        <v>0</v>
      </c>
      <c r="E37" s="2">
        <v>0.47344252355192573</v>
      </c>
      <c r="F37" s="2">
        <v>26.199226954964416</v>
      </c>
    </row>
    <row r="39" spans="1:6" x14ac:dyDescent="0.35">
      <c r="A39" t="s">
        <v>50</v>
      </c>
      <c r="B39" t="s">
        <v>38</v>
      </c>
    </row>
    <row r="41" spans="1:6" x14ac:dyDescent="0.35">
      <c r="A41" t="s">
        <v>51</v>
      </c>
      <c r="B41" t="s">
        <v>39</v>
      </c>
      <c r="C41" t="s">
        <v>91</v>
      </c>
      <c r="D41" t="s">
        <v>86</v>
      </c>
      <c r="F41" s="3" t="s">
        <v>87</v>
      </c>
    </row>
    <row r="42" spans="1:6" x14ac:dyDescent="0.35">
      <c r="B42" t="s">
        <v>40</v>
      </c>
      <c r="C42" t="s">
        <v>93</v>
      </c>
      <c r="D42" t="s">
        <v>88</v>
      </c>
      <c r="F42" s="3" t="s">
        <v>89</v>
      </c>
    </row>
    <row r="43" spans="1:6" ht="15.5" x14ac:dyDescent="0.35">
      <c r="B43" t="s">
        <v>61</v>
      </c>
      <c r="C43" t="s">
        <v>92</v>
      </c>
      <c r="D43" s="7" t="s">
        <v>90</v>
      </c>
    </row>
    <row r="45" spans="1:6" x14ac:dyDescent="0.35">
      <c r="A45" t="s">
        <v>79</v>
      </c>
      <c r="B45" t="s">
        <v>53</v>
      </c>
      <c r="C45" t="s">
        <v>94</v>
      </c>
    </row>
    <row r="46" spans="1:6" x14ac:dyDescent="0.35">
      <c r="B46" t="s">
        <v>64</v>
      </c>
      <c r="C46" t="s">
        <v>95</v>
      </c>
    </row>
  </sheetData>
  <hyperlinks>
    <hyperlink ref="F41" r:id="rId1" xr:uid="{81916495-1B1A-46DE-80D9-B6BE75BFB729}"/>
    <hyperlink ref="F42" r:id="rId2" xr:uid="{B7226141-61CE-4EB7-AE28-FD1CF01B629E}"/>
  </hyperlink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0399-1C24-4C8B-860C-861AB121B7A2}">
  <dimension ref="A1:F37"/>
  <sheetViews>
    <sheetView workbookViewId="0">
      <selection activeCell="F39" sqref="F39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35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35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3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35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35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35">
      <c r="A9" s="1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35">
      <c r="A10" s="1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35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35">
      <c r="A12" s="1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35">
      <c r="A13" s="1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35">
      <c r="A14" s="1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35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35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35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35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35">
      <c r="A19" s="1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35">
      <c r="A20" s="1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35">
      <c r="A21" s="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35">
      <c r="A22" s="1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35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35">
      <c r="A24" s="1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35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35">
      <c r="A26" s="1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35">
      <c r="A27" s="1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35">
      <c r="A28" s="1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35">
      <c r="A29" s="1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35">
      <c r="A30" s="1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35">
      <c r="A31" s="1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35">
      <c r="A32" s="1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35">
      <c r="A33" s="1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35">
      <c r="A34" s="1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35">
      <c r="A35" s="1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35">
      <c r="A36" s="1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35">
      <c r="A37" s="1" t="s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8966-B1F3-40F6-AD04-701F7E67976E}">
  <dimension ref="A1:F37"/>
  <sheetViews>
    <sheetView workbookViewId="0">
      <selection activeCell="R37" sqref="R37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35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35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3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35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35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35">
      <c r="A9" s="1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35">
      <c r="A10" s="1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35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35">
      <c r="A12" s="1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35">
      <c r="A13" s="1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35">
      <c r="A14" s="1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35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35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35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35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35">
      <c r="A19" s="1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35">
      <c r="A20" s="1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35">
      <c r="A21" s="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35">
      <c r="A22" s="1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35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35">
      <c r="A24" s="1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35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35">
      <c r="A26" s="1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35">
      <c r="A27" s="1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35">
      <c r="A28" s="1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35">
      <c r="A29" s="1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35">
      <c r="A30" s="1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35">
      <c r="A31" s="1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35">
      <c r="A32" s="1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35">
      <c r="A33" s="1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35">
      <c r="A34" s="1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35">
      <c r="A35" s="1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35">
      <c r="A36" s="1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35">
      <c r="A37" s="1" t="s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1D0F9-485B-4D11-B5AB-F6C6C27454CE}">
  <dimension ref="A1:F37"/>
  <sheetViews>
    <sheetView workbookViewId="0">
      <selection activeCell="V37" sqref="V37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35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35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3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35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35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35">
      <c r="A9" s="1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35">
      <c r="A10" s="1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35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35">
      <c r="A12" s="1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35">
      <c r="A13" s="1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35">
      <c r="A14" s="1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35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35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35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35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35">
      <c r="A19" s="1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35">
      <c r="A20" s="1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35">
      <c r="A21" s="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35">
      <c r="A22" s="1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35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35">
      <c r="A24" s="1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35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35">
      <c r="A26" s="1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35">
      <c r="A27" s="1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35">
      <c r="A28" s="1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35">
      <c r="A29" s="1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35">
      <c r="A30" s="1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35">
      <c r="A31" s="1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35">
      <c r="A32" s="1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35">
      <c r="A33" s="1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35">
      <c r="A34" s="1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35">
      <c r="A35" s="1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35">
      <c r="A36" s="1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35">
      <c r="A37" s="1" t="s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EE86-899C-4F05-B191-6249371F17BD}">
  <dimension ref="A1:F37"/>
  <sheetViews>
    <sheetView workbookViewId="0">
      <selection activeCell="F39" sqref="F39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35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35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3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35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35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35">
      <c r="A9" s="1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35">
      <c r="A10" s="1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35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35">
      <c r="A12" s="1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35">
      <c r="A13" s="1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35">
      <c r="A14" s="1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35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35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35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35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35">
      <c r="A19" s="1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35">
      <c r="A20" s="1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35">
      <c r="A21" s="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35">
      <c r="A22" s="1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35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35">
      <c r="A24" s="1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35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35">
      <c r="A26" s="1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35">
      <c r="A27" s="1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35">
      <c r="A28" s="1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35">
      <c r="A29" s="1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35">
      <c r="A30" s="1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35">
      <c r="A31" s="1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35">
      <c r="A32" s="1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35">
      <c r="A33" s="1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35">
      <c r="A34" s="1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35">
      <c r="A35" s="1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35">
      <c r="A36" s="1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35">
      <c r="A37" s="1" t="s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EAF8D-4217-455E-85A1-6978049987C6}">
  <dimension ref="A1:F37"/>
  <sheetViews>
    <sheetView workbookViewId="0">
      <selection activeCell="F39" sqref="F39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35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35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3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35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35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35">
      <c r="A9" s="1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35">
      <c r="A10" s="1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35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35">
      <c r="A12" s="1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35">
      <c r="A13" s="1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35">
      <c r="A14" s="1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35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35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35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35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35">
      <c r="A19" s="1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35">
      <c r="A20" s="1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35">
      <c r="A21" s="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35">
      <c r="A22" s="1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35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35">
      <c r="A24" s="1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35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35">
      <c r="A26" s="1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35">
      <c r="A27" s="1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35">
      <c r="A28" s="1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35">
      <c r="A29" s="1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35">
      <c r="A30" s="1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35">
      <c r="A31" s="1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35">
      <c r="A32" s="1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35">
      <c r="A33" s="1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35">
      <c r="A34" s="1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35">
      <c r="A35" s="1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35">
      <c r="A36" s="1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35">
      <c r="A37" s="1" t="s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73CD-9146-447F-A62C-859A650B9B5D}">
  <dimension ref="A1:F37"/>
  <sheetViews>
    <sheetView workbookViewId="0">
      <selection activeCell="S30" sqref="S30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35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35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3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35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35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35">
      <c r="A9" s="1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35">
      <c r="A10" s="1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35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35">
      <c r="A12" s="1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35">
      <c r="A13" s="1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35">
      <c r="A14" s="1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35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35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35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35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35">
      <c r="A19" s="1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35">
      <c r="A20" s="1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35">
      <c r="A21" s="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35">
      <c r="A22" s="1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35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35">
      <c r="A24" s="1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35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35">
      <c r="A26" s="1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35">
      <c r="A27" s="1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35">
      <c r="A28" s="1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35">
      <c r="A29" s="1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35">
      <c r="A30" s="1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35">
      <c r="A31" s="1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35">
      <c r="A32" s="1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35">
      <c r="A33" s="1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35">
      <c r="A34" s="1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35">
      <c r="A35" s="1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35">
      <c r="A36" s="1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35">
      <c r="A37" s="1" t="s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7D19A-BAA1-4131-85B2-8134539C6D86}">
  <dimension ref="A1:F52"/>
  <sheetViews>
    <sheetView zoomScaleNormal="100" workbookViewId="0">
      <selection activeCell="B2" sqref="B2"/>
    </sheetView>
  </sheetViews>
  <sheetFormatPr baseColWidth="10" defaultRowHeight="14.5" x14ac:dyDescent="0.35"/>
  <cols>
    <col min="2" max="2" width="17" bestFit="1" customWidth="1"/>
  </cols>
  <sheetData>
    <row r="1" spans="1:4" x14ac:dyDescent="0.35">
      <c r="A1" t="s">
        <v>0</v>
      </c>
      <c r="B1" t="s">
        <v>49</v>
      </c>
      <c r="C1" t="s">
        <v>47</v>
      </c>
      <c r="D1" t="s">
        <v>48</v>
      </c>
    </row>
    <row r="2" spans="1:4" x14ac:dyDescent="0.35">
      <c r="A2" s="1" t="s">
        <v>1</v>
      </c>
      <c r="B2">
        <v>88</v>
      </c>
      <c r="C2">
        <v>2020</v>
      </c>
      <c r="D2" t="s">
        <v>39</v>
      </c>
    </row>
    <row r="3" spans="1:4" x14ac:dyDescent="0.35">
      <c r="A3" s="1" t="s">
        <v>2</v>
      </c>
      <c r="B3">
        <f>100-28.9</f>
        <v>71.099999999999994</v>
      </c>
      <c r="C3">
        <v>2015</v>
      </c>
      <c r="D3" t="s">
        <v>58</v>
      </c>
    </row>
    <row r="4" spans="1:4" x14ac:dyDescent="0.35">
      <c r="A4" s="1" t="s">
        <v>3</v>
      </c>
      <c r="B4">
        <f>100-66</f>
        <v>34</v>
      </c>
      <c r="C4">
        <v>2015</v>
      </c>
      <c r="D4" t="s">
        <v>58</v>
      </c>
    </row>
    <row r="5" spans="1:4" x14ac:dyDescent="0.35">
      <c r="A5" s="1" t="s">
        <v>4</v>
      </c>
      <c r="B5">
        <f>100-70.9</f>
        <v>29.099999999999994</v>
      </c>
      <c r="C5" s="3">
        <v>2015</v>
      </c>
      <c r="D5" t="s">
        <v>58</v>
      </c>
    </row>
    <row r="6" spans="1:4" x14ac:dyDescent="0.35">
      <c r="A6" s="1" t="s">
        <v>5</v>
      </c>
      <c r="B6">
        <v>61</v>
      </c>
      <c r="C6">
        <v>2020</v>
      </c>
      <c r="D6" t="s">
        <v>39</v>
      </c>
    </row>
    <row r="7" spans="1:4" x14ac:dyDescent="0.35">
      <c r="A7" s="1" t="s">
        <v>6</v>
      </c>
      <c r="B7">
        <f>100-83.3</f>
        <v>16.700000000000003</v>
      </c>
      <c r="C7">
        <v>2015</v>
      </c>
      <c r="D7" t="s">
        <v>58</v>
      </c>
    </row>
    <row r="8" spans="1:4" x14ac:dyDescent="0.35">
      <c r="A8" s="1" t="s">
        <v>7</v>
      </c>
      <c r="B8">
        <v>0</v>
      </c>
      <c r="D8" t="s">
        <v>72</v>
      </c>
    </row>
    <row r="9" spans="1:4" x14ac:dyDescent="0.35">
      <c r="A9" s="1" t="s">
        <v>8</v>
      </c>
      <c r="B9">
        <f>100-76.6</f>
        <v>23.400000000000006</v>
      </c>
      <c r="C9">
        <v>2015</v>
      </c>
      <c r="D9" t="s">
        <v>58</v>
      </c>
    </row>
    <row r="10" spans="1:4" x14ac:dyDescent="0.35">
      <c r="A10" s="1" t="s">
        <v>9</v>
      </c>
      <c r="B10">
        <v>64</v>
      </c>
      <c r="C10">
        <v>2020</v>
      </c>
      <c r="D10" t="s">
        <v>39</v>
      </c>
    </row>
    <row r="11" spans="1:4" x14ac:dyDescent="0.35">
      <c r="A11" s="1" t="s">
        <v>10</v>
      </c>
      <c r="B11">
        <v>63</v>
      </c>
      <c r="C11">
        <v>2020</v>
      </c>
      <c r="D11" t="s">
        <v>39</v>
      </c>
    </row>
    <row r="12" spans="1:4" x14ac:dyDescent="0.35">
      <c r="A12" s="1" t="s">
        <v>11</v>
      </c>
      <c r="B12">
        <f>100-62.7</f>
        <v>37.299999999999997</v>
      </c>
      <c r="C12">
        <v>2015</v>
      </c>
      <c r="D12" t="s">
        <v>58</v>
      </c>
    </row>
    <row r="13" spans="1:4" x14ac:dyDescent="0.35">
      <c r="A13" s="1" t="s">
        <v>12</v>
      </c>
      <c r="B13">
        <v>70</v>
      </c>
      <c r="C13">
        <v>2020</v>
      </c>
      <c r="D13" t="s">
        <v>39</v>
      </c>
    </row>
    <row r="14" spans="1:4" x14ac:dyDescent="0.35">
      <c r="A14" s="1" t="s">
        <v>13</v>
      </c>
      <c r="B14">
        <v>100</v>
      </c>
      <c r="D14" t="s">
        <v>66</v>
      </c>
    </row>
    <row r="15" spans="1:4" x14ac:dyDescent="0.35">
      <c r="A15" s="1" t="s">
        <v>14</v>
      </c>
      <c r="B15">
        <f>100-86.6</f>
        <v>13.400000000000006</v>
      </c>
      <c r="C15">
        <v>2015</v>
      </c>
      <c r="D15" t="s">
        <v>58</v>
      </c>
    </row>
    <row r="16" spans="1:4" x14ac:dyDescent="0.35">
      <c r="A16" s="1" t="s">
        <v>15</v>
      </c>
      <c r="B16">
        <f>100-93.5</f>
        <v>6.5</v>
      </c>
      <c r="C16">
        <v>2015</v>
      </c>
      <c r="D16" t="s">
        <v>58</v>
      </c>
    </row>
    <row r="17" spans="1:4" x14ac:dyDescent="0.35">
      <c r="A17" s="1" t="s">
        <v>16</v>
      </c>
      <c r="B17">
        <v>91</v>
      </c>
      <c r="C17">
        <v>2020</v>
      </c>
      <c r="D17" t="s">
        <v>39</v>
      </c>
    </row>
    <row r="18" spans="1:4" x14ac:dyDescent="0.35">
      <c r="A18" s="1" t="s">
        <v>17</v>
      </c>
      <c r="B18">
        <f>100-61</f>
        <v>39</v>
      </c>
      <c r="C18">
        <v>2015</v>
      </c>
      <c r="D18" t="s">
        <v>58</v>
      </c>
    </row>
    <row r="19" spans="1:4" x14ac:dyDescent="0.35">
      <c r="A19" s="1" t="s">
        <v>18</v>
      </c>
      <c r="B19">
        <v>100</v>
      </c>
      <c r="D19" t="s">
        <v>66</v>
      </c>
    </row>
    <row r="20" spans="1:4" x14ac:dyDescent="0.35">
      <c r="A20" s="1" t="s">
        <v>19</v>
      </c>
      <c r="B20">
        <v>76</v>
      </c>
      <c r="C20">
        <v>2020</v>
      </c>
      <c r="D20" t="s">
        <v>39</v>
      </c>
    </row>
    <row r="21" spans="1:4" x14ac:dyDescent="0.35">
      <c r="A21" s="1" t="s">
        <v>20</v>
      </c>
      <c r="B21">
        <v>73</v>
      </c>
      <c r="C21">
        <v>2020</v>
      </c>
      <c r="D21" t="s">
        <v>39</v>
      </c>
    </row>
    <row r="22" spans="1:4" x14ac:dyDescent="0.35">
      <c r="A22" s="1" t="s">
        <v>21</v>
      </c>
      <c r="B22">
        <v>64</v>
      </c>
      <c r="C22">
        <v>2020</v>
      </c>
      <c r="D22" t="s">
        <v>39</v>
      </c>
    </row>
    <row r="23" spans="1:4" x14ac:dyDescent="0.35">
      <c r="A23" s="1" t="s">
        <v>22</v>
      </c>
      <c r="B23">
        <f>100-35</f>
        <v>65</v>
      </c>
      <c r="C23">
        <v>2015</v>
      </c>
      <c r="D23" t="s">
        <v>58</v>
      </c>
    </row>
    <row r="24" spans="1:4" x14ac:dyDescent="0.35">
      <c r="A24" s="1" t="s">
        <v>23</v>
      </c>
      <c r="B24">
        <f>100-62.6</f>
        <v>37.4</v>
      </c>
      <c r="C24">
        <v>2015</v>
      </c>
      <c r="D24" t="s">
        <v>58</v>
      </c>
    </row>
    <row r="25" spans="1:4" x14ac:dyDescent="0.35">
      <c r="A25" s="1" t="s">
        <v>24</v>
      </c>
      <c r="B25">
        <f>100-58.6</f>
        <v>41.4</v>
      </c>
      <c r="C25">
        <v>2015</v>
      </c>
      <c r="D25" t="s">
        <v>58</v>
      </c>
    </row>
    <row r="26" spans="1:4" x14ac:dyDescent="0.35">
      <c r="A26" s="1" t="s">
        <v>25</v>
      </c>
      <c r="B26">
        <f>100-55.7</f>
        <v>44.3</v>
      </c>
      <c r="C26">
        <v>2015</v>
      </c>
      <c r="D26" t="s">
        <v>58</v>
      </c>
    </row>
    <row r="27" spans="1:4" x14ac:dyDescent="0.35">
      <c r="A27" s="1" t="s">
        <v>26</v>
      </c>
      <c r="B27">
        <f>100-44.9</f>
        <v>55.1</v>
      </c>
      <c r="C27">
        <v>2015</v>
      </c>
      <c r="D27" t="s">
        <v>58</v>
      </c>
    </row>
    <row r="28" spans="1:4" x14ac:dyDescent="0.35">
      <c r="A28" s="1" t="s">
        <v>27</v>
      </c>
      <c r="B28">
        <v>75</v>
      </c>
      <c r="C28">
        <v>2020</v>
      </c>
      <c r="D28" t="s">
        <v>39</v>
      </c>
    </row>
    <row r="29" spans="1:4" x14ac:dyDescent="0.35">
      <c r="A29" s="1" t="s">
        <v>28</v>
      </c>
      <c r="B29">
        <f>100-67.6</f>
        <v>32.400000000000006</v>
      </c>
      <c r="C29">
        <v>2015</v>
      </c>
      <c r="D29" t="s">
        <v>58</v>
      </c>
    </row>
    <row r="30" spans="1:4" x14ac:dyDescent="0.35">
      <c r="A30" s="1" t="s">
        <v>29</v>
      </c>
      <c r="B30">
        <v>100</v>
      </c>
      <c r="D30" t="s">
        <v>66</v>
      </c>
    </row>
    <row r="31" spans="1:4" x14ac:dyDescent="0.35">
      <c r="A31" s="1" t="s">
        <v>30</v>
      </c>
      <c r="B31">
        <f>100-41.6</f>
        <v>58.4</v>
      </c>
      <c r="C31">
        <v>2015</v>
      </c>
      <c r="D31" t="s">
        <v>58</v>
      </c>
    </row>
    <row r="32" spans="1:4" x14ac:dyDescent="0.35">
      <c r="A32" s="1" t="s">
        <v>31</v>
      </c>
      <c r="B32">
        <f>100-0</f>
        <v>100</v>
      </c>
      <c r="C32">
        <v>2020</v>
      </c>
      <c r="D32" t="s">
        <v>39</v>
      </c>
    </row>
    <row r="33" spans="1:6" x14ac:dyDescent="0.35">
      <c r="A33" s="1" t="s">
        <v>32</v>
      </c>
      <c r="B33">
        <f>100-10.5</f>
        <v>89.5</v>
      </c>
      <c r="C33">
        <v>2015</v>
      </c>
      <c r="D33" t="s">
        <v>58</v>
      </c>
    </row>
    <row r="34" spans="1:6" x14ac:dyDescent="0.35">
      <c r="A34" s="1" t="s">
        <v>33</v>
      </c>
      <c r="B34">
        <f>100-66.5</f>
        <v>33.5</v>
      </c>
      <c r="C34">
        <v>2015</v>
      </c>
      <c r="D34" t="s">
        <v>58</v>
      </c>
    </row>
    <row r="35" spans="1:6" x14ac:dyDescent="0.35">
      <c r="A35" s="1" t="s">
        <v>34</v>
      </c>
      <c r="B35">
        <f>100-66.5</f>
        <v>33.5</v>
      </c>
      <c r="C35">
        <v>2015</v>
      </c>
      <c r="D35" t="s">
        <v>58</v>
      </c>
    </row>
    <row r="36" spans="1:6" x14ac:dyDescent="0.35">
      <c r="A36" s="1" t="s">
        <v>35</v>
      </c>
      <c r="B36">
        <f>100-100</f>
        <v>0</v>
      </c>
      <c r="C36">
        <v>2015</v>
      </c>
      <c r="D36" t="s">
        <v>58</v>
      </c>
    </row>
    <row r="37" spans="1:6" x14ac:dyDescent="0.35">
      <c r="A37" s="1" t="s">
        <v>36</v>
      </c>
      <c r="B37">
        <f>100-25</f>
        <v>75</v>
      </c>
      <c r="C37">
        <v>2015</v>
      </c>
      <c r="D37" t="s">
        <v>58</v>
      </c>
    </row>
    <row r="39" spans="1:6" x14ac:dyDescent="0.35">
      <c r="A39" t="s">
        <v>50</v>
      </c>
      <c r="B39" t="s">
        <v>38</v>
      </c>
    </row>
    <row r="41" spans="1:6" x14ac:dyDescent="0.35">
      <c r="A41" t="s">
        <v>51</v>
      </c>
      <c r="B41" t="s">
        <v>39</v>
      </c>
      <c r="C41" t="s">
        <v>42</v>
      </c>
      <c r="F41" s="3" t="s">
        <v>43</v>
      </c>
    </row>
    <row r="42" spans="1:6" x14ac:dyDescent="0.35">
      <c r="B42" t="s">
        <v>40</v>
      </c>
      <c r="C42" t="s">
        <v>44</v>
      </c>
      <c r="F42" s="3" t="s">
        <v>45</v>
      </c>
    </row>
    <row r="43" spans="1:6" x14ac:dyDescent="0.35">
      <c r="B43" t="s">
        <v>61</v>
      </c>
      <c r="C43" t="s">
        <v>70</v>
      </c>
      <c r="F43" s="3" t="s">
        <v>63</v>
      </c>
    </row>
    <row r="44" spans="1:6" x14ac:dyDescent="0.35">
      <c r="B44" t="s">
        <v>62</v>
      </c>
      <c r="C44" t="s">
        <v>70</v>
      </c>
      <c r="D44" t="s">
        <v>67</v>
      </c>
      <c r="E44" t="s">
        <v>68</v>
      </c>
      <c r="F44" t="s">
        <v>69</v>
      </c>
    </row>
    <row r="45" spans="1:6" x14ac:dyDescent="0.35">
      <c r="B45" t="s">
        <v>72</v>
      </c>
      <c r="C45" t="s">
        <v>7</v>
      </c>
      <c r="D45" t="s">
        <v>73</v>
      </c>
      <c r="F45" t="s">
        <v>71</v>
      </c>
    </row>
    <row r="47" spans="1:6" x14ac:dyDescent="0.35">
      <c r="A47" t="s">
        <v>52</v>
      </c>
      <c r="B47" t="s">
        <v>53</v>
      </c>
      <c r="C47" t="s">
        <v>54</v>
      </c>
    </row>
    <row r="48" spans="1:6" x14ac:dyDescent="0.35">
      <c r="B48" t="s">
        <v>64</v>
      </c>
      <c r="C48" t="s">
        <v>65</v>
      </c>
    </row>
    <row r="50" spans="1:6" x14ac:dyDescent="0.35">
      <c r="A50" t="s">
        <v>55</v>
      </c>
      <c r="B50" t="s">
        <v>56</v>
      </c>
      <c r="C50" t="s">
        <v>57</v>
      </c>
      <c r="F50" s="3" t="s">
        <v>46</v>
      </c>
    </row>
    <row r="51" spans="1:6" x14ac:dyDescent="0.35">
      <c r="B51" t="s">
        <v>60</v>
      </c>
      <c r="C51" t="s">
        <v>59</v>
      </c>
      <c r="F51" s="3" t="s">
        <v>37</v>
      </c>
    </row>
    <row r="52" spans="1:6" x14ac:dyDescent="0.35">
      <c r="B52" t="s">
        <v>75</v>
      </c>
      <c r="C52" t="s">
        <v>74</v>
      </c>
      <c r="F52" s="3" t="s">
        <v>41</v>
      </c>
    </row>
  </sheetData>
  <phoneticPr fontId="3" type="noConversion"/>
  <hyperlinks>
    <hyperlink ref="F51" r:id="rId1" xr:uid="{6B046BD5-F8D6-45FE-B54C-BD6F7043A1BE}"/>
    <hyperlink ref="F50" r:id="rId2" xr:uid="{46CE62C3-5586-4A2C-8137-9C4DF461FD5E}"/>
    <hyperlink ref="F41" r:id="rId3" xr:uid="{0DE2BCE4-993D-4A5D-B469-D35EE5B145CC}"/>
    <hyperlink ref="F42" r:id="rId4" xr:uid="{B5B5EE2E-D3AF-411D-98D3-220CAA62874E}"/>
    <hyperlink ref="F52" r:id="rId5" xr:uid="{3C7D8553-7722-4B15-89DB-3EC34D3B1A0B}"/>
  </hyperlinks>
  <pageMargins left="0.7" right="0.7" top="0.78740157499999996" bottom="0.78740157499999996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opLeftCell="A7" zoomScaleNormal="100" workbookViewId="0">
      <selection activeCell="A40" sqref="A40:B47"/>
    </sheetView>
  </sheetViews>
  <sheetFormatPr baseColWidth="10" defaultRowHeight="14.5" x14ac:dyDescent="0.35"/>
  <sheetData>
    <row r="1" spans="1:7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  <c r="G1" t="s">
        <v>81</v>
      </c>
    </row>
    <row r="2" spans="1:7" x14ac:dyDescent="0.35">
      <c r="A2" s="1" t="s">
        <v>1</v>
      </c>
      <c r="B2" s="4">
        <f>IF(elec_rail!B2&gt;=50, 100-((100-elec_rail!B2)*elec_rail_ref!$D$43), elec_rail!B2*elec_rail_ref!$D$44)</f>
        <v>97.073170731707322</v>
      </c>
      <c r="C2" s="2">
        <f>B2</f>
        <v>97.073170731707322</v>
      </c>
      <c r="D2" s="2">
        <f>C2</f>
        <v>97.073170731707322</v>
      </c>
      <c r="E2" s="2">
        <f>(D2+F2)/2</f>
        <v>98.536585365853654</v>
      </c>
      <c r="F2" s="2">
        <f>IF(B2&gt;60,100,MIN(B2*2,100))</f>
        <v>100</v>
      </c>
    </row>
    <row r="3" spans="1:7" x14ac:dyDescent="0.35">
      <c r="A3" s="1" t="s">
        <v>2</v>
      </c>
      <c r="B3" s="4">
        <f>IF(elec_rail!B3&gt;=50, 100-((100-elec_rail!B3)*elec_rail_ref!$D$43), elec_rail!B3*elec_rail_ref!$D$44)</f>
        <v>92.951219512195124</v>
      </c>
      <c r="C3" s="2">
        <f t="shared" ref="C3:D37" si="0">B3</f>
        <v>92.951219512195124</v>
      </c>
      <c r="D3" s="2">
        <f t="shared" si="0"/>
        <v>92.951219512195124</v>
      </c>
      <c r="E3" s="2">
        <f t="shared" ref="E3:E37" si="1">(D3+F3)/2</f>
        <v>96.475609756097555</v>
      </c>
      <c r="F3" s="2">
        <f t="shared" ref="F3:F37" si="2">IF(B3&gt;60,100,MIN(B3*2,100))</f>
        <v>100</v>
      </c>
    </row>
    <row r="4" spans="1:7" x14ac:dyDescent="0.35">
      <c r="A4" s="1" t="s">
        <v>3</v>
      </c>
      <c r="B4" s="4">
        <f>IF(elec_rail!B4&gt;=50, 100-((100-elec_rail!B4)*elec_rail_ref!$D$43), elec_rail!B4*elec_rail_ref!$D$44)</f>
        <v>51.864406779661017</v>
      </c>
      <c r="C4" s="2">
        <f t="shared" si="0"/>
        <v>51.864406779661017</v>
      </c>
      <c r="D4" s="2">
        <f t="shared" si="0"/>
        <v>51.864406779661017</v>
      </c>
      <c r="E4" s="2">
        <f t="shared" si="1"/>
        <v>75.932203389830505</v>
      </c>
      <c r="F4" s="2">
        <f t="shared" si="2"/>
        <v>100</v>
      </c>
    </row>
    <row r="5" spans="1:7" x14ac:dyDescent="0.35">
      <c r="A5" s="1" t="s">
        <v>4</v>
      </c>
      <c r="B5" s="4">
        <f>IF(elec_rail!B5&gt;=50, 100-((100-elec_rail!B5)*elec_rail_ref!$D$43), elec_rail!B5*elec_rail_ref!$D$44)</f>
        <v>44.389830508474567</v>
      </c>
      <c r="C5" s="2">
        <f t="shared" si="0"/>
        <v>44.389830508474567</v>
      </c>
      <c r="D5" s="2">
        <f t="shared" si="0"/>
        <v>44.389830508474567</v>
      </c>
      <c r="E5" s="2">
        <f t="shared" si="1"/>
        <v>66.584745762711847</v>
      </c>
      <c r="F5" s="2">
        <f t="shared" si="2"/>
        <v>88.779661016949134</v>
      </c>
    </row>
    <row r="6" spans="1:7" x14ac:dyDescent="0.35">
      <c r="A6" s="1" t="s">
        <v>5</v>
      </c>
      <c r="B6" s="4">
        <f>IF(elec_rail!B6&gt;=50, 100-((100-elec_rail!B6)*elec_rail_ref!$D$43), elec_rail!B6*elec_rail_ref!$D$44)</f>
        <v>90.487804878048777</v>
      </c>
      <c r="C6" s="2">
        <f t="shared" si="0"/>
        <v>90.487804878048777</v>
      </c>
      <c r="D6" s="2">
        <f t="shared" si="0"/>
        <v>90.487804878048777</v>
      </c>
      <c r="E6" s="2">
        <f t="shared" si="1"/>
        <v>95.243902439024396</v>
      </c>
      <c r="F6" s="2">
        <f t="shared" si="2"/>
        <v>100</v>
      </c>
    </row>
    <row r="7" spans="1:7" x14ac:dyDescent="0.35">
      <c r="A7" s="1" t="s">
        <v>6</v>
      </c>
      <c r="B7" s="4">
        <f>IF(elec_rail!B7&gt;=50, 100-((100-elec_rail!B7)*elec_rail_ref!$D$43), elec_rail!B7*elec_rail_ref!$D$44)</f>
        <v>25.474576271186443</v>
      </c>
      <c r="C7" s="2">
        <f t="shared" si="0"/>
        <v>25.474576271186443</v>
      </c>
      <c r="D7" s="2">
        <f t="shared" si="0"/>
        <v>25.474576271186443</v>
      </c>
      <c r="E7" s="2">
        <f t="shared" si="1"/>
        <v>38.211864406779668</v>
      </c>
      <c r="F7" s="2">
        <f t="shared" si="2"/>
        <v>50.949152542372886</v>
      </c>
    </row>
    <row r="8" spans="1:7" x14ac:dyDescent="0.35">
      <c r="A8" s="1" t="s">
        <v>7</v>
      </c>
      <c r="B8" s="4">
        <f>IF(elec_rail!B8&gt;=50, 100-((100-elec_rail!B8)*elec_rail_ref!$D$43), elec_rail!B8*elec_rail_ref!$D$44)</f>
        <v>0</v>
      </c>
      <c r="C8" s="2">
        <f t="shared" si="0"/>
        <v>0</v>
      </c>
      <c r="D8" s="2">
        <f t="shared" si="0"/>
        <v>0</v>
      </c>
      <c r="E8" s="2">
        <f t="shared" si="1"/>
        <v>50</v>
      </c>
      <c r="F8" s="2">
        <v>100</v>
      </c>
      <c r="G8" t="s">
        <v>53</v>
      </c>
    </row>
    <row r="9" spans="1:7" x14ac:dyDescent="0.35">
      <c r="A9" s="1" t="s">
        <v>8</v>
      </c>
      <c r="B9" s="4">
        <f>IF(elec_rail!B9&gt;=50, 100-((100-elec_rail!B9)*elec_rail_ref!$D$43), elec_rail!B9*elec_rail_ref!$D$44)</f>
        <v>35.694915254237294</v>
      </c>
      <c r="C9" s="2">
        <f t="shared" si="0"/>
        <v>35.694915254237294</v>
      </c>
      <c r="D9" s="2">
        <f t="shared" si="0"/>
        <v>35.694915254237294</v>
      </c>
      <c r="E9" s="2">
        <f t="shared" si="1"/>
        <v>53.542372881355945</v>
      </c>
      <c r="F9" s="2">
        <f t="shared" si="2"/>
        <v>71.389830508474589</v>
      </c>
    </row>
    <row r="10" spans="1:7" x14ac:dyDescent="0.35">
      <c r="A10" s="1" t="s">
        <v>9</v>
      </c>
      <c r="B10" s="4">
        <f>IF(elec_rail!B10&gt;=50, 100-((100-elec_rail!B10)*elec_rail_ref!$D$43), elec_rail!B10*elec_rail_ref!$D$44)</f>
        <v>91.219512195121951</v>
      </c>
      <c r="C10" s="2">
        <f t="shared" si="0"/>
        <v>91.219512195121951</v>
      </c>
      <c r="D10" s="2">
        <f t="shared" si="0"/>
        <v>91.219512195121951</v>
      </c>
      <c r="E10" s="2">
        <f t="shared" si="1"/>
        <v>95.609756097560975</v>
      </c>
      <c r="F10" s="2">
        <f t="shared" si="2"/>
        <v>100</v>
      </c>
    </row>
    <row r="11" spans="1:7" x14ac:dyDescent="0.35">
      <c r="A11" s="1" t="s">
        <v>10</v>
      </c>
      <c r="B11" s="4">
        <f>IF(elec_rail!B11&gt;=50, 100-((100-elec_rail!B11)*elec_rail_ref!$D$43), elec_rail!B11*elec_rail_ref!$D$44)</f>
        <v>90.975609756097555</v>
      </c>
      <c r="C11" s="2">
        <f t="shared" si="0"/>
        <v>90.975609756097555</v>
      </c>
      <c r="D11" s="2">
        <f t="shared" si="0"/>
        <v>90.975609756097555</v>
      </c>
      <c r="E11" s="2">
        <f t="shared" si="1"/>
        <v>95.487804878048777</v>
      </c>
      <c r="F11" s="2">
        <f t="shared" si="2"/>
        <v>100</v>
      </c>
    </row>
    <row r="12" spans="1:7" x14ac:dyDescent="0.35">
      <c r="A12" s="1" t="s">
        <v>11</v>
      </c>
      <c r="B12" s="4">
        <f>IF(elec_rail!B12&gt;=50, 100-((100-elec_rail!B12)*elec_rail_ref!$D$43), elec_rail!B12*elec_rail_ref!$D$44)</f>
        <v>56.898305084745758</v>
      </c>
      <c r="C12" s="2">
        <f t="shared" si="0"/>
        <v>56.898305084745758</v>
      </c>
      <c r="D12" s="2">
        <f t="shared" si="0"/>
        <v>56.898305084745758</v>
      </c>
      <c r="E12" s="2">
        <f t="shared" si="1"/>
        <v>78.449152542372872</v>
      </c>
      <c r="F12" s="2">
        <f t="shared" si="2"/>
        <v>100</v>
      </c>
    </row>
    <row r="13" spans="1:7" x14ac:dyDescent="0.35">
      <c r="A13" s="1" t="s">
        <v>12</v>
      </c>
      <c r="B13" s="4">
        <f>IF(elec_rail!B13&gt;=50, 100-((100-elec_rail!B13)*elec_rail_ref!$D$43), elec_rail!B13*elec_rail_ref!$D$44)</f>
        <v>92.682926829268297</v>
      </c>
      <c r="C13" s="2">
        <f t="shared" si="0"/>
        <v>92.682926829268297</v>
      </c>
      <c r="D13" s="2">
        <f t="shared" si="0"/>
        <v>92.682926829268297</v>
      </c>
      <c r="E13" s="2">
        <f t="shared" si="1"/>
        <v>96.341463414634148</v>
      </c>
      <c r="F13" s="2">
        <f t="shared" si="2"/>
        <v>100</v>
      </c>
    </row>
    <row r="14" spans="1:7" x14ac:dyDescent="0.35">
      <c r="A14" s="1" t="s">
        <v>13</v>
      </c>
      <c r="B14" s="4">
        <f>IF(elec_rail!B14&gt;=50, 100-((100-elec_rail!B14)*elec_rail_ref!$D$43), elec_rail!B14*elec_rail_ref!$D$44)</f>
        <v>100</v>
      </c>
      <c r="C14" s="2">
        <f t="shared" si="0"/>
        <v>100</v>
      </c>
      <c r="D14" s="2">
        <f t="shared" si="0"/>
        <v>100</v>
      </c>
      <c r="E14" s="2">
        <f t="shared" si="1"/>
        <v>100</v>
      </c>
      <c r="F14" s="2">
        <f t="shared" si="2"/>
        <v>100</v>
      </c>
    </row>
    <row r="15" spans="1:7" x14ac:dyDescent="0.35">
      <c r="A15" s="1" t="s">
        <v>14</v>
      </c>
      <c r="B15" s="4">
        <f>IF(elec_rail!B15&gt;=50, 100-((100-elec_rail!B15)*elec_rail_ref!$D$43), elec_rail!B15*elec_rail_ref!$D$44)</f>
        <v>20.440677966101703</v>
      </c>
      <c r="C15" s="2">
        <f t="shared" si="0"/>
        <v>20.440677966101703</v>
      </c>
      <c r="D15" s="2">
        <f t="shared" si="0"/>
        <v>20.440677966101703</v>
      </c>
      <c r="E15" s="2">
        <f t="shared" si="1"/>
        <v>30.661016949152554</v>
      </c>
      <c r="F15" s="2">
        <f t="shared" si="2"/>
        <v>40.881355932203405</v>
      </c>
    </row>
    <row r="16" spans="1:7" x14ac:dyDescent="0.35">
      <c r="A16" s="1" t="s">
        <v>15</v>
      </c>
      <c r="B16" s="4">
        <f>IF(elec_rail!B16&gt;=50, 100-((100-elec_rail!B16)*elec_rail_ref!$D$43), elec_rail!B16*elec_rail_ref!$D$44)</f>
        <v>9.9152542372881349</v>
      </c>
      <c r="C16" s="2">
        <f t="shared" si="0"/>
        <v>9.9152542372881349</v>
      </c>
      <c r="D16" s="2">
        <f t="shared" si="0"/>
        <v>9.9152542372881349</v>
      </c>
      <c r="E16" s="2">
        <f t="shared" si="1"/>
        <v>14.872881355932202</v>
      </c>
      <c r="F16" s="2">
        <f t="shared" si="2"/>
        <v>19.83050847457627</v>
      </c>
    </row>
    <row r="17" spans="1:6" x14ac:dyDescent="0.35">
      <c r="A17" s="1" t="s">
        <v>16</v>
      </c>
      <c r="B17" s="4">
        <f>IF(elec_rail!B17&gt;=50, 100-((100-elec_rail!B17)*elec_rail_ref!$D$43), elec_rail!B17*elec_rail_ref!$D$44)</f>
        <v>97.804878048780495</v>
      </c>
      <c r="C17" s="2">
        <f t="shared" si="0"/>
        <v>97.804878048780495</v>
      </c>
      <c r="D17" s="2">
        <f t="shared" si="0"/>
        <v>97.804878048780495</v>
      </c>
      <c r="E17" s="2">
        <f t="shared" si="1"/>
        <v>98.902439024390247</v>
      </c>
      <c r="F17" s="2">
        <f t="shared" si="2"/>
        <v>100</v>
      </c>
    </row>
    <row r="18" spans="1:6" x14ac:dyDescent="0.35">
      <c r="A18" s="1" t="s">
        <v>17</v>
      </c>
      <c r="B18" s="4">
        <f>IF(elec_rail!B18&gt;=50, 100-((100-elec_rail!B18)*elec_rail_ref!$D$43), elec_rail!B18*elec_rail_ref!$D$44)</f>
        <v>59.49152542372881</v>
      </c>
      <c r="C18" s="2">
        <f t="shared" si="0"/>
        <v>59.49152542372881</v>
      </c>
      <c r="D18" s="2">
        <f t="shared" si="0"/>
        <v>59.49152542372881</v>
      </c>
      <c r="E18" s="2">
        <f t="shared" si="1"/>
        <v>79.745762711864401</v>
      </c>
      <c r="F18" s="2">
        <f t="shared" si="2"/>
        <v>100</v>
      </c>
    </row>
    <row r="19" spans="1:6" x14ac:dyDescent="0.35">
      <c r="A19" s="1" t="s">
        <v>18</v>
      </c>
      <c r="B19" s="4">
        <f>IF(elec_rail!B19&gt;=50, 100-((100-elec_rail!B19)*elec_rail_ref!$D$43), elec_rail!B19*elec_rail_ref!$D$44)</f>
        <v>100</v>
      </c>
      <c r="C19" s="2">
        <f t="shared" si="0"/>
        <v>100</v>
      </c>
      <c r="D19" s="2">
        <f t="shared" si="0"/>
        <v>100</v>
      </c>
      <c r="E19" s="2">
        <f t="shared" si="1"/>
        <v>100</v>
      </c>
      <c r="F19" s="2">
        <f t="shared" si="2"/>
        <v>100</v>
      </c>
    </row>
    <row r="20" spans="1:6" x14ac:dyDescent="0.35">
      <c r="A20" s="1" t="s">
        <v>19</v>
      </c>
      <c r="B20" s="4">
        <f>IF(elec_rail!B20&gt;=50, 100-((100-elec_rail!B20)*elec_rail_ref!$D$43), elec_rail!B20*elec_rail_ref!$D$44)</f>
        <v>94.146341463414629</v>
      </c>
      <c r="C20" s="2">
        <f t="shared" si="0"/>
        <v>94.146341463414629</v>
      </c>
      <c r="D20" s="2">
        <f t="shared" si="0"/>
        <v>94.146341463414629</v>
      </c>
      <c r="E20" s="2">
        <f t="shared" si="1"/>
        <v>97.073170731707307</v>
      </c>
      <c r="F20" s="2">
        <f t="shared" si="2"/>
        <v>100</v>
      </c>
    </row>
    <row r="21" spans="1:6" x14ac:dyDescent="0.35">
      <c r="A21" s="1" t="s">
        <v>20</v>
      </c>
      <c r="B21" s="4">
        <f>IF(elec_rail!B21&gt;=50, 100-((100-elec_rail!B21)*elec_rail_ref!$D$43), elec_rail!B21*elec_rail_ref!$D$44)</f>
        <v>93.41463414634147</v>
      </c>
      <c r="C21" s="2">
        <f t="shared" si="0"/>
        <v>93.41463414634147</v>
      </c>
      <c r="D21" s="2">
        <f t="shared" si="0"/>
        <v>93.41463414634147</v>
      </c>
      <c r="E21" s="2">
        <f t="shared" si="1"/>
        <v>96.707317073170742</v>
      </c>
      <c r="F21" s="2">
        <f t="shared" si="2"/>
        <v>100</v>
      </c>
    </row>
    <row r="22" spans="1:6" x14ac:dyDescent="0.35">
      <c r="A22" s="1" t="s">
        <v>21</v>
      </c>
      <c r="B22" s="4">
        <f>IF(elec_rail!B22&gt;=50, 100-((100-elec_rail!B22)*elec_rail_ref!$D$43), elec_rail!B22*elec_rail_ref!$D$44)</f>
        <v>91.219512195121951</v>
      </c>
      <c r="C22" s="2">
        <f t="shared" si="0"/>
        <v>91.219512195121951</v>
      </c>
      <c r="D22" s="2">
        <f t="shared" si="0"/>
        <v>91.219512195121951</v>
      </c>
      <c r="E22" s="2">
        <f t="shared" si="1"/>
        <v>95.609756097560975</v>
      </c>
      <c r="F22" s="2">
        <f t="shared" si="2"/>
        <v>100</v>
      </c>
    </row>
    <row r="23" spans="1:6" x14ac:dyDescent="0.35">
      <c r="A23" s="1" t="s">
        <v>22</v>
      </c>
      <c r="B23" s="4">
        <f>IF(elec_rail!B23&gt;=50, 100-((100-elec_rail!B23)*elec_rail_ref!$D$43), elec_rail!B23*elec_rail_ref!$D$44)</f>
        <v>91.463414634146346</v>
      </c>
      <c r="C23" s="2">
        <f t="shared" si="0"/>
        <v>91.463414634146346</v>
      </c>
      <c r="D23" s="2">
        <f t="shared" si="0"/>
        <v>91.463414634146346</v>
      </c>
      <c r="E23" s="2">
        <f t="shared" si="1"/>
        <v>95.731707317073173</v>
      </c>
      <c r="F23" s="2">
        <f t="shared" si="2"/>
        <v>100</v>
      </c>
    </row>
    <row r="24" spans="1:6" x14ac:dyDescent="0.35">
      <c r="A24" s="1" t="s">
        <v>23</v>
      </c>
      <c r="B24" s="4">
        <f>IF(elec_rail!B24&gt;=50, 100-((100-elec_rail!B24)*elec_rail_ref!$D$43), elec_rail!B24*elec_rail_ref!$D$44)</f>
        <v>57.050847457627114</v>
      </c>
      <c r="C24" s="2">
        <f t="shared" si="0"/>
        <v>57.050847457627114</v>
      </c>
      <c r="D24" s="2">
        <f t="shared" si="0"/>
        <v>57.050847457627114</v>
      </c>
      <c r="E24" s="2">
        <f t="shared" si="1"/>
        <v>78.525423728813564</v>
      </c>
      <c r="F24" s="2">
        <f t="shared" si="2"/>
        <v>100</v>
      </c>
    </row>
    <row r="25" spans="1:6" x14ac:dyDescent="0.35">
      <c r="A25" s="1" t="s">
        <v>24</v>
      </c>
      <c r="B25" s="4">
        <f>IF(elec_rail!B25&gt;=50, 100-((100-elec_rail!B25)*elec_rail_ref!$D$43), elec_rail!B25*elec_rail_ref!$D$44)</f>
        <v>63.152542372881349</v>
      </c>
      <c r="C25" s="2">
        <f t="shared" si="0"/>
        <v>63.152542372881349</v>
      </c>
      <c r="D25" s="2">
        <f t="shared" si="0"/>
        <v>63.152542372881349</v>
      </c>
      <c r="E25" s="2">
        <f t="shared" si="1"/>
        <v>81.576271186440678</v>
      </c>
      <c r="F25" s="2">
        <f t="shared" si="2"/>
        <v>100</v>
      </c>
    </row>
    <row r="26" spans="1:6" x14ac:dyDescent="0.35">
      <c r="A26" s="1" t="s">
        <v>25</v>
      </c>
      <c r="B26" s="4">
        <f>IF(elec_rail!B26&gt;=50, 100-((100-elec_rail!B26)*elec_rail_ref!$D$43), elec_rail!B26*elec_rail_ref!$D$44)</f>
        <v>67.576271186440664</v>
      </c>
      <c r="C26" s="2">
        <f t="shared" si="0"/>
        <v>67.576271186440664</v>
      </c>
      <c r="D26" s="2">
        <f t="shared" si="0"/>
        <v>67.576271186440664</v>
      </c>
      <c r="E26" s="2">
        <f t="shared" si="1"/>
        <v>83.788135593220332</v>
      </c>
      <c r="F26" s="2">
        <f t="shared" si="2"/>
        <v>100</v>
      </c>
    </row>
    <row r="27" spans="1:6" x14ac:dyDescent="0.35">
      <c r="A27" s="1" t="s">
        <v>26</v>
      </c>
      <c r="B27" s="4">
        <f>IF(elec_rail!B27&gt;=50, 100-((100-elec_rail!B27)*elec_rail_ref!$D$43), elec_rail!B27*elec_rail_ref!$D$44)</f>
        <v>89.048780487804876</v>
      </c>
      <c r="C27" s="2">
        <f t="shared" si="0"/>
        <v>89.048780487804876</v>
      </c>
      <c r="D27" s="2">
        <f t="shared" si="0"/>
        <v>89.048780487804876</v>
      </c>
      <c r="E27" s="2">
        <f t="shared" si="1"/>
        <v>94.524390243902445</v>
      </c>
      <c r="F27" s="2">
        <f t="shared" si="2"/>
        <v>100</v>
      </c>
    </row>
    <row r="28" spans="1:6" x14ac:dyDescent="0.35">
      <c r="A28" s="1" t="s">
        <v>27</v>
      </c>
      <c r="B28" s="4">
        <f>IF(elec_rail!B28&gt;=50, 100-((100-elec_rail!B28)*elec_rail_ref!$D$43), elec_rail!B28*elec_rail_ref!$D$44)</f>
        <v>93.902439024390247</v>
      </c>
      <c r="C28" s="2">
        <f t="shared" si="0"/>
        <v>93.902439024390247</v>
      </c>
      <c r="D28" s="2">
        <f t="shared" si="0"/>
        <v>93.902439024390247</v>
      </c>
      <c r="E28" s="2">
        <f t="shared" si="1"/>
        <v>96.951219512195124</v>
      </c>
      <c r="F28" s="2">
        <f t="shared" si="2"/>
        <v>100</v>
      </c>
    </row>
    <row r="29" spans="1:6" x14ac:dyDescent="0.35">
      <c r="A29" s="1" t="s">
        <v>28</v>
      </c>
      <c r="B29" s="4">
        <f>IF(elec_rail!B29&gt;=50, 100-((100-elec_rail!B29)*elec_rail_ref!$D$43), elec_rail!B29*elec_rail_ref!$D$44)</f>
        <v>49.423728813559329</v>
      </c>
      <c r="C29" s="2">
        <f t="shared" si="0"/>
        <v>49.423728813559329</v>
      </c>
      <c r="D29" s="2">
        <f t="shared" si="0"/>
        <v>49.423728813559329</v>
      </c>
      <c r="E29" s="2">
        <f t="shared" si="1"/>
        <v>74.13559322033899</v>
      </c>
      <c r="F29" s="2">
        <f t="shared" si="2"/>
        <v>98.847457627118658</v>
      </c>
    </row>
    <row r="30" spans="1:6" x14ac:dyDescent="0.35">
      <c r="A30" s="1" t="s">
        <v>29</v>
      </c>
      <c r="B30" s="4">
        <f>IF(elec_rail!B30&gt;=50, 100-((100-elec_rail!B30)*elec_rail_ref!$D$43), elec_rail!B30*elec_rail_ref!$D$44)</f>
        <v>100</v>
      </c>
      <c r="C30" s="2">
        <f t="shared" si="0"/>
        <v>100</v>
      </c>
      <c r="D30" s="2">
        <f t="shared" si="0"/>
        <v>100</v>
      </c>
      <c r="E30" s="2">
        <f t="shared" si="1"/>
        <v>100</v>
      </c>
      <c r="F30" s="2">
        <f t="shared" si="2"/>
        <v>100</v>
      </c>
    </row>
    <row r="31" spans="1:6" x14ac:dyDescent="0.35">
      <c r="A31" s="1" t="s">
        <v>30</v>
      </c>
      <c r="B31" s="4">
        <f>IF(elec_rail!B31&gt;=50, 100-((100-elec_rail!B31)*elec_rail_ref!$D$43), elec_rail!B31*elec_rail_ref!$D$44)</f>
        <v>89.853658536585371</v>
      </c>
      <c r="C31" s="2">
        <f t="shared" si="0"/>
        <v>89.853658536585371</v>
      </c>
      <c r="D31" s="2">
        <f t="shared" si="0"/>
        <v>89.853658536585371</v>
      </c>
      <c r="E31" s="2">
        <f t="shared" si="1"/>
        <v>94.926829268292693</v>
      </c>
      <c r="F31" s="2">
        <f t="shared" si="2"/>
        <v>100</v>
      </c>
    </row>
    <row r="32" spans="1:6" x14ac:dyDescent="0.35">
      <c r="A32" s="1" t="s">
        <v>31</v>
      </c>
      <c r="B32" s="4">
        <f>IF(elec_rail!B32&gt;=50, 100-((100-elec_rail!B32)*elec_rail_ref!$D$43), elec_rail!B32*elec_rail_ref!$D$44)</f>
        <v>100</v>
      </c>
      <c r="C32" s="2">
        <f t="shared" si="0"/>
        <v>100</v>
      </c>
      <c r="D32" s="2">
        <f t="shared" si="0"/>
        <v>100</v>
      </c>
      <c r="E32" s="2">
        <f t="shared" si="1"/>
        <v>100</v>
      </c>
      <c r="F32" s="2">
        <f t="shared" si="2"/>
        <v>100</v>
      </c>
    </row>
    <row r="33" spans="1:6" x14ac:dyDescent="0.35">
      <c r="A33" s="1" t="s">
        <v>32</v>
      </c>
      <c r="B33" s="4">
        <f>IF(elec_rail!B33&gt;=50, 100-((100-elec_rail!B33)*elec_rail_ref!$D$43), elec_rail!B33*elec_rail_ref!$D$44)</f>
        <v>97.439024390243901</v>
      </c>
      <c r="C33" s="2">
        <f t="shared" si="0"/>
        <v>97.439024390243901</v>
      </c>
      <c r="D33" s="2">
        <f t="shared" si="0"/>
        <v>97.439024390243901</v>
      </c>
      <c r="E33" s="2">
        <f t="shared" si="1"/>
        <v>98.719512195121951</v>
      </c>
      <c r="F33" s="2">
        <f t="shared" si="2"/>
        <v>100</v>
      </c>
    </row>
    <row r="34" spans="1:6" x14ac:dyDescent="0.35">
      <c r="A34" s="1" t="s">
        <v>33</v>
      </c>
      <c r="B34" s="4">
        <f>IF(elec_rail!B34&gt;=50, 100-((100-elec_rail!B34)*elec_rail_ref!$D$43), elec_rail!B34*elec_rail_ref!$D$44)</f>
        <v>51.101694915254235</v>
      </c>
      <c r="C34" s="2">
        <f t="shared" si="0"/>
        <v>51.101694915254235</v>
      </c>
      <c r="D34" s="2">
        <f t="shared" si="0"/>
        <v>51.101694915254235</v>
      </c>
      <c r="E34" s="2">
        <f t="shared" si="1"/>
        <v>75.550847457627114</v>
      </c>
      <c r="F34" s="2">
        <f t="shared" si="2"/>
        <v>100</v>
      </c>
    </row>
    <row r="35" spans="1:6" x14ac:dyDescent="0.35">
      <c r="A35" s="1" t="s">
        <v>34</v>
      </c>
      <c r="B35" s="4">
        <f>IF(elec_rail!B35&gt;=50, 100-((100-elec_rail!B35)*elec_rail_ref!$D$43), elec_rail!B35*elec_rail_ref!$D$44)</f>
        <v>51.101694915254235</v>
      </c>
      <c r="C35" s="2">
        <f t="shared" si="0"/>
        <v>51.101694915254235</v>
      </c>
      <c r="D35" s="2">
        <f t="shared" si="0"/>
        <v>51.101694915254235</v>
      </c>
      <c r="E35" s="2">
        <f t="shared" si="1"/>
        <v>75.550847457627114</v>
      </c>
      <c r="F35" s="2">
        <f t="shared" si="2"/>
        <v>100</v>
      </c>
    </row>
    <row r="36" spans="1:6" x14ac:dyDescent="0.35">
      <c r="A36" s="1" t="s">
        <v>35</v>
      </c>
      <c r="B36" s="4">
        <f>IF(elec_rail!B36&gt;=50, 100-((100-elec_rail!B36)*elec_rail_ref!$D$43), elec_rail!B36*elec_rail_ref!$D$44)</f>
        <v>0</v>
      </c>
      <c r="C36" s="2">
        <f t="shared" si="0"/>
        <v>0</v>
      </c>
      <c r="D36" s="2">
        <f t="shared" si="0"/>
        <v>0</v>
      </c>
      <c r="E36" s="2">
        <f t="shared" si="1"/>
        <v>10</v>
      </c>
      <c r="F36" s="2">
        <v>20</v>
      </c>
    </row>
    <row r="37" spans="1:6" x14ac:dyDescent="0.35">
      <c r="A37" s="1" t="s">
        <v>36</v>
      </c>
      <c r="B37" s="4">
        <f>IF(elec_rail!B37&gt;=50, 100-((100-elec_rail!B37)*elec_rail_ref!$D$43), elec_rail!B37*elec_rail_ref!$D$44)</f>
        <v>93.902439024390247</v>
      </c>
      <c r="C37" s="2">
        <f t="shared" si="0"/>
        <v>93.902439024390247</v>
      </c>
      <c r="D37" s="2">
        <f t="shared" si="0"/>
        <v>93.902439024390247</v>
      </c>
      <c r="E37" s="2">
        <f t="shared" si="1"/>
        <v>96.951219512195124</v>
      </c>
      <c r="F37" s="2">
        <f t="shared" si="2"/>
        <v>100</v>
      </c>
    </row>
    <row r="40" spans="1:6" x14ac:dyDescent="0.35">
      <c r="A40" t="s">
        <v>50</v>
      </c>
      <c r="B40" t="s">
        <v>38</v>
      </c>
    </row>
    <row r="42" spans="1:6" x14ac:dyDescent="0.35">
      <c r="A42" t="s">
        <v>51</v>
      </c>
      <c r="B42" t="s">
        <v>39</v>
      </c>
      <c r="C42" t="s">
        <v>44</v>
      </c>
      <c r="D42" t="s">
        <v>78</v>
      </c>
      <c r="F42" s="3" t="s">
        <v>45</v>
      </c>
    </row>
    <row r="43" spans="1:6" x14ac:dyDescent="0.35">
      <c r="D43">
        <f>10/41</f>
        <v>0.24390243902439024</v>
      </c>
      <c r="E43" s="5" t="s">
        <v>76</v>
      </c>
    </row>
    <row r="44" spans="1:6" x14ac:dyDescent="0.35">
      <c r="D44">
        <f>90/59</f>
        <v>1.5254237288135593</v>
      </c>
      <c r="E44" s="5" t="s">
        <v>77</v>
      </c>
    </row>
    <row r="46" spans="1:6" x14ac:dyDescent="0.35">
      <c r="A46" t="s">
        <v>79</v>
      </c>
      <c r="B46" t="s">
        <v>53</v>
      </c>
      <c r="C46" t="s">
        <v>80</v>
      </c>
    </row>
    <row r="47" spans="1:6" x14ac:dyDescent="0.35">
      <c r="B47" t="s">
        <v>64</v>
      </c>
      <c r="C47" t="s">
        <v>82</v>
      </c>
    </row>
    <row r="48" spans="1:6" x14ac:dyDescent="0.35">
      <c r="B48" t="s">
        <v>83</v>
      </c>
      <c r="C48" t="s">
        <v>85</v>
      </c>
      <c r="D48" s="6" t="s">
        <v>84</v>
      </c>
    </row>
  </sheetData>
  <hyperlinks>
    <hyperlink ref="F42" r:id="rId1" xr:uid="{564DB2CF-93AB-4ACA-96ED-ADFF9EDCFAF9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K46"/>
  <sheetViews>
    <sheetView workbookViewId="0">
      <selection activeCell="A39" sqref="A39:H46"/>
    </sheetView>
  </sheetViews>
  <sheetFormatPr baseColWidth="10" defaultRowHeight="14.5" x14ac:dyDescent="0.35"/>
  <sheetData>
    <row r="1" spans="1:11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11" x14ac:dyDescent="0.35">
      <c r="A2" s="1" t="s">
        <v>1</v>
      </c>
      <c r="B2">
        <v>0</v>
      </c>
      <c r="C2" s="2">
        <v>0</v>
      </c>
      <c r="D2" s="2">
        <v>4.8984331944088977</v>
      </c>
      <c r="E2" s="2">
        <v>48.000072705031315</v>
      </c>
      <c r="F2" s="2">
        <v>65.808174435028249</v>
      </c>
      <c r="H2" s="2"/>
      <c r="I2" s="2"/>
      <c r="J2" s="2"/>
      <c r="K2" s="2"/>
    </row>
    <row r="3" spans="1:11" x14ac:dyDescent="0.35">
      <c r="A3" s="1" t="s">
        <v>2</v>
      </c>
      <c r="B3">
        <v>0</v>
      </c>
      <c r="C3" s="2">
        <v>0</v>
      </c>
      <c r="D3" s="2">
        <v>1.2336497091919085</v>
      </c>
      <c r="E3" s="2">
        <v>34.134270854363535</v>
      </c>
      <c r="F3" s="2">
        <v>66.093004126206466</v>
      </c>
      <c r="H3" s="2"/>
      <c r="I3" s="2"/>
      <c r="J3" s="2"/>
      <c r="K3" s="2"/>
    </row>
    <row r="4" spans="1:11" x14ac:dyDescent="0.35">
      <c r="A4" s="1" t="s">
        <v>3</v>
      </c>
      <c r="B4">
        <v>0</v>
      </c>
      <c r="C4" s="2">
        <v>0</v>
      </c>
      <c r="D4" s="2">
        <v>1.2336497091919085</v>
      </c>
      <c r="E4" s="2">
        <v>34.134270854363535</v>
      </c>
      <c r="F4" s="2">
        <v>66.093004126206466</v>
      </c>
      <c r="H4" s="2"/>
      <c r="I4" s="2"/>
      <c r="J4" s="2"/>
      <c r="K4" s="2"/>
    </row>
    <row r="5" spans="1:11" x14ac:dyDescent="0.35">
      <c r="A5" s="1" t="s">
        <v>4</v>
      </c>
      <c r="B5">
        <v>0</v>
      </c>
      <c r="C5" s="2">
        <v>0.17125058771192414</v>
      </c>
      <c r="D5" s="2">
        <v>18.512001823020796</v>
      </c>
      <c r="E5" s="2">
        <v>61.252869559940137</v>
      </c>
      <c r="F5" s="2">
        <v>62.540151517257669</v>
      </c>
      <c r="H5" s="2"/>
      <c r="I5" s="2"/>
      <c r="J5" s="2"/>
      <c r="K5" s="2"/>
    </row>
    <row r="6" spans="1:11" x14ac:dyDescent="0.35">
      <c r="A6" s="1" t="s">
        <v>5</v>
      </c>
      <c r="B6">
        <v>0</v>
      </c>
      <c r="C6" s="2">
        <v>0</v>
      </c>
      <c r="D6" s="2">
        <v>4.8984331944088977</v>
      </c>
      <c r="E6" s="2">
        <v>48.000072705031315</v>
      </c>
      <c r="F6" s="2">
        <v>65.808174435028249</v>
      </c>
      <c r="G6" s="3"/>
      <c r="H6" s="2"/>
      <c r="I6" s="2"/>
      <c r="J6" s="2"/>
      <c r="K6" s="2"/>
    </row>
    <row r="7" spans="1:11" x14ac:dyDescent="0.35">
      <c r="A7" s="1" t="s">
        <v>6</v>
      </c>
      <c r="B7">
        <v>0</v>
      </c>
      <c r="C7" s="2">
        <v>0</v>
      </c>
      <c r="D7" s="2">
        <v>1.2336497091919085</v>
      </c>
      <c r="E7" s="2">
        <v>34.134270854363535</v>
      </c>
      <c r="F7" s="2">
        <v>66.093004126206466</v>
      </c>
      <c r="H7" s="2"/>
      <c r="I7" s="2"/>
      <c r="J7" s="2"/>
      <c r="K7" s="2"/>
    </row>
    <row r="8" spans="1:11" x14ac:dyDescent="0.35">
      <c r="A8" s="1" t="s">
        <v>7</v>
      </c>
      <c r="B8">
        <v>0</v>
      </c>
      <c r="C8" s="2">
        <v>0</v>
      </c>
      <c r="D8" s="2">
        <v>4.8984331944088977</v>
      </c>
      <c r="E8" s="2">
        <v>48.000072705031315</v>
      </c>
      <c r="F8" s="2">
        <v>65.808174435028249</v>
      </c>
      <c r="H8" s="2"/>
      <c r="I8" s="2"/>
      <c r="J8" s="2"/>
      <c r="K8" s="2"/>
    </row>
    <row r="9" spans="1:11" x14ac:dyDescent="0.35">
      <c r="A9" s="1" t="s">
        <v>8</v>
      </c>
      <c r="B9">
        <v>0</v>
      </c>
      <c r="C9" s="2">
        <v>0</v>
      </c>
      <c r="D9" s="2">
        <v>1.2336497091919085</v>
      </c>
      <c r="E9" s="2">
        <v>34.134270854363535</v>
      </c>
      <c r="F9" s="2">
        <v>66.093004126206466</v>
      </c>
      <c r="H9" s="2"/>
      <c r="I9" s="2"/>
      <c r="J9" s="2"/>
      <c r="K9" s="2"/>
    </row>
    <row r="10" spans="1:11" x14ac:dyDescent="0.35">
      <c r="A10" s="1" t="s">
        <v>9</v>
      </c>
      <c r="B10">
        <v>0</v>
      </c>
      <c r="C10" s="2">
        <v>0</v>
      </c>
      <c r="D10" s="2">
        <v>1.4700645395636869</v>
      </c>
      <c r="E10" s="2">
        <v>36.089201586418085</v>
      </c>
      <c r="F10" s="2">
        <v>66.055694143567578</v>
      </c>
      <c r="H10" s="2"/>
      <c r="I10" s="2"/>
      <c r="J10" s="2"/>
      <c r="K10" s="2"/>
    </row>
    <row r="11" spans="1:11" x14ac:dyDescent="0.35">
      <c r="A11" s="1" t="s">
        <v>10</v>
      </c>
      <c r="B11">
        <v>0</v>
      </c>
      <c r="C11" s="2">
        <v>0</v>
      </c>
      <c r="D11" s="2">
        <v>4.8984331944088977</v>
      </c>
      <c r="E11" s="2">
        <v>48.000072705031315</v>
      </c>
      <c r="F11" s="2">
        <v>65.808174435028249</v>
      </c>
      <c r="H11" s="2"/>
      <c r="I11" s="2"/>
      <c r="J11" s="2"/>
      <c r="K11" s="2"/>
    </row>
    <row r="12" spans="1:11" x14ac:dyDescent="0.35">
      <c r="A12" s="1" t="s">
        <v>11</v>
      </c>
      <c r="B12">
        <v>0</v>
      </c>
      <c r="C12" s="2">
        <v>0</v>
      </c>
      <c r="D12" s="2">
        <v>1.2336497091919085</v>
      </c>
      <c r="E12" s="2">
        <v>34.134270854363535</v>
      </c>
      <c r="F12" s="2">
        <v>66.093004126206466</v>
      </c>
      <c r="H12" s="2"/>
      <c r="I12" s="2"/>
      <c r="J12" s="2"/>
      <c r="K12" s="2"/>
    </row>
    <row r="13" spans="1:11" x14ac:dyDescent="0.35">
      <c r="A13" s="1" t="s">
        <v>12</v>
      </c>
      <c r="B13">
        <v>0</v>
      </c>
      <c r="C13" s="2">
        <v>0</v>
      </c>
      <c r="D13" s="2">
        <v>1.4700645395636869</v>
      </c>
      <c r="E13" s="2">
        <v>36.089201586418085</v>
      </c>
      <c r="F13" s="2">
        <v>66.055694143567578</v>
      </c>
      <c r="H13" s="2"/>
      <c r="I13" s="2"/>
      <c r="J13" s="2"/>
      <c r="K13" s="2"/>
    </row>
    <row r="14" spans="1:11" x14ac:dyDescent="0.35">
      <c r="A14" s="1" t="s">
        <v>13</v>
      </c>
      <c r="B14">
        <v>0</v>
      </c>
      <c r="C14" s="2">
        <v>0</v>
      </c>
      <c r="D14" s="2">
        <v>1.2336497091919085</v>
      </c>
      <c r="E14" s="2">
        <v>34.134270854363535</v>
      </c>
      <c r="F14" s="2">
        <v>66.093004126206466</v>
      </c>
      <c r="H14" s="2"/>
      <c r="I14" s="2"/>
      <c r="J14" s="2"/>
      <c r="K14" s="2"/>
    </row>
    <row r="15" spans="1:11" x14ac:dyDescent="0.35">
      <c r="A15" s="1" t="s">
        <v>14</v>
      </c>
      <c r="B15">
        <v>0</v>
      </c>
      <c r="C15" s="2">
        <v>0</v>
      </c>
      <c r="D15" s="2">
        <v>1.2336497091919085</v>
      </c>
      <c r="E15" s="2">
        <v>34.134270854363535</v>
      </c>
      <c r="F15" s="2">
        <v>66.093004126206466</v>
      </c>
      <c r="H15" s="2"/>
      <c r="I15" s="2"/>
      <c r="J15" s="2"/>
      <c r="K15" s="2"/>
    </row>
    <row r="16" spans="1:11" x14ac:dyDescent="0.35">
      <c r="A16" s="1" t="s">
        <v>15</v>
      </c>
      <c r="B16">
        <v>0</v>
      </c>
      <c r="C16" s="2">
        <v>0</v>
      </c>
      <c r="D16" s="2">
        <v>1.2336497091919085</v>
      </c>
      <c r="E16" s="2">
        <v>34.134270854363535</v>
      </c>
      <c r="F16" s="2">
        <v>66.093004126206466</v>
      </c>
      <c r="H16" s="2"/>
      <c r="I16" s="2"/>
      <c r="J16" s="2"/>
      <c r="K16" s="2"/>
    </row>
    <row r="17" spans="1:11" x14ac:dyDescent="0.35">
      <c r="A17" s="1" t="s">
        <v>16</v>
      </c>
      <c r="B17">
        <v>0</v>
      </c>
      <c r="C17" s="2">
        <v>0</v>
      </c>
      <c r="D17" s="2">
        <v>4.8984331944088977</v>
      </c>
      <c r="E17" s="2">
        <v>48.000072705031315</v>
      </c>
      <c r="F17" s="2">
        <v>65.808174435028249</v>
      </c>
      <c r="H17" s="2"/>
      <c r="I17" s="2"/>
      <c r="J17" s="2"/>
      <c r="K17" s="2"/>
    </row>
    <row r="18" spans="1:11" x14ac:dyDescent="0.35">
      <c r="A18" s="1" t="s">
        <v>17</v>
      </c>
      <c r="B18">
        <v>0</v>
      </c>
      <c r="C18" s="2">
        <v>0</v>
      </c>
      <c r="D18" s="2">
        <v>1.2336497091919085</v>
      </c>
      <c r="E18" s="2">
        <v>34.134270854363535</v>
      </c>
      <c r="F18" s="2">
        <v>66.093004126206466</v>
      </c>
      <c r="H18" s="2"/>
      <c r="I18" s="2"/>
      <c r="J18" s="2"/>
      <c r="K18" s="2"/>
    </row>
    <row r="19" spans="1:11" x14ac:dyDescent="0.35">
      <c r="A19" s="1" t="s">
        <v>18</v>
      </c>
      <c r="B19">
        <v>0</v>
      </c>
      <c r="C19" s="2">
        <v>0</v>
      </c>
      <c r="D19" s="2">
        <v>1.4700645395636869</v>
      </c>
      <c r="E19" s="2">
        <v>36.089201586418085</v>
      </c>
      <c r="F19" s="2">
        <v>66.055694143567578</v>
      </c>
      <c r="H19" s="2"/>
      <c r="I19" s="2"/>
      <c r="J19" s="2"/>
      <c r="K19" s="2"/>
    </row>
    <row r="20" spans="1:11" x14ac:dyDescent="0.35">
      <c r="A20" s="1" t="s">
        <v>19</v>
      </c>
      <c r="B20">
        <v>0</v>
      </c>
      <c r="C20" s="2">
        <v>0.17125058771192414</v>
      </c>
      <c r="D20" s="2">
        <v>18.512001823020796</v>
      </c>
      <c r="E20" s="2">
        <v>61.252869559940137</v>
      </c>
      <c r="F20" s="2">
        <v>62.540151517257669</v>
      </c>
      <c r="H20" s="2"/>
      <c r="I20" s="2"/>
      <c r="J20" s="2"/>
      <c r="K20" s="2"/>
    </row>
    <row r="21" spans="1:11" x14ac:dyDescent="0.35">
      <c r="A21" s="1" t="s">
        <v>20</v>
      </c>
      <c r="B21">
        <v>0</v>
      </c>
      <c r="C21" s="2">
        <v>0</v>
      </c>
      <c r="D21" s="2">
        <v>4.8984331944088977</v>
      </c>
      <c r="E21" s="2">
        <v>48.000072705031315</v>
      </c>
      <c r="F21" s="2">
        <v>65.808174435028249</v>
      </c>
      <c r="H21" s="2"/>
      <c r="I21" s="2"/>
      <c r="J21" s="2"/>
      <c r="K21" s="2"/>
    </row>
    <row r="22" spans="1:11" x14ac:dyDescent="0.35">
      <c r="A22" s="1" t="s">
        <v>21</v>
      </c>
      <c r="B22">
        <v>0</v>
      </c>
      <c r="C22" s="2">
        <v>0</v>
      </c>
      <c r="D22" s="2">
        <v>1.2336497091919085</v>
      </c>
      <c r="E22" s="2">
        <v>34.134270854363535</v>
      </c>
      <c r="F22" s="2">
        <v>66.093004126206466</v>
      </c>
      <c r="H22" s="2"/>
      <c r="I22" s="2"/>
      <c r="J22" s="2"/>
      <c r="K22" s="2"/>
    </row>
    <row r="23" spans="1:11" x14ac:dyDescent="0.35">
      <c r="A23" s="1" t="s">
        <v>22</v>
      </c>
      <c r="B23">
        <v>0</v>
      </c>
      <c r="C23" s="2">
        <v>0</v>
      </c>
      <c r="D23" s="2">
        <v>1.4700645395636869</v>
      </c>
      <c r="E23" s="2">
        <v>36.089201586418085</v>
      </c>
      <c r="F23" s="2">
        <v>66.055694143567578</v>
      </c>
      <c r="H23" s="2"/>
      <c r="I23" s="2"/>
      <c r="J23" s="2"/>
      <c r="K23" s="2"/>
    </row>
    <row r="24" spans="1:11" x14ac:dyDescent="0.35">
      <c r="A24" s="1" t="s">
        <v>23</v>
      </c>
      <c r="B24">
        <v>0</v>
      </c>
      <c r="C24" s="2">
        <v>0</v>
      </c>
      <c r="D24" s="2">
        <v>1.2336497091919085</v>
      </c>
      <c r="E24" s="2">
        <v>34.134270854363535</v>
      </c>
      <c r="F24" s="2">
        <v>66.093004126206466</v>
      </c>
      <c r="H24" s="2"/>
      <c r="I24" s="2"/>
      <c r="J24" s="2"/>
      <c r="K24" s="2"/>
    </row>
    <row r="25" spans="1:11" x14ac:dyDescent="0.35">
      <c r="A25" s="1" t="s">
        <v>24</v>
      </c>
      <c r="B25">
        <v>0</v>
      </c>
      <c r="C25" s="2">
        <v>0</v>
      </c>
      <c r="D25" s="2">
        <v>1.2336497091919085</v>
      </c>
      <c r="E25" s="2">
        <v>34.134270854363535</v>
      </c>
      <c r="F25" s="2">
        <v>66.093004126206466</v>
      </c>
      <c r="H25" s="2"/>
      <c r="I25" s="2"/>
      <c r="J25" s="2"/>
      <c r="K25" s="2"/>
    </row>
    <row r="26" spans="1:11" x14ac:dyDescent="0.35">
      <c r="A26" s="1" t="s">
        <v>25</v>
      </c>
      <c r="B26">
        <v>0</v>
      </c>
      <c r="C26" s="2">
        <v>0</v>
      </c>
      <c r="D26" s="2">
        <v>1.2336497091919085</v>
      </c>
      <c r="E26" s="2">
        <v>34.134270854363535</v>
      </c>
      <c r="F26" s="2">
        <v>66.093004126206466</v>
      </c>
      <c r="H26" s="2"/>
      <c r="I26" s="2"/>
      <c r="J26" s="2"/>
      <c r="K26" s="2"/>
    </row>
    <row r="27" spans="1:11" x14ac:dyDescent="0.35">
      <c r="A27" s="1" t="s">
        <v>26</v>
      </c>
      <c r="B27">
        <v>0</v>
      </c>
      <c r="C27" s="2">
        <v>0.17125058771192414</v>
      </c>
      <c r="D27" s="2">
        <v>18.512001823020796</v>
      </c>
      <c r="E27" s="2">
        <v>61.252869559940137</v>
      </c>
      <c r="F27" s="2">
        <v>62.540151517257669</v>
      </c>
      <c r="H27" s="2"/>
      <c r="I27" s="2"/>
      <c r="J27" s="2"/>
      <c r="K27" s="2"/>
    </row>
    <row r="28" spans="1:11" x14ac:dyDescent="0.35">
      <c r="A28" s="1" t="s">
        <v>27</v>
      </c>
      <c r="B28">
        <v>0</v>
      </c>
      <c r="C28" s="2">
        <v>0.17125058771192414</v>
      </c>
      <c r="D28" s="2">
        <v>18.512001823020796</v>
      </c>
      <c r="E28" s="2">
        <v>61.252869559940137</v>
      </c>
      <c r="F28" s="2">
        <v>62.540151517257669</v>
      </c>
      <c r="H28" s="2"/>
      <c r="I28" s="2"/>
      <c r="J28" s="2"/>
      <c r="K28" s="2"/>
    </row>
    <row r="29" spans="1:11" x14ac:dyDescent="0.35">
      <c r="A29" s="1" t="s">
        <v>28</v>
      </c>
      <c r="B29">
        <v>0</v>
      </c>
      <c r="C29" s="2">
        <v>0</v>
      </c>
      <c r="D29" s="2">
        <v>4.8984331944088977</v>
      </c>
      <c r="E29" s="2">
        <v>48.000072705031315</v>
      </c>
      <c r="F29" s="2">
        <v>65.808174435028249</v>
      </c>
      <c r="H29" s="2"/>
      <c r="I29" s="2"/>
      <c r="J29" s="2"/>
      <c r="K29" s="2"/>
    </row>
    <row r="30" spans="1:11" x14ac:dyDescent="0.35">
      <c r="A30" s="1" t="s">
        <v>29</v>
      </c>
      <c r="B30">
        <v>0</v>
      </c>
      <c r="C30" s="2">
        <v>0.17125058771192414</v>
      </c>
      <c r="D30" s="2">
        <v>18.512001823020796</v>
      </c>
      <c r="E30" s="2">
        <v>61.252869559940137</v>
      </c>
      <c r="F30" s="2">
        <v>62.540151517257669</v>
      </c>
      <c r="H30" s="2"/>
      <c r="I30" s="2"/>
      <c r="J30" s="2"/>
      <c r="K30" s="2"/>
    </row>
    <row r="31" spans="1:11" x14ac:dyDescent="0.35">
      <c r="A31" s="1" t="s">
        <v>30</v>
      </c>
      <c r="B31">
        <v>0</v>
      </c>
      <c r="C31" s="2">
        <v>0.17125058771192414</v>
      </c>
      <c r="D31" s="2">
        <v>18.512001823020796</v>
      </c>
      <c r="E31" s="2">
        <v>61.252869559940137</v>
      </c>
      <c r="F31" s="2">
        <v>62.540151517257669</v>
      </c>
      <c r="H31" s="2"/>
      <c r="I31" s="2"/>
      <c r="J31" s="2"/>
      <c r="K31" s="2"/>
    </row>
    <row r="32" spans="1:11" x14ac:dyDescent="0.35">
      <c r="A32" s="1" t="s">
        <v>31</v>
      </c>
      <c r="B32">
        <v>0</v>
      </c>
      <c r="C32" s="2">
        <v>0</v>
      </c>
      <c r="D32" s="2">
        <v>4.8984331944088977</v>
      </c>
      <c r="E32" s="2">
        <v>48.000072705031315</v>
      </c>
      <c r="F32" s="2">
        <v>65.808174435028249</v>
      </c>
      <c r="H32" s="2"/>
      <c r="I32" s="2"/>
      <c r="J32" s="2"/>
      <c r="K32" s="2"/>
    </row>
    <row r="33" spans="1:11" x14ac:dyDescent="0.35">
      <c r="A33" s="1" t="s">
        <v>32</v>
      </c>
      <c r="B33">
        <v>0</v>
      </c>
      <c r="C33" s="2">
        <v>0</v>
      </c>
      <c r="D33" s="2">
        <v>1.2336497091919085</v>
      </c>
      <c r="E33" s="2">
        <v>34.134270854363535</v>
      </c>
      <c r="F33" s="2">
        <v>66.093004126206466</v>
      </c>
      <c r="H33" s="2"/>
      <c r="I33" s="2"/>
      <c r="J33" s="2"/>
      <c r="K33" s="2"/>
    </row>
    <row r="34" spans="1:11" x14ac:dyDescent="0.35">
      <c r="A34" s="1" t="s">
        <v>33</v>
      </c>
      <c r="B34">
        <v>0</v>
      </c>
      <c r="C34" s="2">
        <v>0</v>
      </c>
      <c r="D34" s="2">
        <v>1.2336497091919085</v>
      </c>
      <c r="E34" s="2">
        <v>34.134270854363535</v>
      </c>
      <c r="F34" s="2">
        <v>66.093004126206466</v>
      </c>
      <c r="H34" s="2"/>
      <c r="I34" s="2"/>
      <c r="J34" s="2"/>
      <c r="K34" s="2"/>
    </row>
    <row r="35" spans="1:11" x14ac:dyDescent="0.35">
      <c r="A35" s="1" t="s">
        <v>34</v>
      </c>
      <c r="B35">
        <v>0</v>
      </c>
      <c r="C35" s="2">
        <v>0</v>
      </c>
      <c r="D35" s="2">
        <v>1.2336497091919085</v>
      </c>
      <c r="E35" s="2">
        <v>34.134270854363535</v>
      </c>
      <c r="F35" s="2">
        <v>66.093004126206466</v>
      </c>
      <c r="H35" s="2"/>
      <c r="I35" s="2"/>
      <c r="J35" s="2"/>
      <c r="K35" s="2"/>
    </row>
    <row r="36" spans="1:11" x14ac:dyDescent="0.35">
      <c r="A36" s="1" t="s">
        <v>35</v>
      </c>
      <c r="B36">
        <v>0</v>
      </c>
      <c r="C36" s="2">
        <v>0</v>
      </c>
      <c r="D36" s="2">
        <v>1.2336497091919085</v>
      </c>
      <c r="E36" s="2">
        <v>34.134270854363535</v>
      </c>
      <c r="F36" s="2">
        <v>66.093004126206466</v>
      </c>
      <c r="H36" s="2"/>
      <c r="I36" s="2"/>
      <c r="J36" s="2"/>
      <c r="K36" s="2"/>
    </row>
    <row r="37" spans="1:11" x14ac:dyDescent="0.35">
      <c r="A37" s="1" t="s">
        <v>36</v>
      </c>
      <c r="B37">
        <v>0</v>
      </c>
      <c r="C37" s="2">
        <v>0</v>
      </c>
      <c r="D37" s="2">
        <v>1.2336497091919085</v>
      </c>
      <c r="E37" s="2">
        <v>34.134270854363535</v>
      </c>
      <c r="F37" s="2">
        <v>66.093004126206466</v>
      </c>
      <c r="H37" s="2"/>
      <c r="I37" s="2"/>
      <c r="J37" s="2"/>
      <c r="K37" s="2"/>
    </row>
    <row r="39" spans="1:11" x14ac:dyDescent="0.35">
      <c r="A39" t="s">
        <v>50</v>
      </c>
      <c r="B39" t="s">
        <v>38</v>
      </c>
    </row>
    <row r="41" spans="1:11" x14ac:dyDescent="0.35">
      <c r="A41" t="s">
        <v>51</v>
      </c>
      <c r="B41" t="s">
        <v>39</v>
      </c>
      <c r="C41" t="s">
        <v>91</v>
      </c>
      <c r="D41" t="s">
        <v>86</v>
      </c>
      <c r="F41" s="3" t="s">
        <v>87</v>
      </c>
    </row>
    <row r="42" spans="1:11" x14ac:dyDescent="0.35">
      <c r="B42" t="s">
        <v>40</v>
      </c>
      <c r="C42" t="s">
        <v>93</v>
      </c>
      <c r="D42" t="s">
        <v>88</v>
      </c>
      <c r="F42" s="3" t="s">
        <v>89</v>
      </c>
    </row>
    <row r="43" spans="1:11" ht="15.5" x14ac:dyDescent="0.35">
      <c r="B43" t="s">
        <v>61</v>
      </c>
      <c r="C43" t="s">
        <v>92</v>
      </c>
      <c r="D43" s="7" t="s">
        <v>90</v>
      </c>
    </row>
    <row r="45" spans="1:11" x14ac:dyDescent="0.35">
      <c r="A45" t="s">
        <v>79</v>
      </c>
      <c r="B45" t="s">
        <v>53</v>
      </c>
      <c r="C45" t="s">
        <v>94</v>
      </c>
    </row>
    <row r="46" spans="1:11" x14ac:dyDescent="0.35">
      <c r="B46" t="s">
        <v>64</v>
      </c>
      <c r="C46" t="s">
        <v>95</v>
      </c>
    </row>
  </sheetData>
  <hyperlinks>
    <hyperlink ref="F41" r:id="rId1" xr:uid="{5BE62645-D6A9-4492-A9C3-9F419E0B3B4E}"/>
    <hyperlink ref="F42" r:id="rId2" xr:uid="{DC7AF2A0-7E7F-4FDC-8AD5-0B8236BC229A}"/>
  </hyperlinks>
  <pageMargins left="0.7" right="0.7" top="0.78740157499999996" bottom="0.78740157499999996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workbookViewId="0">
      <selection activeCell="F39" sqref="F39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35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35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3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35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35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35">
      <c r="A9" s="1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35">
      <c r="A10" s="1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35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35">
      <c r="A12" s="1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35">
      <c r="A13" s="1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35">
      <c r="A14" s="1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35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35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35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35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35">
      <c r="A19" s="1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35">
      <c r="A20" s="1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35">
      <c r="A21" s="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35">
      <c r="A22" s="1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35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35">
      <c r="A24" s="1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35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35">
      <c r="A26" s="1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35">
      <c r="A27" s="1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35">
      <c r="A28" s="1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35">
      <c r="A29" s="1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35">
      <c r="A30" s="1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35">
      <c r="A31" s="1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35">
      <c r="A32" s="1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35">
      <c r="A33" s="1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35">
      <c r="A34" s="1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35">
      <c r="A35" s="1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35">
      <c r="A36" s="1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35">
      <c r="A37" s="1" t="s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7"/>
  <sheetViews>
    <sheetView workbookViewId="0">
      <selection activeCell="F39" sqref="F39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35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35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3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35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35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35">
      <c r="A9" s="1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35">
      <c r="A10" s="1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35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35">
      <c r="A12" s="1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35">
      <c r="A13" s="1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35">
      <c r="A14" s="1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35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35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35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35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35">
      <c r="A19" s="1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35">
      <c r="A20" s="1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35">
      <c r="A21" s="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35">
      <c r="A22" s="1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35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35">
      <c r="A24" s="1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35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35">
      <c r="A26" s="1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35">
      <c r="A27" s="1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35">
      <c r="A28" s="1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35">
      <c r="A29" s="1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35">
      <c r="A30" s="1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35">
      <c r="A31" s="1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35">
      <c r="A32" s="1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35">
      <c r="A33" s="1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35">
      <c r="A34" s="1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35">
      <c r="A35" s="1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35">
      <c r="A36" s="1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35">
      <c r="A37" s="1" t="s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C0ECE-A0DA-4D62-A548-15081E44E82E}">
  <dimension ref="A1:F37"/>
  <sheetViews>
    <sheetView workbookViewId="0">
      <selection activeCell="C3" sqref="C3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 s="2">
        <f>elec_rail_ref!B2</f>
        <v>97.073170731707322</v>
      </c>
      <c r="C2" s="2">
        <f>elec_rail_ref!C2</f>
        <v>97.073170731707322</v>
      </c>
      <c r="D2" s="2">
        <f>elec_rail_ref!D2</f>
        <v>97.073170731707322</v>
      </c>
      <c r="E2" s="2">
        <f>elec_rail_ref!E2</f>
        <v>98.536585365853654</v>
      </c>
      <c r="F2" s="2">
        <f>elec_rail_ref!F2</f>
        <v>100</v>
      </c>
    </row>
    <row r="3" spans="1:6" x14ac:dyDescent="0.35">
      <c r="A3" s="1" t="s">
        <v>2</v>
      </c>
      <c r="B3" s="2">
        <f>elec_rail_ref!B3</f>
        <v>92.951219512195124</v>
      </c>
      <c r="C3" s="2">
        <f>elec_rail_ref!C3</f>
        <v>92.951219512195124</v>
      </c>
      <c r="D3" s="2">
        <f>elec_rail_ref!D3</f>
        <v>92.951219512195124</v>
      </c>
      <c r="E3" s="2">
        <f>elec_rail_ref!E3</f>
        <v>96.475609756097555</v>
      </c>
      <c r="F3" s="2">
        <f>elec_rail_ref!F3</f>
        <v>100</v>
      </c>
    </row>
    <row r="4" spans="1:6" x14ac:dyDescent="0.35">
      <c r="A4" s="1" t="s">
        <v>3</v>
      </c>
      <c r="B4" s="2">
        <f>elec_rail_ref!B4</f>
        <v>51.864406779661017</v>
      </c>
      <c r="C4" s="2">
        <f>elec_rail_ref!C4</f>
        <v>51.864406779661017</v>
      </c>
      <c r="D4" s="2">
        <f>elec_rail_ref!D4</f>
        <v>51.864406779661017</v>
      </c>
      <c r="E4" s="2">
        <f>elec_rail_ref!E4</f>
        <v>75.932203389830505</v>
      </c>
      <c r="F4" s="2">
        <f>elec_rail_ref!F4</f>
        <v>100</v>
      </c>
    </row>
    <row r="5" spans="1:6" x14ac:dyDescent="0.35">
      <c r="A5" s="1" t="s">
        <v>4</v>
      </c>
      <c r="B5" s="2">
        <f>elec_rail_ref!B5</f>
        <v>44.389830508474567</v>
      </c>
      <c r="C5" s="2">
        <f>elec_rail_ref!C5</f>
        <v>44.389830508474567</v>
      </c>
      <c r="D5" s="2">
        <f>elec_rail_ref!D5</f>
        <v>44.389830508474567</v>
      </c>
      <c r="E5" s="2">
        <f>elec_rail_ref!E5</f>
        <v>66.584745762711847</v>
      </c>
      <c r="F5" s="2">
        <f>elec_rail_ref!F5</f>
        <v>88.779661016949134</v>
      </c>
    </row>
    <row r="6" spans="1:6" x14ac:dyDescent="0.35">
      <c r="A6" s="1" t="s">
        <v>5</v>
      </c>
      <c r="B6" s="2">
        <f>elec_rail_ref!B6</f>
        <v>90.487804878048777</v>
      </c>
      <c r="C6" s="2">
        <f>elec_rail_ref!C6</f>
        <v>90.487804878048777</v>
      </c>
      <c r="D6" s="2">
        <f>elec_rail_ref!D6</f>
        <v>90.487804878048777</v>
      </c>
      <c r="E6" s="2">
        <f>elec_rail_ref!E6</f>
        <v>95.243902439024396</v>
      </c>
      <c r="F6" s="2">
        <f>elec_rail_ref!F6</f>
        <v>100</v>
      </c>
    </row>
    <row r="7" spans="1:6" x14ac:dyDescent="0.35">
      <c r="A7" s="1" t="s">
        <v>6</v>
      </c>
      <c r="B7" s="2">
        <f>elec_rail_ref!B7</f>
        <v>25.474576271186443</v>
      </c>
      <c r="C7" s="2">
        <f>elec_rail_ref!C7</f>
        <v>25.474576271186443</v>
      </c>
      <c r="D7" s="2">
        <f>elec_rail_ref!D7</f>
        <v>25.474576271186443</v>
      </c>
      <c r="E7" s="2">
        <f>elec_rail_ref!E7</f>
        <v>38.211864406779668</v>
      </c>
      <c r="F7" s="2">
        <f>elec_rail_ref!F7</f>
        <v>50.949152542372886</v>
      </c>
    </row>
    <row r="8" spans="1:6" x14ac:dyDescent="0.35">
      <c r="A8" s="1" t="s">
        <v>7</v>
      </c>
      <c r="B8" s="2">
        <f>elec_rail_ref!B8</f>
        <v>0</v>
      </c>
      <c r="C8" s="2">
        <f>elec_rail_ref!C8</f>
        <v>0</v>
      </c>
      <c r="D8" s="2">
        <f>elec_rail_ref!D8</f>
        <v>0</v>
      </c>
      <c r="E8" s="2">
        <f>elec_rail_ref!E8</f>
        <v>50</v>
      </c>
      <c r="F8" s="2">
        <f>elec_rail_ref!F8</f>
        <v>100</v>
      </c>
    </row>
    <row r="9" spans="1:6" x14ac:dyDescent="0.35">
      <c r="A9" s="1" t="s">
        <v>8</v>
      </c>
      <c r="B9" s="2">
        <f>elec_rail_ref!B9</f>
        <v>35.694915254237294</v>
      </c>
      <c r="C9" s="2">
        <f>elec_rail_ref!C9</f>
        <v>35.694915254237294</v>
      </c>
      <c r="D9" s="2">
        <f>elec_rail_ref!D9</f>
        <v>35.694915254237294</v>
      </c>
      <c r="E9" s="2">
        <f>elec_rail_ref!E9</f>
        <v>53.542372881355945</v>
      </c>
      <c r="F9" s="2">
        <f>elec_rail_ref!F9</f>
        <v>71.389830508474589</v>
      </c>
    </row>
    <row r="10" spans="1:6" x14ac:dyDescent="0.35">
      <c r="A10" s="1" t="s">
        <v>9</v>
      </c>
      <c r="B10" s="2">
        <f>elec_rail_ref!B10</f>
        <v>91.219512195121951</v>
      </c>
      <c r="C10" s="2">
        <f>elec_rail_ref!C10</f>
        <v>91.219512195121951</v>
      </c>
      <c r="D10" s="2">
        <f>elec_rail_ref!D10</f>
        <v>91.219512195121951</v>
      </c>
      <c r="E10" s="2">
        <f>elec_rail_ref!E10</f>
        <v>95.609756097560975</v>
      </c>
      <c r="F10" s="2">
        <f>elec_rail_ref!F10</f>
        <v>100</v>
      </c>
    </row>
    <row r="11" spans="1:6" x14ac:dyDescent="0.35">
      <c r="A11" s="1" t="s">
        <v>10</v>
      </c>
      <c r="B11" s="2">
        <f>elec_rail_ref!B11</f>
        <v>90.975609756097555</v>
      </c>
      <c r="C11" s="2">
        <f>elec_rail_ref!C11</f>
        <v>90.975609756097555</v>
      </c>
      <c r="D11" s="2">
        <f>elec_rail_ref!D11</f>
        <v>90.975609756097555</v>
      </c>
      <c r="E11" s="2">
        <f>elec_rail_ref!E11</f>
        <v>95.487804878048777</v>
      </c>
      <c r="F11" s="2">
        <f>elec_rail_ref!F11</f>
        <v>100</v>
      </c>
    </row>
    <row r="12" spans="1:6" x14ac:dyDescent="0.35">
      <c r="A12" s="1" t="s">
        <v>11</v>
      </c>
      <c r="B12" s="2">
        <f>elec_rail_ref!B12</f>
        <v>56.898305084745758</v>
      </c>
      <c r="C12" s="2">
        <f>elec_rail_ref!C12</f>
        <v>56.898305084745758</v>
      </c>
      <c r="D12" s="2">
        <f>elec_rail_ref!D12</f>
        <v>56.898305084745758</v>
      </c>
      <c r="E12" s="2">
        <f>elec_rail_ref!E12</f>
        <v>78.449152542372872</v>
      </c>
      <c r="F12" s="2">
        <f>elec_rail_ref!F12</f>
        <v>100</v>
      </c>
    </row>
    <row r="13" spans="1:6" x14ac:dyDescent="0.35">
      <c r="A13" s="1" t="s">
        <v>12</v>
      </c>
      <c r="B13" s="2">
        <f>elec_rail_ref!B13</f>
        <v>92.682926829268297</v>
      </c>
      <c r="C13" s="2">
        <f>elec_rail_ref!C13</f>
        <v>92.682926829268297</v>
      </c>
      <c r="D13" s="2">
        <f>elec_rail_ref!D13</f>
        <v>92.682926829268297</v>
      </c>
      <c r="E13" s="2">
        <f>elec_rail_ref!E13</f>
        <v>96.341463414634148</v>
      </c>
      <c r="F13" s="2">
        <f>elec_rail_ref!F13</f>
        <v>100</v>
      </c>
    </row>
    <row r="14" spans="1:6" x14ac:dyDescent="0.35">
      <c r="A14" s="1" t="s">
        <v>13</v>
      </c>
      <c r="B14" s="2">
        <f>elec_rail_ref!B14</f>
        <v>100</v>
      </c>
      <c r="C14" s="2">
        <f>elec_rail_ref!C14</f>
        <v>100</v>
      </c>
      <c r="D14" s="2">
        <f>elec_rail_ref!D14</f>
        <v>100</v>
      </c>
      <c r="E14" s="2">
        <f>elec_rail_ref!E14</f>
        <v>100</v>
      </c>
      <c r="F14" s="2">
        <f>elec_rail_ref!F14</f>
        <v>100</v>
      </c>
    </row>
    <row r="15" spans="1:6" x14ac:dyDescent="0.35">
      <c r="A15" s="1" t="s">
        <v>14</v>
      </c>
      <c r="B15" s="2">
        <f>elec_rail_ref!B15</f>
        <v>20.440677966101703</v>
      </c>
      <c r="C15" s="2">
        <f>elec_rail_ref!C15</f>
        <v>20.440677966101703</v>
      </c>
      <c r="D15" s="2">
        <f>elec_rail_ref!D15</f>
        <v>20.440677966101703</v>
      </c>
      <c r="E15" s="2">
        <f>elec_rail_ref!E15</f>
        <v>30.661016949152554</v>
      </c>
      <c r="F15" s="2">
        <f>elec_rail_ref!F15</f>
        <v>40.881355932203405</v>
      </c>
    </row>
    <row r="16" spans="1:6" x14ac:dyDescent="0.35">
      <c r="A16" s="1" t="s">
        <v>15</v>
      </c>
      <c r="B16" s="2">
        <f>elec_rail_ref!B16</f>
        <v>9.9152542372881349</v>
      </c>
      <c r="C16" s="2">
        <f>elec_rail_ref!C16</f>
        <v>9.9152542372881349</v>
      </c>
      <c r="D16" s="2">
        <f>elec_rail_ref!D16</f>
        <v>9.9152542372881349</v>
      </c>
      <c r="E16" s="2">
        <f>elec_rail_ref!E16</f>
        <v>14.872881355932202</v>
      </c>
      <c r="F16" s="2">
        <f>elec_rail_ref!F16</f>
        <v>19.83050847457627</v>
      </c>
    </row>
    <row r="17" spans="1:6" x14ac:dyDescent="0.35">
      <c r="A17" s="1" t="s">
        <v>16</v>
      </c>
      <c r="B17" s="2">
        <f>elec_rail_ref!B17</f>
        <v>97.804878048780495</v>
      </c>
      <c r="C17" s="2">
        <f>elec_rail_ref!C17</f>
        <v>97.804878048780495</v>
      </c>
      <c r="D17" s="2">
        <f>elec_rail_ref!D17</f>
        <v>97.804878048780495</v>
      </c>
      <c r="E17" s="2">
        <f>elec_rail_ref!E17</f>
        <v>98.902439024390247</v>
      </c>
      <c r="F17" s="2">
        <f>elec_rail_ref!F17</f>
        <v>100</v>
      </c>
    </row>
    <row r="18" spans="1:6" x14ac:dyDescent="0.35">
      <c r="A18" s="1" t="s">
        <v>17</v>
      </c>
      <c r="B18" s="2">
        <f>elec_rail_ref!B18</f>
        <v>59.49152542372881</v>
      </c>
      <c r="C18" s="2">
        <f>elec_rail_ref!C18</f>
        <v>59.49152542372881</v>
      </c>
      <c r="D18" s="2">
        <f>elec_rail_ref!D18</f>
        <v>59.49152542372881</v>
      </c>
      <c r="E18" s="2">
        <f>elec_rail_ref!E18</f>
        <v>79.745762711864401</v>
      </c>
      <c r="F18" s="2">
        <f>elec_rail_ref!F18</f>
        <v>100</v>
      </c>
    </row>
    <row r="19" spans="1:6" x14ac:dyDescent="0.35">
      <c r="A19" s="1" t="s">
        <v>18</v>
      </c>
      <c r="B19" s="2">
        <f>elec_rail_ref!B19</f>
        <v>100</v>
      </c>
      <c r="C19" s="2">
        <f>elec_rail_ref!C19</f>
        <v>100</v>
      </c>
      <c r="D19" s="2">
        <f>elec_rail_ref!D19</f>
        <v>100</v>
      </c>
      <c r="E19" s="2">
        <f>elec_rail_ref!E19</f>
        <v>100</v>
      </c>
      <c r="F19" s="2">
        <f>elec_rail_ref!F19</f>
        <v>100</v>
      </c>
    </row>
    <row r="20" spans="1:6" x14ac:dyDescent="0.35">
      <c r="A20" s="1" t="s">
        <v>19</v>
      </c>
      <c r="B20" s="2">
        <f>elec_rail_ref!B20</f>
        <v>94.146341463414629</v>
      </c>
      <c r="C20" s="2">
        <f>elec_rail_ref!C20</f>
        <v>94.146341463414629</v>
      </c>
      <c r="D20" s="2">
        <f>elec_rail_ref!D20</f>
        <v>94.146341463414629</v>
      </c>
      <c r="E20" s="2">
        <f>elec_rail_ref!E20</f>
        <v>97.073170731707307</v>
      </c>
      <c r="F20" s="2">
        <f>elec_rail_ref!F20</f>
        <v>100</v>
      </c>
    </row>
    <row r="21" spans="1:6" x14ac:dyDescent="0.35">
      <c r="A21" s="1" t="s">
        <v>20</v>
      </c>
      <c r="B21" s="2">
        <f>elec_rail_ref!B21</f>
        <v>93.41463414634147</v>
      </c>
      <c r="C21" s="2">
        <f>elec_rail_ref!C21</f>
        <v>93.41463414634147</v>
      </c>
      <c r="D21" s="2">
        <f>elec_rail_ref!D21</f>
        <v>93.41463414634147</v>
      </c>
      <c r="E21" s="2">
        <f>elec_rail_ref!E21</f>
        <v>96.707317073170742</v>
      </c>
      <c r="F21" s="2">
        <f>elec_rail_ref!F21</f>
        <v>100</v>
      </c>
    </row>
    <row r="22" spans="1:6" x14ac:dyDescent="0.35">
      <c r="A22" s="1" t="s">
        <v>21</v>
      </c>
      <c r="B22" s="2">
        <f>elec_rail_ref!B22</f>
        <v>91.219512195121951</v>
      </c>
      <c r="C22" s="2">
        <f>elec_rail_ref!C22</f>
        <v>91.219512195121951</v>
      </c>
      <c r="D22" s="2">
        <f>elec_rail_ref!D22</f>
        <v>91.219512195121951</v>
      </c>
      <c r="E22" s="2">
        <f>elec_rail_ref!E22</f>
        <v>95.609756097560975</v>
      </c>
      <c r="F22" s="2">
        <f>elec_rail_ref!F22</f>
        <v>100</v>
      </c>
    </row>
    <row r="23" spans="1:6" x14ac:dyDescent="0.35">
      <c r="A23" s="1" t="s">
        <v>22</v>
      </c>
      <c r="B23" s="2">
        <f>elec_rail_ref!B23</f>
        <v>91.463414634146346</v>
      </c>
      <c r="C23" s="2">
        <f>elec_rail_ref!C23</f>
        <v>91.463414634146346</v>
      </c>
      <c r="D23" s="2">
        <f>elec_rail_ref!D23</f>
        <v>91.463414634146346</v>
      </c>
      <c r="E23" s="2">
        <f>elec_rail_ref!E23</f>
        <v>95.731707317073173</v>
      </c>
      <c r="F23" s="2">
        <f>elec_rail_ref!F23</f>
        <v>100</v>
      </c>
    </row>
    <row r="24" spans="1:6" x14ac:dyDescent="0.35">
      <c r="A24" s="1" t="s">
        <v>23</v>
      </c>
      <c r="B24" s="2">
        <f>elec_rail_ref!B24</f>
        <v>57.050847457627114</v>
      </c>
      <c r="C24" s="2">
        <f>elec_rail_ref!C24</f>
        <v>57.050847457627114</v>
      </c>
      <c r="D24" s="2">
        <f>elec_rail_ref!D24</f>
        <v>57.050847457627114</v>
      </c>
      <c r="E24" s="2">
        <f>elec_rail_ref!E24</f>
        <v>78.525423728813564</v>
      </c>
      <c r="F24" s="2">
        <f>elec_rail_ref!F24</f>
        <v>100</v>
      </c>
    </row>
    <row r="25" spans="1:6" x14ac:dyDescent="0.35">
      <c r="A25" s="1" t="s">
        <v>24</v>
      </c>
      <c r="B25" s="2">
        <f>elec_rail_ref!B25</f>
        <v>63.152542372881349</v>
      </c>
      <c r="C25" s="2">
        <f>elec_rail_ref!C25</f>
        <v>63.152542372881349</v>
      </c>
      <c r="D25" s="2">
        <f>elec_rail_ref!D25</f>
        <v>63.152542372881349</v>
      </c>
      <c r="E25" s="2">
        <f>elec_rail_ref!E25</f>
        <v>81.576271186440678</v>
      </c>
      <c r="F25" s="2">
        <f>elec_rail_ref!F25</f>
        <v>100</v>
      </c>
    </row>
    <row r="26" spans="1:6" x14ac:dyDescent="0.35">
      <c r="A26" s="1" t="s">
        <v>25</v>
      </c>
      <c r="B26" s="2">
        <f>elec_rail_ref!B26</f>
        <v>67.576271186440664</v>
      </c>
      <c r="C26" s="2">
        <f>elec_rail_ref!C26</f>
        <v>67.576271186440664</v>
      </c>
      <c r="D26" s="2">
        <f>elec_rail_ref!D26</f>
        <v>67.576271186440664</v>
      </c>
      <c r="E26" s="2">
        <f>elec_rail_ref!E26</f>
        <v>83.788135593220332</v>
      </c>
      <c r="F26" s="2">
        <f>elec_rail_ref!F26</f>
        <v>100</v>
      </c>
    </row>
    <row r="27" spans="1:6" x14ac:dyDescent="0.35">
      <c r="A27" s="1" t="s">
        <v>26</v>
      </c>
      <c r="B27" s="2">
        <f>elec_rail_ref!B27</f>
        <v>89.048780487804876</v>
      </c>
      <c r="C27" s="2">
        <f>elec_rail_ref!C27</f>
        <v>89.048780487804876</v>
      </c>
      <c r="D27" s="2">
        <f>elec_rail_ref!D27</f>
        <v>89.048780487804876</v>
      </c>
      <c r="E27" s="2">
        <f>elec_rail_ref!E27</f>
        <v>94.524390243902445</v>
      </c>
      <c r="F27" s="2">
        <f>elec_rail_ref!F27</f>
        <v>100</v>
      </c>
    </row>
    <row r="28" spans="1:6" x14ac:dyDescent="0.35">
      <c r="A28" s="1" t="s">
        <v>27</v>
      </c>
      <c r="B28" s="2">
        <f>elec_rail_ref!B28</f>
        <v>93.902439024390247</v>
      </c>
      <c r="C28" s="2">
        <f>elec_rail_ref!C28</f>
        <v>93.902439024390247</v>
      </c>
      <c r="D28" s="2">
        <f>elec_rail_ref!D28</f>
        <v>93.902439024390247</v>
      </c>
      <c r="E28" s="2">
        <f>elec_rail_ref!E28</f>
        <v>96.951219512195124</v>
      </c>
      <c r="F28" s="2">
        <f>elec_rail_ref!F28</f>
        <v>100</v>
      </c>
    </row>
    <row r="29" spans="1:6" x14ac:dyDescent="0.35">
      <c r="A29" s="1" t="s">
        <v>28</v>
      </c>
      <c r="B29" s="2">
        <f>elec_rail_ref!B29</f>
        <v>49.423728813559329</v>
      </c>
      <c r="C29" s="2">
        <f>elec_rail_ref!C29</f>
        <v>49.423728813559329</v>
      </c>
      <c r="D29" s="2">
        <f>elec_rail_ref!D29</f>
        <v>49.423728813559329</v>
      </c>
      <c r="E29" s="2">
        <f>elec_rail_ref!E29</f>
        <v>74.13559322033899</v>
      </c>
      <c r="F29" s="2">
        <f>elec_rail_ref!F29</f>
        <v>98.847457627118658</v>
      </c>
    </row>
    <row r="30" spans="1:6" x14ac:dyDescent="0.35">
      <c r="A30" s="1" t="s">
        <v>29</v>
      </c>
      <c r="B30" s="2">
        <f>elec_rail_ref!B30</f>
        <v>100</v>
      </c>
      <c r="C30" s="2">
        <f>elec_rail_ref!C30</f>
        <v>100</v>
      </c>
      <c r="D30" s="2">
        <f>elec_rail_ref!D30</f>
        <v>100</v>
      </c>
      <c r="E30" s="2">
        <f>elec_rail_ref!E30</f>
        <v>100</v>
      </c>
      <c r="F30" s="2">
        <f>elec_rail_ref!F30</f>
        <v>100</v>
      </c>
    </row>
    <row r="31" spans="1:6" x14ac:dyDescent="0.35">
      <c r="A31" s="1" t="s">
        <v>30</v>
      </c>
      <c r="B31" s="2">
        <f>elec_rail_ref!B31</f>
        <v>89.853658536585371</v>
      </c>
      <c r="C31" s="2">
        <f>elec_rail_ref!C31</f>
        <v>89.853658536585371</v>
      </c>
      <c r="D31" s="2">
        <f>elec_rail_ref!D31</f>
        <v>89.853658536585371</v>
      </c>
      <c r="E31" s="2">
        <f>elec_rail_ref!E31</f>
        <v>94.926829268292693</v>
      </c>
      <c r="F31" s="2">
        <f>elec_rail_ref!F31</f>
        <v>100</v>
      </c>
    </row>
    <row r="32" spans="1:6" x14ac:dyDescent="0.35">
      <c r="A32" s="1" t="s">
        <v>31</v>
      </c>
      <c r="B32" s="2">
        <f>elec_rail_ref!B32</f>
        <v>100</v>
      </c>
      <c r="C32" s="2">
        <f>elec_rail_ref!C32</f>
        <v>100</v>
      </c>
      <c r="D32" s="2">
        <f>elec_rail_ref!D32</f>
        <v>100</v>
      </c>
      <c r="E32" s="2">
        <f>elec_rail_ref!E32</f>
        <v>100</v>
      </c>
      <c r="F32" s="2">
        <f>elec_rail_ref!F32</f>
        <v>100</v>
      </c>
    </row>
    <row r="33" spans="1:6" x14ac:dyDescent="0.35">
      <c r="A33" s="1" t="s">
        <v>32</v>
      </c>
      <c r="B33" s="2">
        <f>elec_rail_ref!B33</f>
        <v>97.439024390243901</v>
      </c>
      <c r="C33" s="2">
        <f>elec_rail_ref!C33</f>
        <v>97.439024390243901</v>
      </c>
      <c r="D33" s="2">
        <f>elec_rail_ref!D33</f>
        <v>97.439024390243901</v>
      </c>
      <c r="E33" s="2">
        <f>elec_rail_ref!E33</f>
        <v>98.719512195121951</v>
      </c>
      <c r="F33" s="2">
        <f>elec_rail_ref!F33</f>
        <v>100</v>
      </c>
    </row>
    <row r="34" spans="1:6" x14ac:dyDescent="0.35">
      <c r="A34" s="1" t="s">
        <v>33</v>
      </c>
      <c r="B34" s="2">
        <f>elec_rail_ref!B34</f>
        <v>51.101694915254235</v>
      </c>
      <c r="C34" s="2">
        <f>elec_rail_ref!C34</f>
        <v>51.101694915254235</v>
      </c>
      <c r="D34" s="2">
        <f>elec_rail_ref!D34</f>
        <v>51.101694915254235</v>
      </c>
      <c r="E34" s="2">
        <f>elec_rail_ref!E34</f>
        <v>75.550847457627114</v>
      </c>
      <c r="F34" s="2">
        <f>elec_rail_ref!F34</f>
        <v>100</v>
      </c>
    </row>
    <row r="35" spans="1:6" x14ac:dyDescent="0.35">
      <c r="A35" s="1" t="s">
        <v>34</v>
      </c>
      <c r="B35" s="2">
        <f>elec_rail_ref!B35</f>
        <v>51.101694915254235</v>
      </c>
      <c r="C35" s="2">
        <f>elec_rail_ref!C35</f>
        <v>51.101694915254235</v>
      </c>
      <c r="D35" s="2">
        <f>elec_rail_ref!D35</f>
        <v>51.101694915254235</v>
      </c>
      <c r="E35" s="2">
        <f>elec_rail_ref!E35</f>
        <v>75.550847457627114</v>
      </c>
      <c r="F35" s="2">
        <f>elec_rail_ref!F35</f>
        <v>100</v>
      </c>
    </row>
    <row r="36" spans="1:6" x14ac:dyDescent="0.35">
      <c r="A36" s="1" t="s">
        <v>35</v>
      </c>
      <c r="B36" s="2">
        <f>elec_rail_ref!B36</f>
        <v>0</v>
      </c>
      <c r="C36" s="2">
        <f>elec_rail_ref!C36</f>
        <v>0</v>
      </c>
      <c r="D36" s="2">
        <f>elec_rail_ref!D36</f>
        <v>0</v>
      </c>
      <c r="E36" s="2">
        <f>elec_rail_ref!E36</f>
        <v>10</v>
      </c>
      <c r="F36" s="2">
        <f>elec_rail_ref!F36</f>
        <v>20</v>
      </c>
    </row>
    <row r="37" spans="1:6" x14ac:dyDescent="0.35">
      <c r="A37" s="1" t="s">
        <v>36</v>
      </c>
      <c r="B37" s="2">
        <f>elec_rail_ref!B37</f>
        <v>93.902439024390247</v>
      </c>
      <c r="C37" s="2">
        <f>elec_rail_ref!C37</f>
        <v>93.902439024390247</v>
      </c>
      <c r="D37" s="2">
        <f>elec_rail_ref!D37</f>
        <v>93.902439024390247</v>
      </c>
      <c r="E37" s="2">
        <f>elec_rail_ref!E37</f>
        <v>96.951219512195124</v>
      </c>
      <c r="F37" s="2">
        <f>elec_rail_ref!F37</f>
        <v>100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019E-BE6F-4CAF-AB2A-649B83BF2CFC}">
  <dimension ref="A1:F37"/>
  <sheetViews>
    <sheetView workbookViewId="0">
      <selection activeCell="F39" sqref="F39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35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35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3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35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35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35">
      <c r="A9" s="1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35">
      <c r="A10" s="1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35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35">
      <c r="A12" s="1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35">
      <c r="A13" s="1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35">
      <c r="A14" s="1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35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35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35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35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35">
      <c r="A19" s="1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35">
      <c r="A20" s="1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35">
      <c r="A21" s="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35">
      <c r="A22" s="1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35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35">
      <c r="A24" s="1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35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35">
      <c r="A26" s="1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35">
      <c r="A27" s="1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35">
      <c r="A28" s="1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35">
      <c r="A29" s="1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35">
      <c r="A30" s="1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35">
      <c r="A31" s="1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35">
      <c r="A32" s="1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35">
      <c r="A33" s="1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35">
      <c r="A34" s="1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35">
      <c r="A35" s="1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35">
      <c r="A36" s="1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35">
      <c r="A37" s="1" t="s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C8A84-1216-4599-86D3-423F4A1AD52E}">
  <dimension ref="A1:F37"/>
  <sheetViews>
    <sheetView workbookViewId="0">
      <selection activeCell="F39" sqref="F39"/>
    </sheetView>
  </sheetViews>
  <sheetFormatPr baseColWidth="10" defaultRowHeight="14.5" x14ac:dyDescent="0.35"/>
  <sheetData>
    <row r="1" spans="1:6" x14ac:dyDescent="0.3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35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35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35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3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35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35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35">
      <c r="A9" s="1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35">
      <c r="A10" s="1" t="s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35">
      <c r="A11" s="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35">
      <c r="A12" s="1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35">
      <c r="A13" s="1" t="s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35">
      <c r="A14" s="1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35">
      <c r="A15" s="1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35">
      <c r="A16" s="1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35">
      <c r="A17" s="1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35">
      <c r="A18" s="1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35">
      <c r="A19" s="1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35">
      <c r="A20" s="1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35">
      <c r="A21" s="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35">
      <c r="A22" s="1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35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35">
      <c r="A24" s="1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35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35">
      <c r="A26" s="1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35">
      <c r="A27" s="1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35">
      <c r="A28" s="1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35">
      <c r="A29" s="1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35">
      <c r="A30" s="1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35">
      <c r="A31" s="1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35">
      <c r="A32" s="1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35">
      <c r="A33" s="1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35">
      <c r="A34" s="1" t="s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35">
      <c r="A35" s="1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35">
      <c r="A36" s="1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35">
      <c r="A37" s="1" t="s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EnergyperSource</vt:lpstr>
      <vt:lpstr>elec_rail</vt:lpstr>
      <vt:lpstr>elec_rail_ref</vt:lpstr>
      <vt:lpstr>elec_road_ref</vt:lpstr>
      <vt:lpstr>elec_ship_ref</vt:lpstr>
      <vt:lpstr>elec_flight_ref</vt:lpstr>
      <vt:lpstr>elec_rail_user</vt:lpstr>
      <vt:lpstr>elec_road_user</vt:lpstr>
      <vt:lpstr>elec_ship_user</vt:lpstr>
      <vt:lpstr>elec_flight_user</vt:lpstr>
      <vt:lpstr>h2_rail_ref</vt:lpstr>
      <vt:lpstr>h2_road_ref</vt:lpstr>
      <vt:lpstr>h2_ship_ref</vt:lpstr>
      <vt:lpstr>h2_flight_ref</vt:lpstr>
      <vt:lpstr>h2_rail_user</vt:lpstr>
      <vt:lpstr>h2_road_user</vt:lpstr>
      <vt:lpstr>h2_ship_user</vt:lpstr>
      <vt:lpstr>h2_flight_user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2021-01-05T12:57:24Z</dcterms:created>
  <dcterms:modified xsi:type="dcterms:W3CDTF">2023-07-03T09:01:02Z</dcterms:modified>
</cp:coreProperties>
</file>