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ster_thesis\project\robwot\Evaluation_robot_motion_IK\"/>
    </mc:Choice>
  </mc:AlternateContent>
  <xr:revisionPtr revIDLastSave="0" documentId="13_ncr:1_{9CD7D24F-3AB0-4CBC-AC13-4F41D4813585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2" i="1"/>
  <c r="G22" i="1"/>
  <c r="G24" i="1"/>
  <c r="G23" i="1"/>
  <c r="E3" i="1"/>
  <c r="G3" i="1"/>
  <c r="G21" i="1" s="1"/>
  <c r="L21" i="1"/>
  <c r="K16" i="1"/>
  <c r="J16" i="1"/>
  <c r="I16" i="1"/>
  <c r="K15" i="1"/>
  <c r="J15" i="1"/>
  <c r="I15" i="1"/>
  <c r="K14" i="1"/>
  <c r="J14" i="1"/>
  <c r="I14" i="1"/>
  <c r="K12" i="1"/>
  <c r="J12" i="1"/>
  <c r="I12" i="1"/>
  <c r="K11" i="1"/>
  <c r="J11" i="1"/>
  <c r="I11" i="1"/>
  <c r="K10" i="1"/>
  <c r="J10" i="1"/>
  <c r="I10" i="1"/>
  <c r="K9" i="1"/>
  <c r="J9" i="1"/>
  <c r="L9" i="1" s="1"/>
  <c r="I9" i="1"/>
  <c r="K8" i="1"/>
  <c r="J8" i="1"/>
  <c r="I8" i="1"/>
  <c r="K7" i="1"/>
  <c r="J7" i="1"/>
  <c r="L7" i="1" s="1"/>
  <c r="I7" i="1"/>
  <c r="K6" i="1"/>
  <c r="J6" i="1"/>
  <c r="I6" i="1"/>
  <c r="L6" i="1" s="1"/>
  <c r="K5" i="1"/>
  <c r="J5" i="1"/>
  <c r="I5" i="1"/>
  <c r="L4" i="1"/>
  <c r="L10" i="1"/>
  <c r="L11" i="1"/>
  <c r="L12" i="1"/>
  <c r="L13" i="1"/>
  <c r="L14" i="1"/>
  <c r="K4" i="1"/>
  <c r="J4" i="1"/>
  <c r="I4" i="1"/>
  <c r="K13" i="1"/>
  <c r="J13" i="1"/>
  <c r="I13" i="1"/>
  <c r="L3" i="1"/>
  <c r="K3" i="1"/>
  <c r="J3" i="1"/>
  <c r="I3" i="1"/>
  <c r="G5" i="1"/>
  <c r="G4" i="1"/>
  <c r="G6" i="1"/>
  <c r="G7" i="1"/>
  <c r="G8" i="1"/>
  <c r="G9" i="1"/>
  <c r="G10" i="1"/>
  <c r="G11" i="1"/>
  <c r="G12" i="1"/>
  <c r="G13" i="1"/>
  <c r="G14" i="1"/>
  <c r="G15" i="1"/>
  <c r="G16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D3" i="1"/>
  <c r="L16" i="1" l="1"/>
  <c r="L15" i="1"/>
  <c r="L8" i="1"/>
  <c r="L5" i="1"/>
</calcChain>
</file>

<file path=xl/sharedStrings.xml><?xml version="1.0" encoding="utf-8"?>
<sst xmlns="http://schemas.openxmlformats.org/spreadsheetml/2006/main" count="103" uniqueCount="86">
  <si>
    <t>Target</t>
    <phoneticPr fontId="1" type="noConversion"/>
  </si>
  <si>
    <t>Catch the green cube</t>
    <phoneticPr fontId="1" type="noConversion"/>
  </si>
  <si>
    <t>(279.96934587544143, -508.9623722328209, 34.92271715390018)</t>
    <phoneticPr fontId="1" type="noConversion"/>
  </si>
  <si>
    <t>Joint position</t>
    <phoneticPr fontId="1" type="noConversion"/>
  </si>
  <si>
    <t>Catch the red cube</t>
    <phoneticPr fontId="1" type="noConversion"/>
  </si>
  <si>
    <t>Catch the blue cube</t>
    <phoneticPr fontId="1" type="noConversion"/>
  </si>
  <si>
    <t>(280,-509,35)</t>
    <phoneticPr fontId="1" type="noConversion"/>
  </si>
  <si>
    <t>(-300, -509, 35)</t>
    <phoneticPr fontId="1" type="noConversion"/>
  </si>
  <si>
    <t>(-300, 460, 35)</t>
    <phoneticPr fontId="1" type="noConversion"/>
  </si>
  <si>
    <t>(-299.9669227985619, 459.97832985821503, 34.94519764230324)</t>
    <phoneticPr fontId="1" type="noConversion"/>
  </si>
  <si>
    <t>Target position(Unit: mm)</t>
    <phoneticPr fontId="1" type="noConversion"/>
  </si>
  <si>
    <t>Position in real robot(Unit: mm)</t>
    <phoneticPr fontId="1" type="noConversion"/>
  </si>
  <si>
    <t>Position in virtual robot(Unit: mm)</t>
    <phoneticPr fontId="1" type="noConversion"/>
  </si>
  <si>
    <t>(600, -100, 750)</t>
    <phoneticPr fontId="1" type="noConversion"/>
  </si>
  <si>
    <t>(600.6656848437341,  -99.94728253796802, 749.3064945903037)</t>
    <phoneticPr fontId="1" type="noConversion"/>
  </si>
  <si>
    <t>(-299.28, -508.86, 40.67)</t>
    <phoneticPr fontId="1" type="noConversion"/>
  </si>
  <si>
    <t>( -299.94966595309074, -508.8247994228702, 34.60420412867177)</t>
    <phoneticPr fontId="1" type="noConversion"/>
  </si>
  <si>
    <t>{
  joint4: -49.0379895096,
  joint1: -104.36298191386,
  joint5: 89.999531221425,
  joint2: -91.8810614181782,
  joint3: -129.02928119563,
  joint6: -103.58761883928
}</t>
    <phoneticPr fontId="1" type="noConversion"/>
  </si>
  <si>
    <t>{
  joint4: -49.184510727675,
  joint1: -219.80913420897,
  joint5: 90.036878695807,
  joint2: -88.0514699732004,
  joint3: -132.81386169398,
  joint6: -219.03341596456
}</t>
    <phoneticPr fontId="1" type="noConversion"/>
  </si>
  <si>
    <t>{
  joint4: -49.020722791378,
  joint1: -44.633032263607,
  joint5: 89.921284574294,
  joint2: -91.0364675461711,
  joint6: -43.860401264695,
  joint3: -129.89319084261
}</t>
    <phoneticPr fontId="1" type="noConversion"/>
  </si>
  <si>
    <t>(279.88, -511.6, 40.27)</t>
    <phoneticPr fontId="1" type="noConversion"/>
  </si>
  <si>
    <t>{
  joint4: -127.256031809022,
  joint1: 6.3099063401762,
  joint5: 89.89218796843,
  joint2: -91.6509386846621,
  joint6: 7.0865671506983,
  joint3: -51.181025337872
}</t>
    <phoneticPr fontId="1" type="noConversion"/>
  </si>
  <si>
    <t>(601.65,-97.51,758.39)</t>
    <phoneticPr fontId="1" type="noConversion"/>
  </si>
  <si>
    <t>(600, -300, -550)</t>
    <phoneticPr fontId="1" type="noConversion"/>
  </si>
  <si>
    <t>{
  joint4: 3.466535244124003,
  joint1: -12.300637940438,
  joint5: 89.889647138058,
  joint2: -159.16387523376102,
  joint6: -11.531012224761,
  joint3: -114.31538715726
}</t>
    <phoneticPr fontId="1" type="noConversion"/>
  </si>
  <si>
    <t>(599.1087878851279, -299.79268413563585, -550.6887111201411)</t>
    <phoneticPr fontId="1" type="noConversion"/>
  </si>
  <si>
    <t>(603.77,-298.33,-550.86)</t>
    <phoneticPr fontId="1" type="noConversion"/>
  </si>
  <si>
    <t>Euler</t>
    <phoneticPr fontId="1" type="noConversion"/>
  </si>
  <si>
    <t>[ 0.50000673532486, -0.49999409914017, 0.49999397993088, -0.50000685453415]</t>
    <phoneticPr fontId="1" type="noConversion"/>
  </si>
  <si>
    <t>(-20, -700, 250)</t>
    <phoneticPr fontId="1" type="noConversion"/>
  </si>
  <si>
    <t>( -20.004622057434858, -699.956177704119, 249.2746473947917)</t>
    <phoneticPr fontId="1" type="noConversion"/>
  </si>
  <si>
    <t>{
  joint4: -73.924671675133,
  joint1: -78.003342133052,
  joint5: 89.973631144093,
  joint3: -104.50453075421,
  joint2: -91.556081017469,
  joint6: -77.228662077389
}</t>
    <phoneticPr fontId="1" type="noConversion"/>
  </si>
  <si>
    <t>(-18.01, -700.12, 256.33)</t>
    <phoneticPr fontId="1" type="noConversion"/>
  </si>
  <si>
    <t>{
  joint4: -43.081531798593,
  joint1: -86.618833469079,
  joint5: 89.989395220697,
  joint6: -85.841885790612,
  joint2: -164.255999826059,
  joint3: -62.902914029178
}</t>
    <phoneticPr fontId="1" type="noConversion"/>
  </si>
  <si>
    <t>(-100, -1100, -450)</t>
    <phoneticPr fontId="1" type="noConversion"/>
  </si>
  <si>
    <t>(-100.09528925634254, -1098.3342417271333, -452.4915122289163)</t>
    <phoneticPr fontId="1" type="noConversion"/>
  </si>
  <si>
    <t>(-99.41, -1099.80, -451.29)</t>
    <phoneticPr fontId="1" type="noConversion"/>
  </si>
  <si>
    <t>(-600, 400, 550)</t>
    <phoneticPr fontId="1" type="noConversion"/>
  </si>
  <si>
    <t>(-600.5549150964766, 400.59187648703414, 548.6425787857714)</t>
    <phoneticPr fontId="1" type="noConversion"/>
  </si>
  <si>
    <t>{
  joint4: -206.95738629049998,
  joint1: -46.981565488959,
  joint5: 89.985952805355,
  joint2: -23.629180363154006,
  joint3: -39.258493009508,
  joint6: -46.201380300826
}</t>
    <phoneticPr fontId="1" type="noConversion"/>
  </si>
  <si>
    <t>(-600.25, 404.9, 555.44)</t>
    <phoneticPr fontId="1" type="noConversion"/>
  </si>
  <si>
    <t>(-297.99, 462.03, 40.26)</t>
    <phoneticPr fontId="1" type="noConversion"/>
  </si>
  <si>
    <t>Motion1</t>
    <phoneticPr fontId="1" type="noConversion"/>
  </si>
  <si>
    <t>Motion2</t>
  </si>
  <si>
    <t>Motion3</t>
  </si>
  <si>
    <t>Motion4</t>
  </si>
  <si>
    <t>Motion5</t>
  </si>
  <si>
    <t>Motion6</t>
  </si>
  <si>
    <t>Motion7</t>
  </si>
  <si>
    <t>Motion8</t>
  </si>
  <si>
    <t>Motion9</t>
  </si>
  <si>
    <t>Motion11</t>
  </si>
  <si>
    <t>(-975, 235, -315)</t>
    <phoneticPr fontId="1" type="noConversion"/>
  </si>
  <si>
    <t>(-974.7802041191967, 234.90844786028856, -315.380913279439 )</t>
    <phoneticPr fontId="1" type="noConversion"/>
  </si>
  <si>
    <t>{
  joint4: -296.73014157110003,
  joint1: -23.054688826353,
  joint5: 89.970817106155,
  joint6: -22.28033661977,
  joint3: 40.13167805338,
  joint2: -13.452280462104994
}</t>
    <phoneticPr fontId="1" type="noConversion"/>
  </si>
  <si>
    <t>(-975.81, 236.5, -312.75)</t>
    <phoneticPr fontId="1" type="noConversion"/>
  </si>
  <si>
    <t>(-10, 465, 45)</t>
    <phoneticPr fontId="1" type="noConversion"/>
  </si>
  <si>
    <t>(-9.986407035401726, 464.9665818265494, 44.95818465663535)</t>
    <phoneticPr fontId="1" type="noConversion"/>
  </si>
  <si>
    <t>(-9.55, 468.18, 51.04)</t>
    <phoneticPr fontId="1" type="noConversion"/>
  </si>
  <si>
    <t>{
  joint4: -52.198167774403,
  joint1: 111.5654983559,
  joint5: 90.010650769394,
  joint6: 112.34143516637,
  joint3: -139.90220469386,
  joint2: -77.890060941189
}</t>
    <phoneticPr fontId="1" type="noConversion"/>
  </si>
  <si>
    <t>(-295, -30, 45)</t>
    <phoneticPr fontId="1" type="noConversion"/>
  </si>
  <si>
    <t>(-294.9781323963974, 29.984222059687568, 44.98261739798136)</t>
    <phoneticPr fontId="1" type="noConversion"/>
  </si>
  <si>
    <t xml:space="preserve">
  joint4: -67.713174700518,
  joint1: 219.14941989742,
  joint5: 89.998766240238,
  joint6: 219.92524742486,
  joint3: -152.84789935989,
  joint2: -49.407079271969
}</t>
    <phoneticPr fontId="1" type="noConversion"/>
  </si>
  <si>
    <t>(-294.03, -28.34, 51.06)</t>
    <phoneticPr fontId="1" type="noConversion"/>
  </si>
  <si>
    <t>Motion10</t>
    <phoneticPr fontId="1" type="noConversion"/>
  </si>
  <si>
    <t>(235, -155, 1610)</t>
    <phoneticPr fontId="1" type="noConversion"/>
  </si>
  <si>
    <t>(235.06512640051, -155.23856429853572, 1608.886777280843)</t>
    <phoneticPr fontId="1" type="noConversion"/>
  </si>
  <si>
    <t>{
  joint4: 11.40102939914,
  joint1: 44.850560128294,
  joint5: 70.780061915927,
  joint2: -99.1792278293635,
  joint6: -222.84460687991,
  joint3: 0.11325819681715
}</t>
    <phoneticPr fontId="1" type="noConversion"/>
  </si>
  <si>
    <t>(233.07, -150.31, 1599.51)</t>
    <phoneticPr fontId="1" type="noConversion"/>
  </si>
  <si>
    <t>(-765, 350, 1195)</t>
    <phoneticPr fontId="1" type="noConversion"/>
  </si>
  <si>
    <t>(-765.0586810996779, 350.13341321072596, 1194.5060641921482)</t>
    <phoneticPr fontId="1" type="noConversion"/>
  </si>
  <si>
    <t>{
  joint4: -111.874377496261,
  joint1: -60.564612427202,
  joint5: 13.749539629451,
  joint3: 0.11644106497038,
  joint6: -101.18219013814,
  joint2: -52.133608826368
}</t>
    <phoneticPr fontId="1" type="noConversion"/>
  </si>
  <si>
    <t>(-755.27, 360.29, 1193.33)</t>
    <phoneticPr fontId="1" type="noConversion"/>
  </si>
  <si>
    <t>(540, -935, 175)</t>
    <phoneticPr fontId="1" type="noConversion"/>
  </si>
  <si>
    <t>(539.8157428621626, -934.7823703693142, 174.69243250653176)</t>
    <phoneticPr fontId="1" type="noConversion"/>
  </si>
  <si>
    <t>{
  joint4: -80.6758082356921,
  joint1: -51.18506880986,
  joint5: 89.976335899004,
  joint6: -50.40839433896,
  joint2: -129.50935219734401,
  joint3: -59.830940827316
}</t>
    <phoneticPr fontId="1" type="noConversion"/>
  </si>
  <si>
    <t>(541.86, -935.35, 181.76)</t>
    <phoneticPr fontId="1" type="noConversion"/>
  </si>
  <si>
    <t>Position error in real robot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</si>
  <si>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</si>
  <si>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</si>
  <si>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</si>
  <si>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Position error in virtual robot</t>
    <phoneticPr fontId="1" type="noConversion"/>
  </si>
  <si>
    <t>Distance</t>
    <phoneticPr fontId="1" type="noConversion"/>
  </si>
  <si>
    <t>Average value</t>
    <phoneticPr fontId="1" type="noConversion"/>
  </si>
  <si>
    <t>variance</t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</si>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</sst>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A16" zoomScale="70" zoomScaleNormal="70" workbookViewId="0">
      <selection activeCell="G21" sqref="G21"/>
    </sheetView>
  </sheetViews>
  <sheetFormatPr defaultRowHeight="14.15" x14ac:dyDescent="0.35"/>
  <cols>
    <col min="1" max="1" width="25.28515625" customWidth="1"/>
    <col min="2" max="2" width="26.0703125" customWidth="1"/>
    <col min="3" max="3" width="39.2109375" customWidth="1"/>
    <col min="4" max="4" width="11.0703125" customWidth="1"/>
    <col min="5" max="5" width="10.85546875" customWidth="1"/>
    <col min="6" max="7" width="11.5703125" customWidth="1"/>
    <col min="8" max="8" width="50.2109375" customWidth="1"/>
    <col min="9" max="9" width="11.0703125" customWidth="1"/>
    <col min="10" max="10" width="10.85546875" customWidth="1"/>
    <col min="11" max="12" width="11.5703125" customWidth="1"/>
    <col min="13" max="13" width="32.78515625" customWidth="1"/>
  </cols>
  <sheetData>
    <row r="1" spans="1:15" x14ac:dyDescent="0.35">
      <c r="A1" t="s">
        <v>0</v>
      </c>
      <c r="B1" t="s">
        <v>10</v>
      </c>
      <c r="C1" t="s">
        <v>11</v>
      </c>
      <c r="D1" s="3" t="s">
        <v>77</v>
      </c>
      <c r="E1" s="3"/>
      <c r="F1" s="3"/>
      <c r="G1" s="2"/>
      <c r="H1" t="s">
        <v>12</v>
      </c>
      <c r="I1" s="3" t="s">
        <v>81</v>
      </c>
      <c r="J1" s="3"/>
      <c r="K1" s="3"/>
      <c r="L1" s="2"/>
      <c r="M1" t="s">
        <v>3</v>
      </c>
      <c r="O1" t="s">
        <v>27</v>
      </c>
    </row>
    <row r="2" spans="1:15" x14ac:dyDescent="0.35">
      <c r="D2" s="2" t="s">
        <v>78</v>
      </c>
      <c r="E2" s="2" t="s">
        <v>79</v>
      </c>
      <c r="F2" s="2" t="s">
        <v>80</v>
      </c>
      <c r="G2" s="2" t="s">
        <v>82</v>
      </c>
      <c r="I2" s="2" t="s">
        <v>78</v>
      </c>
      <c r="J2" s="2" t="s">
        <v>79</v>
      </c>
      <c r="K2" s="2" t="s">
        <v>80</v>
      </c>
      <c r="L2" s="2" t="s">
        <v>82</v>
      </c>
    </row>
    <row r="3" spans="1:15" ht="113.15" x14ac:dyDescent="0.35">
      <c r="A3" t="s">
        <v>1</v>
      </c>
      <c r="B3" t="s">
        <v>6</v>
      </c>
      <c r="C3" t="s">
        <v>20</v>
      </c>
      <c r="D3">
        <f>280-279.88</f>
        <v>0.12000000000000455</v>
      </c>
      <c r="E3">
        <f>-509+511.6</f>
        <v>2.6000000000000227</v>
      </c>
      <c r="F3">
        <f>35-40.27</f>
        <v>-5.2700000000000031</v>
      </c>
      <c r="G3">
        <f>SQRT(D3^2+E3^2+F3^2)</f>
        <v>5.8776951264930499</v>
      </c>
      <c r="H3" t="s">
        <v>2</v>
      </c>
      <c r="I3">
        <f>280-279.969345875441</f>
        <v>3.0654124559021056E-2</v>
      </c>
      <c r="J3">
        <f>-509+508.96237223282</f>
        <v>-3.7627767180026694E-2</v>
      </c>
      <c r="K3">
        <f>35-34.9227171539001</f>
        <v>7.7282846099897995E-2</v>
      </c>
      <c r="L3">
        <f>SQRT(I3^2+J3^2+K3^2)</f>
        <v>9.1258766793852697E-2</v>
      </c>
      <c r="M3" s="1" t="s">
        <v>19</v>
      </c>
      <c r="O3" t="s">
        <v>28</v>
      </c>
    </row>
    <row r="4" spans="1:15" ht="113.15" x14ac:dyDescent="0.35">
      <c r="A4" t="s">
        <v>4</v>
      </c>
      <c r="B4" t="s">
        <v>7</v>
      </c>
      <c r="C4" t="s">
        <v>15</v>
      </c>
      <c r="D4">
        <f>-300+299.28</f>
        <v>-0.72000000000002728</v>
      </c>
      <c r="E4">
        <f>-509+508.86</f>
        <v>-0.13999999999998636</v>
      </c>
      <c r="F4">
        <f>35-40.67</f>
        <v>-5.6700000000000017</v>
      </c>
      <c r="G4">
        <f>SQRT(D4^2+E4^2+F4^2)</f>
        <v>5.7172458404375135</v>
      </c>
      <c r="H4" t="s">
        <v>16</v>
      </c>
      <c r="I4">
        <f>-300+299.94966595309</f>
        <v>-5.0334046909995322E-2</v>
      </c>
      <c r="J4">
        <f>-509+508.82479942287</f>
        <v>-0.17520057712999915</v>
      </c>
      <c r="K4">
        <f>35- 34.6042041286717</f>
        <v>0.39579587132830341</v>
      </c>
      <c r="L4">
        <f>SQRT(I4^2+J4^2+K4^2)</f>
        <v>0.43575581495322963</v>
      </c>
      <c r="M4" s="1" t="s">
        <v>17</v>
      </c>
      <c r="O4" t="s">
        <v>28</v>
      </c>
    </row>
    <row r="5" spans="1:15" ht="113.15" x14ac:dyDescent="0.35">
      <c r="A5" t="s">
        <v>5</v>
      </c>
      <c r="B5" t="s">
        <v>8</v>
      </c>
      <c r="C5" t="s">
        <v>41</v>
      </c>
      <c r="D5">
        <f>-300+297.99</f>
        <v>-2.0099999999999909</v>
      </c>
      <c r="E5">
        <f>460-462.03</f>
        <v>-2.0299999999999727</v>
      </c>
      <c r="F5">
        <f>35-40.26</f>
        <v>-5.259999999999998</v>
      </c>
      <c r="G5">
        <f>SQRT(D5^2+E5^2+F5^2)</f>
        <v>5.9856996249394134</v>
      </c>
      <c r="H5" t="s">
        <v>9</v>
      </c>
      <c r="I5">
        <f>-300+299.966922798561</f>
        <v>-3.3077201439027704E-2</v>
      </c>
      <c r="J5">
        <f>460-459.978329858215</f>
        <v>2.1670141785023134E-2</v>
      </c>
      <c r="K5">
        <f>35-34.9451976423032</f>
        <v>5.4802357696800641E-2</v>
      </c>
      <c r="L5">
        <f>SQRT(I5^2+J5^2+K5^2)</f>
        <v>6.7579543570144854E-2</v>
      </c>
      <c r="M5" s="1" t="s">
        <v>18</v>
      </c>
      <c r="O5" t="s">
        <v>28</v>
      </c>
    </row>
    <row r="6" spans="1:15" ht="113.15" x14ac:dyDescent="0.35">
      <c r="A6" t="s">
        <v>42</v>
      </c>
      <c r="B6" t="s">
        <v>13</v>
      </c>
      <c r="C6" t="s">
        <v>22</v>
      </c>
      <c r="D6">
        <f>600-601.65</f>
        <v>-1.6499999999999773</v>
      </c>
      <c r="E6">
        <f>-100+97.51</f>
        <v>-2.4899999999999949</v>
      </c>
      <c r="F6">
        <f>750-758.39</f>
        <v>-8.3899999999999864</v>
      </c>
      <c r="G6">
        <f t="shared" ref="G6:G16" si="0">SQRT(D6^2+E6^2+F6^2)</f>
        <v>8.9058800800369902</v>
      </c>
      <c r="H6" t="s">
        <v>14</v>
      </c>
      <c r="I6">
        <f>600-600.665684843734</f>
        <v>-0.66568484373397041</v>
      </c>
      <c r="J6">
        <f>-100+99.947282537968</f>
        <v>-5.2717462032006779E-2</v>
      </c>
      <c r="K6">
        <f>750- 749.306494590303</f>
        <v>0.69350540969696794</v>
      </c>
      <c r="L6">
        <f t="shared" ref="L6:L16" si="1">SQRT(I6^2+J6^2+K6^2)</f>
        <v>0.96273838360126474</v>
      </c>
      <c r="M6" s="1" t="s">
        <v>21</v>
      </c>
      <c r="O6" t="s">
        <v>28</v>
      </c>
    </row>
    <row r="7" spans="1:15" ht="113.15" x14ac:dyDescent="0.35">
      <c r="A7" t="s">
        <v>43</v>
      </c>
      <c r="B7" t="s">
        <v>23</v>
      </c>
      <c r="C7" t="s">
        <v>26</v>
      </c>
      <c r="D7">
        <f>600-603.77</f>
        <v>-3.7699999999999818</v>
      </c>
      <c r="E7">
        <f>-300+298.33</f>
        <v>-1.6700000000000159</v>
      </c>
      <c r="F7">
        <f>-550+550.86</f>
        <v>0.86000000000001364</v>
      </c>
      <c r="G7">
        <f t="shared" si="0"/>
        <v>4.2120541307062922</v>
      </c>
      <c r="H7" t="s">
        <v>25</v>
      </c>
      <c r="I7">
        <f>600-599.108787885127</f>
        <v>0.89121211487304208</v>
      </c>
      <c r="J7">
        <f>-300+299.792684135635</f>
        <v>-0.20731586436500038</v>
      </c>
      <c r="K7">
        <f>-550+550.688711120141</f>
        <v>0.68871112014096525</v>
      </c>
      <c r="L7">
        <f t="shared" si="1"/>
        <v>1.1452344337818832</v>
      </c>
      <c r="M7" s="1" t="s">
        <v>24</v>
      </c>
      <c r="O7" t="s">
        <v>28</v>
      </c>
    </row>
    <row r="8" spans="1:15" ht="113.15" x14ac:dyDescent="0.35">
      <c r="A8" t="s">
        <v>44</v>
      </c>
      <c r="B8" t="s">
        <v>29</v>
      </c>
      <c r="C8" t="s">
        <v>32</v>
      </c>
      <c r="D8">
        <f>-20+18.01</f>
        <v>-1.9899999999999984</v>
      </c>
      <c r="E8">
        <f>-700+700.12</f>
        <v>0.12000000000000455</v>
      </c>
      <c r="F8">
        <f>250-256.33</f>
        <v>-6.3299999999999841</v>
      </c>
      <c r="G8">
        <f t="shared" si="0"/>
        <v>6.6365201725000276</v>
      </c>
      <c r="H8" t="s">
        <v>30</v>
      </c>
      <c r="I8">
        <f>-20+20.0046220574348</f>
        <v>4.6220574348012633E-3</v>
      </c>
      <c r="J8">
        <f>-700+699.956177704119</f>
        <v>-4.3822295881000173E-2</v>
      </c>
      <c r="K8">
        <f>250-249.274647394791</f>
        <v>0.72535260520899669</v>
      </c>
      <c r="L8">
        <f t="shared" si="1"/>
        <v>0.72668986432637905</v>
      </c>
      <c r="M8" s="1" t="s">
        <v>31</v>
      </c>
      <c r="O8" t="s">
        <v>28</v>
      </c>
    </row>
    <row r="9" spans="1:15" ht="113.15" x14ac:dyDescent="0.35">
      <c r="A9" t="s">
        <v>45</v>
      </c>
      <c r="B9" t="s">
        <v>34</v>
      </c>
      <c r="C9" t="s">
        <v>36</v>
      </c>
      <c r="D9">
        <f>-100+99.41</f>
        <v>-0.59000000000000341</v>
      </c>
      <c r="E9">
        <f>-1100+1099.8</f>
        <v>-0.20000000000004547</v>
      </c>
      <c r="F9">
        <f>-450+451.29</f>
        <v>1.2900000000000205</v>
      </c>
      <c r="G9">
        <f t="shared" si="0"/>
        <v>1.4325501736414243</v>
      </c>
      <c r="H9" t="s">
        <v>35</v>
      </c>
      <c r="I9">
        <f>-100+100.095289256342</f>
        <v>9.5289256341999362E-2</v>
      </c>
      <c r="J9">
        <f>-1100+1098.33424172713</f>
        <v>-1.6657582728701072</v>
      </c>
      <c r="K9">
        <f>-450+452.491512228916</f>
        <v>2.4915122289160081</v>
      </c>
      <c r="L9">
        <f t="shared" si="1"/>
        <v>2.9985769713061274</v>
      </c>
      <c r="M9" s="1" t="s">
        <v>33</v>
      </c>
      <c r="O9" t="s">
        <v>28</v>
      </c>
    </row>
    <row r="10" spans="1:15" ht="113.15" x14ac:dyDescent="0.35">
      <c r="A10" t="s">
        <v>46</v>
      </c>
      <c r="B10" t="s">
        <v>37</v>
      </c>
      <c r="C10" t="s">
        <v>40</v>
      </c>
      <c r="D10">
        <f>-600+600.25</f>
        <v>0.25</v>
      </c>
      <c r="E10">
        <f>400-404.9</f>
        <v>-4.8999999999999773</v>
      </c>
      <c r="F10">
        <f>550-555.44</f>
        <v>-5.4400000000000546</v>
      </c>
      <c r="G10">
        <f t="shared" si="0"/>
        <v>7.3257149821707079</v>
      </c>
      <c r="H10" t="s">
        <v>38</v>
      </c>
      <c r="I10">
        <f>-600+600.554915096476</f>
        <v>0.55491509647595194</v>
      </c>
      <c r="J10">
        <f>400-400.591876487034</f>
        <v>-0.59187648703402829</v>
      </c>
      <c r="K10">
        <f>550- 548.642578785771</f>
        <v>1.3574212142290207</v>
      </c>
      <c r="L10">
        <f t="shared" si="1"/>
        <v>1.5814047214548355</v>
      </c>
      <c r="M10" s="1" t="s">
        <v>39</v>
      </c>
      <c r="O10" t="s">
        <v>28</v>
      </c>
    </row>
    <row r="11" spans="1:15" ht="113.15" x14ac:dyDescent="0.35">
      <c r="A11" t="s">
        <v>47</v>
      </c>
      <c r="B11" t="s">
        <v>52</v>
      </c>
      <c r="C11" t="s">
        <v>55</v>
      </c>
      <c r="D11">
        <f>-975+975.81</f>
        <v>0.80999999999994543</v>
      </c>
      <c r="E11">
        <f>235-236.5</f>
        <v>-1.5</v>
      </c>
      <c r="F11">
        <f>-315+312.75</f>
        <v>-2.25</v>
      </c>
      <c r="G11">
        <f t="shared" si="0"/>
        <v>2.8228708790874428</v>
      </c>
      <c r="H11" t="s">
        <v>53</v>
      </c>
      <c r="I11">
        <f>-975+974.780204119196</f>
        <v>-0.21979588080398571</v>
      </c>
      <c r="J11">
        <f>235- 234.908447860288</f>
        <v>9.1552139712007374E-2</v>
      </c>
      <c r="K11">
        <f>-315+315.380913279439</f>
        <v>0.38091327943902797</v>
      </c>
      <c r="L11">
        <f t="shared" si="1"/>
        <v>0.44920702349500485</v>
      </c>
      <c r="M11" s="1" t="s">
        <v>54</v>
      </c>
      <c r="O11" t="s">
        <v>28</v>
      </c>
    </row>
    <row r="12" spans="1:15" ht="113.15" x14ac:dyDescent="0.35">
      <c r="A12" t="s">
        <v>48</v>
      </c>
      <c r="B12" t="s">
        <v>56</v>
      </c>
      <c r="C12" t="s">
        <v>58</v>
      </c>
      <c r="D12">
        <f>-10+9.55</f>
        <v>-0.44999999999999929</v>
      </c>
      <c r="E12">
        <f>465-468.18</f>
        <v>-3.1800000000000068</v>
      </c>
      <c r="F12">
        <f>45-51.04</f>
        <v>-6.0399999999999991</v>
      </c>
      <c r="G12">
        <f t="shared" si="0"/>
        <v>6.8407967372229415</v>
      </c>
      <c r="H12" t="s">
        <v>57</v>
      </c>
      <c r="I12">
        <f>-10+9.98640703540172</f>
        <v>-1.3592964598279522E-2</v>
      </c>
      <c r="J12">
        <f>465-464.966581826549</f>
        <v>3.3418173451025268E-2</v>
      </c>
      <c r="K12">
        <f>45-44.9581846566353</f>
        <v>4.1815343364703494E-2</v>
      </c>
      <c r="L12">
        <f t="shared" si="1"/>
        <v>5.5227402112365771E-2</v>
      </c>
      <c r="M12" s="1" t="s">
        <v>59</v>
      </c>
      <c r="O12" t="s">
        <v>28</v>
      </c>
    </row>
    <row r="13" spans="1:15" ht="113.15" x14ac:dyDescent="0.35">
      <c r="A13" t="s">
        <v>49</v>
      </c>
      <c r="B13" t="s">
        <v>60</v>
      </c>
      <c r="C13" t="s">
        <v>63</v>
      </c>
      <c r="D13">
        <f>-295+294.03</f>
        <v>-0.97000000000002728</v>
      </c>
      <c r="E13">
        <f>-30+28.34</f>
        <v>-1.6600000000000001</v>
      </c>
      <c r="F13">
        <f>45-51.06</f>
        <v>-6.0600000000000023</v>
      </c>
      <c r="G13">
        <f t="shared" si="0"/>
        <v>6.3576803946093481</v>
      </c>
      <c r="H13" t="s">
        <v>61</v>
      </c>
      <c r="I13">
        <f>-295+294.03</f>
        <v>-0.97000000000002728</v>
      </c>
      <c r="J13">
        <f>-30+28.34</f>
        <v>-1.6600000000000001</v>
      </c>
      <c r="K13">
        <f>45-51.06</f>
        <v>-6.0600000000000023</v>
      </c>
      <c r="L13">
        <f t="shared" si="1"/>
        <v>6.3576803946093481</v>
      </c>
      <c r="M13" s="1" t="s">
        <v>62</v>
      </c>
      <c r="O13" t="s">
        <v>28</v>
      </c>
    </row>
    <row r="14" spans="1:15" ht="113.15" x14ac:dyDescent="0.35">
      <c r="A14" t="s">
        <v>50</v>
      </c>
      <c r="B14" t="s">
        <v>65</v>
      </c>
      <c r="C14" t="s">
        <v>68</v>
      </c>
      <c r="D14">
        <f>235-233.07</f>
        <v>1.9300000000000068</v>
      </c>
      <c r="E14">
        <f>-155+150.31</f>
        <v>-4.6899999999999977</v>
      </c>
      <c r="F14">
        <f>1610-1599.51</f>
        <v>10.490000000000009</v>
      </c>
      <c r="G14">
        <f t="shared" si="0"/>
        <v>11.651656534587698</v>
      </c>
      <c r="H14" t="s">
        <v>66</v>
      </c>
      <c r="I14">
        <f>235-235.06512640051</f>
        <v>-6.5126400509996074E-2</v>
      </c>
      <c r="J14">
        <f>-155+155.238564298535</f>
        <v>0.23856429853501027</v>
      </c>
      <c r="K14">
        <f>1610-1608.88677728084</f>
        <v>1.1132227191599213</v>
      </c>
      <c r="L14">
        <f t="shared" si="1"/>
        <v>1.1403592394647832</v>
      </c>
      <c r="M14" s="1" t="s">
        <v>67</v>
      </c>
    </row>
    <row r="15" spans="1:15" ht="113.15" x14ac:dyDescent="0.35">
      <c r="A15" t="s">
        <v>64</v>
      </c>
      <c r="B15" t="s">
        <v>69</v>
      </c>
      <c r="C15" t="s">
        <v>72</v>
      </c>
      <c r="D15">
        <f>-765+755.27</f>
        <v>-9.7300000000000182</v>
      </c>
      <c r="E15">
        <f>350-360.29</f>
        <v>-10.29000000000002</v>
      </c>
      <c r="F15">
        <f>1195-1193.33</f>
        <v>1.6700000000000728</v>
      </c>
      <c r="G15">
        <f t="shared" si="0"/>
        <v>14.259940392582326</v>
      </c>
      <c r="H15" t="s">
        <v>70</v>
      </c>
      <c r="I15">
        <f>-765+765.058681099677</f>
        <v>5.8681099676960002E-2</v>
      </c>
      <c r="J15">
        <f>350-350.133413210725</f>
        <v>-0.13341321072499568</v>
      </c>
      <c r="K15">
        <f>1195-1194.50606419214</f>
        <v>0.49393580785999802</v>
      </c>
      <c r="L15">
        <f t="shared" si="1"/>
        <v>0.51499042567950548</v>
      </c>
      <c r="M15" s="1" t="s">
        <v>71</v>
      </c>
    </row>
    <row r="16" spans="1:15" ht="113.15" x14ac:dyDescent="0.35">
      <c r="A16" t="s">
        <v>51</v>
      </c>
      <c r="B16" t="s">
        <v>73</v>
      </c>
      <c r="C16" t="s">
        <v>76</v>
      </c>
      <c r="D16">
        <f>540-541.86</f>
        <v>-1.8600000000000136</v>
      </c>
      <c r="E16">
        <f>-935+935.35</f>
        <v>0.35000000000002274</v>
      </c>
      <c r="F16">
        <f>175-181.76</f>
        <v>-6.7599999999999909</v>
      </c>
      <c r="G16">
        <f t="shared" si="0"/>
        <v>7.0199501422730881</v>
      </c>
      <c r="H16" t="s">
        <v>74</v>
      </c>
      <c r="I16">
        <f>540-539.815742862162</f>
        <v>0.18425713783801712</v>
      </c>
      <c r="J16">
        <f>-935+934.782370369314</f>
        <v>-0.21762963068601948</v>
      </c>
      <c r="K16">
        <f>175-174.692432506531</f>
        <v>0.30756749346900847</v>
      </c>
      <c r="L16">
        <f t="shared" si="1"/>
        <v>0.41941758670279888</v>
      </c>
      <c r="M16" s="1" t="s">
        <v>75</v>
      </c>
    </row>
    <row r="21" spans="6:12" x14ac:dyDescent="0.35">
      <c r="F21" t="s">
        <v>83</v>
      </c>
      <c r="G21">
        <f>AVERAGE(G3:G16)</f>
        <v>6.7890182293777332</v>
      </c>
      <c r="K21" t="s">
        <v>83</v>
      </c>
      <c r="L21">
        <f>AVERAGE(L3:L16)</f>
        <v>1.2104371837036803</v>
      </c>
    </row>
    <row r="22" spans="6:12" x14ac:dyDescent="0.35">
      <c r="F22" t="s">
        <v>85</v>
      </c>
      <c r="G22">
        <f>_xlfn.STDEV.P(G3:G16)</f>
        <v>3.1416754030803</v>
      </c>
      <c r="K22" t="s">
        <v>85</v>
      </c>
      <c r="L22">
        <f>_xlfn.STDEV.P(L3:L16)</f>
        <v>1.6105867674699088</v>
      </c>
    </row>
    <row r="23" spans="6:12" x14ac:dyDescent="0.35">
      <c r="G23">
        <f>_xlfn.STDEV.S(G3:G16)</f>
        <v>3.260270643985967</v>
      </c>
    </row>
    <row r="24" spans="6:12" x14ac:dyDescent="0.35">
      <c r="F24" t="s">
        <v>84</v>
      </c>
      <c r="G24">
        <f>VAR(G3:G16)</f>
        <v>10.629364672036672</v>
      </c>
      <c r="K24" t="s">
        <v>84</v>
      </c>
      <c r="L24">
        <f>VAR(L3:L16)</f>
        <v>2.7935274075144911</v>
      </c>
    </row>
  </sheetData>
  <mergeCells count="2">
    <mergeCell ref="D1:F1"/>
    <mergeCell ref="I1:K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Zucheng Han</dc:creator>
  <cp:lastModifiedBy>韩祖成</cp:lastModifiedBy>
  <dcterms:created xsi:type="dcterms:W3CDTF">2015-06-05T18:19:34Z</dcterms:created>
  <dcterms:modified xsi:type="dcterms:W3CDTF">2023-07-13T13:20:37Z</dcterms:modified>
</cp:coreProperties>
</file>