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design-methods\testdata\"/>
    </mc:Choice>
  </mc:AlternateContent>
  <bookViews>
    <workbookView xWindow="0" yWindow="0" windowWidth="28800" windowHeight="12300"/>
  </bookViews>
  <sheets>
    <sheet name="Input_variables" sheetId="1" r:id="rId1"/>
    <sheet name="configuration" sheetId="5" r:id="rId2"/>
    <sheet name="rail_materials" sheetId="4" r:id="rId3"/>
    <sheet name="wheel_materials" sheetId="6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D69" i="1"/>
  <c r="E69" i="1"/>
  <c r="F69" i="1"/>
  <c r="G69" i="1"/>
  <c r="H69" i="1"/>
  <c r="I69" i="1"/>
  <c r="C74" i="1"/>
  <c r="D74" i="1"/>
  <c r="E74" i="1"/>
  <c r="F74" i="1"/>
  <c r="G74" i="1"/>
  <c r="H74" i="1"/>
  <c r="I74" i="1"/>
  <c r="B69" i="1"/>
  <c r="B73" i="1"/>
  <c r="C65" i="1"/>
  <c r="D65" i="1"/>
  <c r="E65" i="1"/>
  <c r="F65" i="1"/>
  <c r="G65" i="1"/>
  <c r="H65" i="1"/>
  <c r="I65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B68" i="1"/>
  <c r="B67" i="1"/>
  <c r="C47" i="1"/>
  <c r="D47" i="1"/>
  <c r="E47" i="1"/>
  <c r="F47" i="1"/>
  <c r="G47" i="1"/>
  <c r="H47" i="1"/>
  <c r="I47" i="1"/>
  <c r="B47" i="1"/>
  <c r="C46" i="1"/>
  <c r="D46" i="1"/>
  <c r="E46" i="1"/>
  <c r="F46" i="1"/>
  <c r="G46" i="1"/>
  <c r="H46" i="1"/>
  <c r="I46" i="1"/>
  <c r="B46" i="1"/>
  <c r="C49" i="1"/>
  <c r="D49" i="1"/>
  <c r="E49" i="1"/>
  <c r="F49" i="1"/>
  <c r="G49" i="1"/>
  <c r="H49" i="1"/>
  <c r="I49" i="1"/>
  <c r="B49" i="1"/>
  <c r="D48" i="1"/>
  <c r="E48" i="1"/>
  <c r="F48" i="1"/>
  <c r="G48" i="1"/>
  <c r="H48" i="1"/>
  <c r="I48" i="1"/>
  <c r="C48" i="1"/>
  <c r="B48" i="1"/>
  <c r="B77" i="1"/>
  <c r="B76" i="1"/>
  <c r="B75" i="1"/>
  <c r="C75" i="1"/>
  <c r="D75" i="1"/>
  <c r="E75" i="1"/>
  <c r="F75" i="1"/>
  <c r="G75" i="1"/>
  <c r="H75" i="1"/>
  <c r="I75" i="1"/>
  <c r="C33" i="1"/>
  <c r="B34" i="1"/>
  <c r="B61" i="1"/>
  <c r="B60" i="1"/>
  <c r="B59" i="1"/>
  <c r="B58" i="1"/>
  <c r="B57" i="1"/>
  <c r="B56" i="1"/>
  <c r="B42" i="1" l="1"/>
  <c r="C42" i="1"/>
  <c r="D42" i="1"/>
  <c r="E42" i="1"/>
  <c r="F42" i="1"/>
  <c r="G42" i="1"/>
  <c r="H42" i="1"/>
  <c r="I42" i="1"/>
  <c r="B43" i="1"/>
  <c r="C43" i="1"/>
  <c r="D43" i="1"/>
  <c r="E43" i="1"/>
  <c r="F43" i="1"/>
  <c r="B65" i="1"/>
  <c r="C59" i="1" l="1"/>
  <c r="D59" i="1"/>
  <c r="E59" i="1"/>
  <c r="F59" i="1"/>
  <c r="G59" i="1"/>
  <c r="H59" i="1"/>
  <c r="I59" i="1"/>
  <c r="C61" i="1"/>
  <c r="D61" i="1"/>
  <c r="E61" i="1"/>
  <c r="F61" i="1"/>
  <c r="G61" i="1"/>
  <c r="H61" i="1"/>
  <c r="I61" i="1"/>
  <c r="C60" i="1"/>
  <c r="C76" i="1" s="1"/>
  <c r="D60" i="1"/>
  <c r="D76" i="1" s="1"/>
  <c r="E60" i="1"/>
  <c r="E76" i="1" s="1"/>
  <c r="F60" i="1"/>
  <c r="F76" i="1" s="1"/>
  <c r="G60" i="1"/>
  <c r="G76" i="1" s="1"/>
  <c r="H60" i="1"/>
  <c r="H76" i="1" s="1"/>
  <c r="I60" i="1"/>
  <c r="I76" i="1" s="1"/>
  <c r="C58" i="1"/>
  <c r="D58" i="1"/>
  <c r="E58" i="1"/>
  <c r="F58" i="1"/>
  <c r="G58" i="1"/>
  <c r="H58" i="1"/>
  <c r="I58" i="1"/>
  <c r="C57" i="1"/>
  <c r="D57" i="1"/>
  <c r="E57" i="1"/>
  <c r="F57" i="1"/>
  <c r="G57" i="1"/>
  <c r="H57" i="1"/>
  <c r="I57" i="1"/>
  <c r="C56" i="1"/>
  <c r="C77" i="1" s="1"/>
  <c r="D56" i="1"/>
  <c r="D77" i="1" s="1"/>
  <c r="E56" i="1"/>
  <c r="E77" i="1" s="1"/>
  <c r="F56" i="1"/>
  <c r="F77" i="1" s="1"/>
  <c r="G56" i="1"/>
  <c r="G77" i="1" s="1"/>
  <c r="H56" i="1"/>
  <c r="H77" i="1" s="1"/>
  <c r="I56" i="1"/>
  <c r="I77" i="1" s="1"/>
  <c r="C72" i="1"/>
  <c r="B74" i="1"/>
  <c r="E73" i="1"/>
  <c r="E71" i="1"/>
  <c r="F71" i="1"/>
  <c r="F73" i="1" s="1"/>
  <c r="G71" i="1"/>
  <c r="G73" i="1" s="1"/>
  <c r="H71" i="1"/>
  <c r="I71" i="1"/>
  <c r="D71" i="1"/>
  <c r="D70" i="1"/>
  <c r="D73" i="1" s="1"/>
  <c r="C70" i="1"/>
  <c r="E70" i="1"/>
  <c r="H70" i="1"/>
  <c r="H73" i="1" s="1"/>
  <c r="I70" i="1"/>
  <c r="I73" i="1" s="1"/>
  <c r="B70" i="1"/>
  <c r="C66" i="1"/>
  <c r="D66" i="1"/>
  <c r="E66" i="1"/>
  <c r="F66" i="1"/>
  <c r="G66" i="1"/>
  <c r="H66" i="1"/>
  <c r="I66" i="1"/>
  <c r="B66" i="1"/>
  <c r="H45" i="1"/>
  <c r="I45" i="1"/>
  <c r="H44" i="1"/>
  <c r="I44" i="1"/>
  <c r="G38" i="1"/>
  <c r="G37" i="1"/>
  <c r="G36" i="1"/>
  <c r="G32" i="1"/>
  <c r="G41" i="1" s="1"/>
  <c r="G43" i="1" s="1"/>
  <c r="I41" i="1"/>
  <c r="I43" i="1" s="1"/>
  <c r="I37" i="1"/>
  <c r="I36" i="1"/>
  <c r="I39" i="1" s="1"/>
  <c r="I32" i="1"/>
  <c r="I34" i="1" s="1"/>
  <c r="H41" i="1"/>
  <c r="H43" i="1" s="1"/>
  <c r="H40" i="1"/>
  <c r="H37" i="1"/>
  <c r="H36" i="1"/>
  <c r="H39" i="1" s="1"/>
  <c r="H32" i="1"/>
  <c r="H33" i="1" s="1"/>
  <c r="E37" i="1"/>
  <c r="E36" i="1"/>
  <c r="E39" i="1" s="1"/>
  <c r="E32" i="1"/>
  <c r="E34" i="1" s="1"/>
  <c r="F38" i="1"/>
  <c r="C39" i="1"/>
  <c r="D39" i="1"/>
  <c r="D36" i="1"/>
  <c r="D37" i="1"/>
  <c r="B37" i="1"/>
  <c r="B36" i="1"/>
  <c r="B39" i="1" s="1"/>
  <c r="F36" i="1"/>
  <c r="F37" i="1"/>
  <c r="C36" i="1"/>
  <c r="C37" i="1"/>
  <c r="C32" i="1"/>
  <c r="C41" i="1" s="1"/>
  <c r="D32" i="1"/>
  <c r="D40" i="1" s="1"/>
  <c r="F32" i="1"/>
  <c r="F33" i="1" s="1"/>
  <c r="B32" i="1"/>
  <c r="B40" i="1" s="1"/>
  <c r="G44" i="1" l="1"/>
  <c r="E45" i="1"/>
  <c r="G45" i="1"/>
  <c r="F45" i="1"/>
  <c r="B33" i="1"/>
  <c r="E44" i="1"/>
  <c r="C34" i="1"/>
  <c r="D44" i="1"/>
  <c r="D45" i="1"/>
  <c r="B41" i="1"/>
  <c r="F44" i="1"/>
  <c r="F34" i="1"/>
  <c r="C44" i="1"/>
  <c r="C45" i="1"/>
  <c r="I40" i="1"/>
  <c r="B44" i="1"/>
  <c r="B45" i="1"/>
  <c r="C73" i="1"/>
  <c r="G33" i="1"/>
  <c r="G34" i="1"/>
  <c r="G40" i="1"/>
  <c r="I33" i="1"/>
  <c r="H34" i="1"/>
  <c r="E40" i="1"/>
  <c r="E41" i="1"/>
  <c r="E33" i="1"/>
  <c r="C40" i="1"/>
  <c r="F40" i="1"/>
  <c r="F41" i="1"/>
  <c r="D33" i="1"/>
  <c r="D41" i="1"/>
  <c r="D34" i="1"/>
</calcChain>
</file>

<file path=xl/sharedStrings.xml><?xml version="1.0" encoding="utf-8"?>
<sst xmlns="http://schemas.openxmlformats.org/spreadsheetml/2006/main" count="211" uniqueCount="157">
  <si>
    <t>0.3</t>
  </si>
  <si>
    <t>b_r</t>
  </si>
  <si>
    <t>b_w</t>
  </si>
  <si>
    <t>D_w</t>
  </si>
  <si>
    <t>f_f4</t>
  </si>
  <si>
    <t>f_y</t>
  </si>
  <si>
    <t>Wheel materials</t>
  </si>
  <si>
    <t>name</t>
  </si>
  <si>
    <t>norm</t>
  </si>
  <si>
    <t>material number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</si>
  <si>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</si>
  <si>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</si>
  <si>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</si>
  <si>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</si>
  <si>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</si>
  <si>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</si>
  <si>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</si>
  <si>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</si>
  <si>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</si>
  <si>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Rail materials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</si>
  <si>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</si>
  <si>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</si>
  <si>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</si>
  <si>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</si>
  <si>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</si>
  <si>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</si>
  <si>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</si>
  <si>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</si>
  <si>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</si>
  <si>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</si>
  <si>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</si>
  <si>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</si>
  <si>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</si>
  <si>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</si>
  <si>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</si>
  <si>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</si>
  <si>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Konfiguration</t>
  </si>
  <si>
    <t>add the desired material and its parameteres if it is not among the materials below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</si>
  <si>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</si>
  <si>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</si>
  <si>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</si>
  <si>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</si>
  <si>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</si>
  <si>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</si>
  <si>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</si>
  <si>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</si>
  <si>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</si>
  <si>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</si>
  <si>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</si>
  <si>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</si>
  <si>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</si>
  <si>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</si>
  <si>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</si>
  <si>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</si>
  <si>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</si>
  <si>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</si>
  <si>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</si>
  <si>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</si>
  <si>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</si>
  <si>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</si>
  <si>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</si>
  <si>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</si>
  <si>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</si>
  <si>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</si>
  <si>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</si>
  <si>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</si>
  <si>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</si>
  <si>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</si>
  <si>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</si>
  <si>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</si>
  <si>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</si>
  <si>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</si>
  <si>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</si>
  <si>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</si>
  <si>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</si>
  <si>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</si>
  <si>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</si>
  <si>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</si>
  <si>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</si>
  <si>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</si>
  <si>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</si>
  <si>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</si>
  <si>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</si>
  <si>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</si>
  <si>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contact</t>
  </si>
  <si>
    <t>r_k_w</t>
  </si>
  <si>
    <t>r_k_r</t>
  </si>
  <si>
    <t>r_3_w</t>
  </si>
  <si>
    <t>r_3_r</t>
  </si>
  <si>
    <t>point</t>
  </si>
  <si>
    <t>w</t>
  </si>
  <si>
    <t>line</t>
  </si>
  <si>
    <t>f_2</t>
  </si>
  <si>
    <t>F_sd_f_w</t>
  </si>
  <si>
    <t>F_sd_f_r</t>
  </si>
  <si>
    <t>num_cycles</t>
  </si>
  <si>
    <t>z2</t>
  </si>
  <si>
    <t>contact_out</t>
  </si>
  <si>
    <t>z_r</t>
  </si>
  <si>
    <t>z_w</t>
  </si>
  <si>
    <t>E_m</t>
  </si>
  <si>
    <t>v_wheel</t>
  </si>
  <si>
    <t>v_rail</t>
  </si>
  <si>
    <t>f_y_rail</t>
  </si>
  <si>
    <t>f_y_wheel</t>
  </si>
  <si>
    <t>E_wheel</t>
  </si>
  <si>
    <t>E_rail</t>
  </si>
  <si>
    <t>Hardened_wheel</t>
  </si>
  <si>
    <t>Hardened_rail</t>
  </si>
  <si>
    <t>HB_wheel</t>
  </si>
  <si>
    <t>HB_rail</t>
  </si>
  <si>
    <t>r_3_min_w</t>
  </si>
  <si>
    <t>F_rd_s_w_1</t>
  </si>
  <si>
    <t>F_rd_s_r_1</t>
  </si>
  <si>
    <t>42CrMo4-hardened_2</t>
  </si>
  <si>
    <t>F_rd_s_w</t>
  </si>
  <si>
    <t>F_rd_s_r</t>
  </si>
  <si>
    <t>F_u_w_1</t>
  </si>
  <si>
    <t>F_u_r_1</t>
  </si>
  <si>
    <t>k_c_rail_preds</t>
  </si>
  <si>
    <t>k_c_rail_upper</t>
  </si>
  <si>
    <t>k_c_wf_preds</t>
  </si>
  <si>
    <t>k_c_wf_upper</t>
  </si>
  <si>
    <t>k_c_wr_preds</t>
  </si>
  <si>
    <t>k_c_wr_upper</t>
  </si>
  <si>
    <t>v_c_rail</t>
  </si>
  <si>
    <t>v_c_wheel</t>
  </si>
  <si>
    <t>f_ff1_wheel</t>
  </si>
  <si>
    <t>f_ff1_rail</t>
  </si>
  <si>
    <t>f_ff_wheel</t>
  </si>
  <si>
    <t>F_u_w</t>
  </si>
  <si>
    <t>F_u_r</t>
  </si>
  <si>
    <t>k_c_rail_preds_new</t>
  </si>
  <si>
    <t>k_c_rail_upper_new</t>
  </si>
  <si>
    <t>k_c_wf_preds_new</t>
  </si>
  <si>
    <t>k_c_wf_upper_new</t>
  </si>
  <si>
    <t>k_c_wr_preds_new</t>
  </si>
  <si>
    <t>k_c_wr_upper_new</t>
  </si>
  <si>
    <t>b_min_test</t>
  </si>
  <si>
    <t>z_wheel_material</t>
  </si>
  <si>
    <t>z_rail_material</t>
  </si>
  <si>
    <t>r_3_b_min_test</t>
  </si>
  <si>
    <t>r_k_b_min_test</t>
  </si>
  <si>
    <t>f_1_test</t>
  </si>
  <si>
    <t>F_sd_f_wf_test</t>
  </si>
  <si>
    <t>F_sd_f_wr_test</t>
  </si>
  <si>
    <t>F_sd_f_r_test</t>
  </si>
  <si>
    <t>F_rd_f_wf</t>
  </si>
  <si>
    <t>F_rd_f_wr</t>
  </si>
  <si>
    <t>F_rd_f_r</t>
  </si>
  <si>
    <t>s_c_wf_test</t>
  </si>
  <si>
    <t>s_c_wr_test</t>
  </si>
  <si>
    <t>s_c_r_test</t>
  </si>
  <si>
    <t>f_ff3_test</t>
  </si>
  <si>
    <t>F_u_w_factor</t>
  </si>
  <si>
    <t>F_u_r_factor</t>
  </si>
  <si>
    <t>f_ff_rail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</si>
</sst>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77" formatCode="0.00000000000000000"/>
  </numFmts>
  <fonts count="1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rgb="FF9C0006"/>
      <name val="Calibri"/>
      <family val="2"/>
      <scheme val="minor"/>
    </font>
    <font>
      <sz val="11"/>
      <name val="Calibri"/>
      <scheme val="minor"/>
    </font>
    <font>
      <sz val="11"/>
      <name val="Consolas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1"/>
    <xf numFmtId="0" fontId="4" fillId="4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0">
    <xf numFmtId="0" fontId="0" fillId="0" borderId="0" xfId="0"/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4" fillId="4" borderId="0" xfId="2" applyAlignment="1">
      <alignment horizontal="center"/>
    </xf>
    <xf numFmtId="0" fontId="7" fillId="6" borderId="0" xfId="4" applyAlignment="1">
      <alignment horizontal="center"/>
    </xf>
    <xf numFmtId="0" fontId="7" fillId="6" borderId="2" xfId="4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8" fillId="5" borderId="0" xfId="3" applyFont="1" applyAlignment="1">
      <alignment horizontal="center" vertical="center"/>
    </xf>
    <xf numFmtId="0" fontId="6" fillId="5" borderId="0" xfId="3" applyAlignment="1">
      <alignment horizontal="center" vertical="center"/>
    </xf>
    <xf numFmtId="177" fontId="0" fillId="0" borderId="0" xfId="0" applyNumberFormat="1"/>
    <xf numFmtId="0" fontId="1" fillId="3" borderId="0" xfId="1" applyFill="1" applyBorder="1" applyAlignment="1">
      <alignment horizontal="center"/>
    </xf>
  </cellXfs>
  <cellStyles count="5">
    <cellStyle name="Eingabe" xfId="1" builtinId="20"/>
    <cellStyle name="Gut" xfId="2" builtinId="26"/>
    <cellStyle name="Neutral" xfId="4" builtinId="28"/>
    <cellStyle name="Schlecht" xfId="3" builtinId="27"/>
    <cellStyle name="Standard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2:I9" totalsRowShown="0" headerRowDxfId="22" dataDxfId="21" headerRowCellStyle="Gut">
  <autoFilter ref="A2:I9"/>
  <tableColumns count="9">
    <tableColumn id="1" name="name" dataDxfId="20"/>
    <tableColumn id="2" name="norm" dataDxfId="19"/>
    <tableColumn id="3" name="material number" dataDxfId="18"/>
    <tableColumn id="4" name="hardened" dataDxfId="17"/>
    <tableColumn id="5" name="f_y" dataDxfId="16"/>
    <tableColumn id="6" name="HB" dataDxfId="15"/>
    <tableColumn id="7" name="E" dataDxfId="14"/>
    <tableColumn id="8" name="v" dataDxfId="13"/>
    <tableColumn id="9" name="z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J11" totalsRowShown="0" headerRowDxfId="11" dataDxfId="10" headerRowCellStyle="Gut">
  <autoFilter ref="A2:J11"/>
  <tableColumns count="10">
    <tableColumn id="1" name="name" dataDxfId="9"/>
    <tableColumn id="2" name="norm" dataDxfId="8"/>
    <tableColumn id="3" name="material number" dataDxfId="7"/>
    <tableColumn id="4" name="hardened" dataDxfId="6"/>
    <tableColumn id="9" name="z" dataDxfId="5"/>
    <tableColumn id="5" name="f_y" dataDxfId="4"/>
    <tableColumn id="6" name="HB" dataDxfId="3"/>
    <tableColumn id="7" name="E" dataDxfId="2"/>
    <tableColumn id="8" name="v" dataDxfId="1"/>
    <tableColumn id="10" name="z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E18" workbookViewId="0">
      <selection activeCell="I49" sqref="I49"/>
    </sheetView>
  </sheetViews>
  <sheetFormatPr baseColWidth="10" defaultRowHeight="14.5"/>
  <cols>
    <col min="1" max="1" width="29.453125" customWidth="1"/>
    <col min="2" max="2" width="21.7265625" bestFit="1" customWidth="1"/>
    <col min="3" max="3" width="22.54296875" bestFit="1" customWidth="1"/>
    <col min="4" max="4" width="24.26953125" customWidth="1"/>
    <col min="5" max="5" width="27" customWidth="1"/>
    <col min="6" max="6" width="22.54296875" bestFit="1" customWidth="1"/>
    <col min="7" max="7" width="21.54296875" bestFit="1" customWidth="1"/>
    <col min="8" max="8" width="21.7265625" bestFit="1" customWidth="1"/>
    <col min="9" max="9" width="21.54296875" bestFit="1" customWidth="1"/>
  </cols>
  <sheetData>
    <row r="1" spans="1:9">
      <c r="A1" s="11" t="s">
        <v>36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</row>
    <row r="2" spans="1:9">
      <c r="A2" s="1" t="s">
        <v>1</v>
      </c>
      <c r="B2" s="3">
        <v>10</v>
      </c>
      <c r="C2" s="3">
        <v>10</v>
      </c>
      <c r="D2" s="3">
        <v>14</v>
      </c>
      <c r="E2" s="3">
        <v>14</v>
      </c>
      <c r="F2" s="3">
        <v>14</v>
      </c>
      <c r="G2" s="3">
        <v>14</v>
      </c>
      <c r="H2" s="3">
        <v>14</v>
      </c>
      <c r="I2" s="3">
        <v>14</v>
      </c>
    </row>
    <row r="3" spans="1:9">
      <c r="A3" s="1" t="s">
        <v>2</v>
      </c>
      <c r="B3" s="3">
        <v>12</v>
      </c>
      <c r="C3" s="3">
        <v>12</v>
      </c>
      <c r="D3" s="3">
        <v>12</v>
      </c>
      <c r="E3" s="3">
        <v>12</v>
      </c>
      <c r="F3" s="3">
        <v>12</v>
      </c>
      <c r="G3" s="3">
        <v>12</v>
      </c>
      <c r="H3" s="3">
        <v>12</v>
      </c>
      <c r="I3" s="3">
        <v>12</v>
      </c>
    </row>
    <row r="4" spans="1:9">
      <c r="A4" s="1" t="s">
        <v>3</v>
      </c>
      <c r="B4" s="3">
        <v>450</v>
      </c>
      <c r="C4" s="3">
        <v>450</v>
      </c>
      <c r="D4" s="3">
        <v>450</v>
      </c>
      <c r="E4" s="3">
        <v>450</v>
      </c>
      <c r="F4" s="3">
        <v>450</v>
      </c>
      <c r="G4" s="3">
        <v>450</v>
      </c>
      <c r="H4" s="3">
        <v>450</v>
      </c>
      <c r="I4" s="3">
        <v>450</v>
      </c>
    </row>
    <row r="5" spans="1:9">
      <c r="A5" s="1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</row>
    <row r="6" spans="1:9">
      <c r="A6" s="1" t="s">
        <v>87</v>
      </c>
      <c r="B6" s="3">
        <v>10</v>
      </c>
      <c r="C6" s="3">
        <v>10</v>
      </c>
      <c r="D6" s="3">
        <v>8</v>
      </c>
      <c r="E6" s="3">
        <v>8</v>
      </c>
      <c r="F6" s="3">
        <v>1</v>
      </c>
      <c r="G6" s="3">
        <v>1</v>
      </c>
      <c r="H6" s="3">
        <v>0.01</v>
      </c>
      <c r="I6" s="3">
        <v>0.01</v>
      </c>
    </row>
    <row r="7" spans="1:9">
      <c r="A7" s="1" t="s">
        <v>88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</row>
    <row r="8" spans="1:9">
      <c r="A8" s="1" t="s">
        <v>85</v>
      </c>
      <c r="B8" s="3">
        <v>10</v>
      </c>
      <c r="C8" s="3">
        <v>10</v>
      </c>
      <c r="D8" s="3">
        <v>100000000</v>
      </c>
      <c r="E8" s="3">
        <v>100000000</v>
      </c>
      <c r="F8" s="3">
        <v>100000000</v>
      </c>
      <c r="G8" s="3">
        <v>100000000</v>
      </c>
      <c r="H8" s="3">
        <v>100000000</v>
      </c>
      <c r="I8" s="3">
        <v>100000000</v>
      </c>
    </row>
    <row r="9" spans="1:9">
      <c r="A9" s="2" t="s">
        <v>86</v>
      </c>
      <c r="B9" s="3">
        <v>2000</v>
      </c>
      <c r="C9" s="3">
        <v>3000</v>
      </c>
      <c r="D9" s="3">
        <v>10</v>
      </c>
      <c r="E9" s="3">
        <v>10</v>
      </c>
      <c r="F9" s="3">
        <v>10</v>
      </c>
      <c r="G9" s="3">
        <v>10</v>
      </c>
      <c r="H9" s="3">
        <v>10</v>
      </c>
      <c r="I9" s="3">
        <v>10</v>
      </c>
    </row>
    <row r="10" spans="1:9">
      <c r="A10" s="2" t="s">
        <v>82</v>
      </c>
      <c r="B10" s="3">
        <v>5.0000000000000001E-3</v>
      </c>
      <c r="C10" s="3">
        <v>5.0000000000000001E-3</v>
      </c>
      <c r="D10" s="3">
        <v>6.0000000000000001E-3</v>
      </c>
      <c r="E10" s="3">
        <v>6.0000000000000001E-3</v>
      </c>
      <c r="F10" s="3">
        <v>4.0000000000000001E-3</v>
      </c>
      <c r="G10" s="3">
        <v>4.0000000000000001E-3</v>
      </c>
      <c r="H10" s="3">
        <v>5.0000000000000001E-3</v>
      </c>
      <c r="I10" s="3">
        <v>5.0000000000000001E-3</v>
      </c>
    </row>
    <row r="11" spans="1:9">
      <c r="A11" s="2" t="s">
        <v>84</v>
      </c>
      <c r="B11" s="3" t="s">
        <v>89</v>
      </c>
      <c r="C11" s="3" t="s">
        <v>89</v>
      </c>
      <c r="D11" s="3" t="s">
        <v>91</v>
      </c>
      <c r="E11" s="3" t="s">
        <v>91</v>
      </c>
      <c r="F11" s="3" t="s">
        <v>91</v>
      </c>
      <c r="G11" s="3" t="s">
        <v>91</v>
      </c>
      <c r="H11" s="3" t="s">
        <v>91</v>
      </c>
      <c r="I11" s="3" t="s">
        <v>91</v>
      </c>
    </row>
    <row r="12" spans="1:9">
      <c r="A12" s="2" t="s">
        <v>90</v>
      </c>
      <c r="B12" s="3">
        <v>1</v>
      </c>
      <c r="C12" s="3">
        <v>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</row>
    <row r="13" spans="1:9">
      <c r="A13" s="1" t="s">
        <v>92</v>
      </c>
      <c r="B13" s="3">
        <v>0.95</v>
      </c>
      <c r="C13" s="3">
        <v>0.95</v>
      </c>
      <c r="D13" s="3">
        <v>0.9</v>
      </c>
      <c r="E13" s="3">
        <v>0.9</v>
      </c>
      <c r="F13" s="3">
        <v>1</v>
      </c>
      <c r="G13" s="3">
        <v>1</v>
      </c>
      <c r="H13" s="3">
        <v>1</v>
      </c>
      <c r="I13" s="3">
        <v>1</v>
      </c>
    </row>
    <row r="14" spans="1:9">
      <c r="A14" s="4" t="s">
        <v>45</v>
      </c>
      <c r="B14" s="19" t="s">
        <v>81</v>
      </c>
      <c r="C14" s="19" t="s">
        <v>81</v>
      </c>
      <c r="D14" s="24" t="s">
        <v>114</v>
      </c>
      <c r="E14" s="24" t="s">
        <v>114</v>
      </c>
      <c r="F14" s="16" t="s">
        <v>42</v>
      </c>
      <c r="G14" s="16" t="s">
        <v>42</v>
      </c>
      <c r="H14" s="8" t="s">
        <v>38</v>
      </c>
      <c r="I14" s="8" t="s">
        <v>38</v>
      </c>
    </row>
    <row r="15" spans="1:9">
      <c r="A15" s="1" t="s">
        <v>46</v>
      </c>
      <c r="B15" s="8" t="s">
        <v>24</v>
      </c>
      <c r="C15" s="8" t="s">
        <v>20</v>
      </c>
      <c r="D15" s="8" t="s">
        <v>28</v>
      </c>
      <c r="E15" s="8" t="s">
        <v>28</v>
      </c>
      <c r="F15" s="8" t="s">
        <v>32</v>
      </c>
      <c r="G15" s="8" t="s">
        <v>32</v>
      </c>
      <c r="H15" s="8" t="s">
        <v>20</v>
      </c>
      <c r="I15" s="8" t="s">
        <v>20</v>
      </c>
    </row>
    <row r="16" spans="1:9">
      <c r="A16" s="1" t="s">
        <v>93</v>
      </c>
      <c r="B16" s="3">
        <v>30000</v>
      </c>
      <c r="C16" s="3">
        <v>1600000</v>
      </c>
      <c r="D16" s="3">
        <v>40000</v>
      </c>
      <c r="E16" s="3">
        <v>4000000</v>
      </c>
      <c r="F16" s="3">
        <v>23000</v>
      </c>
      <c r="G16" s="3">
        <v>23000</v>
      </c>
      <c r="H16" s="3">
        <v>15000</v>
      </c>
      <c r="I16" s="3">
        <v>15000</v>
      </c>
    </row>
    <row r="17" spans="1:9">
      <c r="A17" s="1" t="s">
        <v>94</v>
      </c>
      <c r="B17" s="3">
        <v>20000</v>
      </c>
      <c r="C17" s="3">
        <v>15000</v>
      </c>
      <c r="D17" s="3">
        <v>18000</v>
      </c>
      <c r="E17" s="3">
        <v>18000</v>
      </c>
      <c r="F17" s="3">
        <v>12000</v>
      </c>
      <c r="G17" s="3">
        <v>1200000</v>
      </c>
      <c r="H17" s="3">
        <v>14000</v>
      </c>
      <c r="I17" s="3">
        <v>1400000</v>
      </c>
    </row>
    <row r="18" spans="1:9">
      <c r="A18" s="1" t="s">
        <v>95</v>
      </c>
      <c r="B18" s="3">
        <v>100000</v>
      </c>
      <c r="C18" s="3">
        <v>100000</v>
      </c>
      <c r="D18" s="3">
        <v>100000</v>
      </c>
      <c r="E18" s="3">
        <v>100000</v>
      </c>
      <c r="F18" s="3">
        <v>100000</v>
      </c>
      <c r="G18" s="3">
        <v>100000</v>
      </c>
      <c r="H18" s="3">
        <v>100000</v>
      </c>
      <c r="I18" s="3">
        <v>100000</v>
      </c>
    </row>
    <row r="19" spans="1:9">
      <c r="A19" s="4" t="s">
        <v>97</v>
      </c>
      <c r="B19" t="s">
        <v>89</v>
      </c>
      <c r="C19" t="s">
        <v>91</v>
      </c>
      <c r="D19" t="s">
        <v>91</v>
      </c>
      <c r="E19" t="s">
        <v>91</v>
      </c>
      <c r="F19" t="s">
        <v>91</v>
      </c>
      <c r="G19" t="s">
        <v>91</v>
      </c>
      <c r="H19" t="s">
        <v>91</v>
      </c>
      <c r="I19" t="s">
        <v>91</v>
      </c>
    </row>
    <row r="20" spans="1:9">
      <c r="A20" s="4" t="s">
        <v>110</v>
      </c>
      <c r="B20" s="17">
        <v>225</v>
      </c>
      <c r="C20" s="17">
        <v>125</v>
      </c>
      <c r="D20" s="17">
        <v>190</v>
      </c>
      <c r="E20" s="17">
        <v>190</v>
      </c>
      <c r="F20" s="17">
        <v>260</v>
      </c>
      <c r="G20" s="17">
        <v>260</v>
      </c>
      <c r="H20" s="17">
        <v>125</v>
      </c>
      <c r="I20" s="17">
        <v>125</v>
      </c>
    </row>
    <row r="21" spans="1:9">
      <c r="A21" s="4" t="s">
        <v>109</v>
      </c>
      <c r="B21" s="21">
        <v>255</v>
      </c>
      <c r="C21" s="21">
        <v>255</v>
      </c>
      <c r="D21" s="21">
        <v>250</v>
      </c>
      <c r="E21" s="21">
        <v>250</v>
      </c>
      <c r="F21" s="21">
        <v>210</v>
      </c>
      <c r="G21" s="21">
        <v>210</v>
      </c>
      <c r="H21" s="21">
        <v>1000</v>
      </c>
      <c r="I21" s="21">
        <v>1000</v>
      </c>
    </row>
    <row r="22" spans="1:9">
      <c r="A22" s="4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4" t="s">
        <v>107</v>
      </c>
      <c r="B23" s="20">
        <v>1</v>
      </c>
      <c r="C23" s="20">
        <v>1</v>
      </c>
      <c r="D23" s="20">
        <v>1</v>
      </c>
      <c r="E23" s="20">
        <v>1</v>
      </c>
      <c r="F23" s="20">
        <v>0</v>
      </c>
      <c r="G23" s="20">
        <v>0</v>
      </c>
      <c r="H23" s="20">
        <v>0</v>
      </c>
      <c r="I23" s="20">
        <v>0</v>
      </c>
    </row>
    <row r="24" spans="1:9">
      <c r="A24" s="4" t="s">
        <v>106</v>
      </c>
      <c r="B24" s="17">
        <v>210000</v>
      </c>
      <c r="C24" s="17">
        <v>210000</v>
      </c>
      <c r="D24" s="17">
        <v>210000</v>
      </c>
      <c r="E24" s="17">
        <v>210000</v>
      </c>
      <c r="F24" s="17">
        <v>210000</v>
      </c>
      <c r="G24" s="17">
        <v>210000</v>
      </c>
      <c r="H24" s="17">
        <v>210000</v>
      </c>
      <c r="I24" s="17">
        <v>210000</v>
      </c>
    </row>
    <row r="25" spans="1:9">
      <c r="A25" s="4" t="s">
        <v>105</v>
      </c>
      <c r="B25" s="20">
        <v>210000</v>
      </c>
      <c r="C25" s="20">
        <v>210000</v>
      </c>
      <c r="D25" s="20">
        <v>210000</v>
      </c>
      <c r="E25" s="20">
        <v>210000</v>
      </c>
      <c r="F25" s="20">
        <v>180000</v>
      </c>
      <c r="G25" s="20">
        <v>180000</v>
      </c>
      <c r="H25" s="20">
        <v>210000</v>
      </c>
      <c r="I25" s="20">
        <v>210000</v>
      </c>
    </row>
    <row r="26" spans="1:9">
      <c r="A26" s="4" t="s">
        <v>140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</row>
    <row r="27" spans="1:9">
      <c r="A27" s="4" t="s">
        <v>139</v>
      </c>
      <c r="B27" s="20">
        <v>10</v>
      </c>
      <c r="C27" s="20">
        <v>10</v>
      </c>
      <c r="D27" s="20">
        <v>10</v>
      </c>
      <c r="E27" s="20">
        <v>10</v>
      </c>
      <c r="F27" s="20">
        <v>0</v>
      </c>
      <c r="G27" s="20">
        <v>0</v>
      </c>
      <c r="H27" s="20">
        <v>0</v>
      </c>
      <c r="I27" s="20">
        <v>0</v>
      </c>
    </row>
    <row r="28" spans="1:9">
      <c r="A28" s="4" t="s">
        <v>104</v>
      </c>
      <c r="B28" s="21">
        <v>420</v>
      </c>
      <c r="C28" s="21">
        <v>420</v>
      </c>
      <c r="D28" s="21">
        <v>420</v>
      </c>
      <c r="E28" s="21">
        <v>420</v>
      </c>
      <c r="F28" s="21">
        <v>700</v>
      </c>
      <c r="G28" s="21">
        <v>700</v>
      </c>
      <c r="H28" s="20">
        <v>520</v>
      </c>
      <c r="I28" s="20">
        <v>520</v>
      </c>
    </row>
    <row r="29" spans="1:9">
      <c r="A29" s="4" t="s">
        <v>103</v>
      </c>
      <c r="B29" s="17">
        <v>760</v>
      </c>
      <c r="C29" s="17">
        <v>360</v>
      </c>
      <c r="D29" s="17">
        <v>640</v>
      </c>
      <c r="E29" s="17">
        <v>640</v>
      </c>
      <c r="F29" s="17">
        <v>870</v>
      </c>
      <c r="G29" s="17">
        <v>870</v>
      </c>
      <c r="H29" s="17">
        <v>360</v>
      </c>
      <c r="I29" s="17">
        <v>360</v>
      </c>
    </row>
    <row r="30" spans="1:9">
      <c r="A30" s="4" t="s">
        <v>102</v>
      </c>
      <c r="B30" s="17">
        <v>0.3</v>
      </c>
      <c r="C30" s="17">
        <v>0.3</v>
      </c>
      <c r="D30" s="17">
        <v>0.3</v>
      </c>
      <c r="E30" s="17">
        <v>0.3</v>
      </c>
      <c r="F30" s="17">
        <v>0.3</v>
      </c>
      <c r="G30" s="17">
        <v>0.3</v>
      </c>
      <c r="H30" s="17">
        <v>0.3</v>
      </c>
      <c r="I30" s="17">
        <v>0.3</v>
      </c>
    </row>
    <row r="31" spans="1:9">
      <c r="A31" s="4" t="s">
        <v>101</v>
      </c>
      <c r="B31" s="21">
        <v>0.2</v>
      </c>
      <c r="C31" s="21">
        <v>0.2</v>
      </c>
      <c r="D31" s="21">
        <v>0.2</v>
      </c>
      <c r="E31" s="21">
        <v>0.2</v>
      </c>
      <c r="F31" s="21">
        <v>0.2</v>
      </c>
      <c r="G31" s="21">
        <v>0.2</v>
      </c>
      <c r="H31" s="21">
        <v>0.2</v>
      </c>
      <c r="I31" s="21">
        <v>0.2</v>
      </c>
    </row>
    <row r="32" spans="1:9">
      <c r="A32" s="4" t="s">
        <v>100</v>
      </c>
      <c r="B32">
        <f>(2*B25*B24)/(B24+B25)</f>
        <v>210000</v>
      </c>
      <c r="C32">
        <f t="shared" ref="C32:F32" si="0">(2*C25*C24)/(C24+C25)</f>
        <v>210000</v>
      </c>
      <c r="D32">
        <f t="shared" si="0"/>
        <v>210000</v>
      </c>
      <c r="E32">
        <f t="shared" ref="E32" si="1">(2*E25*E24)/(E24+E25)</f>
        <v>210000</v>
      </c>
      <c r="F32">
        <f t="shared" si="0"/>
        <v>193846.15384615384</v>
      </c>
      <c r="G32">
        <f t="shared" ref="G32" si="2">(2*G25*G24)/(G24+G25)</f>
        <v>193846.15384615384</v>
      </c>
      <c r="H32">
        <f t="shared" ref="H32:I32" si="3">(2*H25*H24)/(H24+H25)</f>
        <v>210000</v>
      </c>
      <c r="I32">
        <f t="shared" si="3"/>
        <v>210000</v>
      </c>
    </row>
    <row r="33" spans="1:9">
      <c r="A33" s="4" t="s">
        <v>98</v>
      </c>
      <c r="B33">
        <f>0.68*(B17/B32*(1-B30^2)/((2/B4)+(1/B9)))^(1/3)</f>
        <v>1.7663920846460137</v>
      </c>
      <c r="C33">
        <f>0.5*(C17*(PI()*C4*(1-C30^2))/(C35*C32))^(1/2)</f>
        <v>1.5156812421936006</v>
      </c>
      <c r="D33">
        <f t="shared" ref="D33:I33" si="4">0.5*(D17*(PI()*D4*(1-D30^2))/(D35*D32))^(1/2)</f>
        <v>1.5156812421936006</v>
      </c>
      <c r="E33">
        <f t="shared" si="4"/>
        <v>1.5156812421936006</v>
      </c>
      <c r="F33">
        <f t="shared" si="4"/>
        <v>1.2880813717219535</v>
      </c>
      <c r="G33">
        <f t="shared" si="4"/>
        <v>12.880813717219535</v>
      </c>
      <c r="H33">
        <f t="shared" si="4"/>
        <v>1.3367052112299087</v>
      </c>
      <c r="I33">
        <f t="shared" si="4"/>
        <v>13.367052112299087</v>
      </c>
    </row>
    <row r="34" spans="1:9">
      <c r="A34" s="4" t="s">
        <v>99</v>
      </c>
      <c r="B34">
        <f>0.68*(B16/B32*(1-B31^2)/((2/B4)+(1/B8)))^(1/3)</f>
        <v>0.74462599882640801</v>
      </c>
      <c r="C34">
        <f>0.5*(C16*PI()*C4*(1-C31^2)/(C35*C32))^(1/2)</f>
        <v>16.07819005657629</v>
      </c>
      <c r="D34">
        <f t="shared" ref="D34:I34" si="5">0.5*(D16*PI()*D4*(1-D31^2)/(D35*D32))^(1/2)</f>
        <v>2.3206868393115712</v>
      </c>
      <c r="E34">
        <f t="shared" si="5"/>
        <v>23.206868393115712</v>
      </c>
      <c r="F34">
        <f t="shared" si="5"/>
        <v>1.8316037112550809</v>
      </c>
      <c r="G34">
        <f t="shared" si="5"/>
        <v>1.8316037112550809</v>
      </c>
      <c r="H34">
        <f t="shared" si="5"/>
        <v>1.4211246522764018</v>
      </c>
      <c r="I34">
        <f t="shared" si="5"/>
        <v>1.4211246522764018</v>
      </c>
    </row>
    <row r="35" spans="1:9">
      <c r="A35" s="4" t="s">
        <v>138</v>
      </c>
      <c r="B35">
        <v>10</v>
      </c>
      <c r="C35">
        <v>10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</row>
    <row r="36" spans="1:9">
      <c r="A36" s="4" t="s">
        <v>141</v>
      </c>
      <c r="B36">
        <f>B7</f>
        <v>10</v>
      </c>
      <c r="C36">
        <f>C7</f>
        <v>10</v>
      </c>
      <c r="D36">
        <f>D6</f>
        <v>8</v>
      </c>
      <c r="E36">
        <f>E6</f>
        <v>8</v>
      </c>
      <c r="F36">
        <f t="shared" ref="F36" si="6">F6</f>
        <v>1</v>
      </c>
      <c r="G36">
        <f t="shared" ref="G36" si="7">G6</f>
        <v>1</v>
      </c>
      <c r="H36">
        <f t="shared" ref="H36:I36" si="8">H6</f>
        <v>0.01</v>
      </c>
      <c r="I36">
        <f t="shared" si="8"/>
        <v>0.01</v>
      </c>
    </row>
    <row r="37" spans="1:9">
      <c r="A37" s="4" t="s">
        <v>142</v>
      </c>
      <c r="B37">
        <f>B9</f>
        <v>2000</v>
      </c>
      <c r="C37">
        <f>C9</f>
        <v>3000</v>
      </c>
      <c r="D37">
        <f>D8</f>
        <v>100000000</v>
      </c>
      <c r="E37">
        <f>E8</f>
        <v>100000000</v>
      </c>
      <c r="F37">
        <f t="shared" ref="F37" si="9">F8</f>
        <v>100000000</v>
      </c>
      <c r="G37">
        <f t="shared" ref="G37" si="10">G8</f>
        <v>100000000</v>
      </c>
      <c r="H37">
        <f t="shared" ref="H37:I37" si="11">H8</f>
        <v>100000000</v>
      </c>
      <c r="I37">
        <f t="shared" si="11"/>
        <v>100000000</v>
      </c>
    </row>
    <row r="38" spans="1:9">
      <c r="A38" s="4" t="s">
        <v>143</v>
      </c>
      <c r="B38">
        <v>1</v>
      </c>
      <c r="C38">
        <v>1</v>
      </c>
      <c r="D38">
        <v>1</v>
      </c>
      <c r="E38">
        <v>1</v>
      </c>
      <c r="F38">
        <f>(0.58+0.15*F39)/0.7</f>
        <v>0.93571428571428561</v>
      </c>
      <c r="G38">
        <f>(0.58+0.15*G39)/0.7</f>
        <v>0.93571428571428561</v>
      </c>
      <c r="H38">
        <v>0.85</v>
      </c>
      <c r="I38">
        <v>0.85</v>
      </c>
    </row>
    <row r="39" spans="1:9">
      <c r="A39" s="4" t="s">
        <v>111</v>
      </c>
      <c r="B39">
        <f>B36/B12</f>
        <v>10</v>
      </c>
      <c r="C39">
        <f t="shared" ref="C39:D39" si="12">C36/C12</f>
        <v>10</v>
      </c>
      <c r="D39">
        <f t="shared" si="12"/>
        <v>4</v>
      </c>
      <c r="E39">
        <f t="shared" ref="E39" si="13">E36/E12</f>
        <v>4</v>
      </c>
      <c r="F39">
        <v>0.5</v>
      </c>
      <c r="G39">
        <v>0.5</v>
      </c>
      <c r="H39">
        <f t="shared" ref="H39:I39" si="14">H36/H12</f>
        <v>5.0000000000000001E-3</v>
      </c>
      <c r="I39">
        <f t="shared" si="14"/>
        <v>5.0000000000000001E-3</v>
      </c>
    </row>
    <row r="40" spans="1:9">
      <c r="A40" s="4" t="s">
        <v>112</v>
      </c>
      <c r="B40">
        <f>(PI()*B$4*B$35*(1-B31^2)*B$38*B$13)/B$32</f>
        <v>6.13956964301548E-2</v>
      </c>
      <c r="C40">
        <f t="shared" ref="C40:F40" si="15">(PI()*C$4*C$35*(1-C31^2)*C$38*C$13)/C$32</f>
        <v>6.13956964301548E-2</v>
      </c>
      <c r="D40">
        <f t="shared" si="15"/>
        <v>6.9797212783754961E-2</v>
      </c>
      <c r="E40">
        <f t="shared" ref="E40" si="16">(PI()*E$4*E$35*(1-E31^2)*E$38*E$13)/E$32</f>
        <v>6.9797212783754961E-2</v>
      </c>
      <c r="F40">
        <f t="shared" si="15"/>
        <v>7.8614188737258381E-2</v>
      </c>
      <c r="G40">
        <f t="shared" ref="G40" si="17">(PI()*G$4*G$35*(1-G31^2)*G$38*G$13)/G$32</f>
        <v>7.8614188737258381E-2</v>
      </c>
      <c r="H40">
        <f t="shared" ref="H40:I40" si="18">(PI()*H$4*H$35*(1-H31^2)*H$38*H$13)/H$32</f>
        <v>6.5919589851324123E-2</v>
      </c>
      <c r="I40">
        <f t="shared" si="18"/>
        <v>6.5919589851324123E-2</v>
      </c>
    </row>
    <row r="41" spans="1:9">
      <c r="A41" s="4" t="s">
        <v>113</v>
      </c>
      <c r="B41">
        <f>(PI()*B$4*B$35*(1-B30^2)*B$38*B$13)/B$32</f>
        <v>5.8198003907750914E-2</v>
      </c>
      <c r="C41">
        <f t="shared" ref="C41:F41" si="19">(PI()*C$4*C$35*(1-C30^2)*C$38*C$13)/C$32</f>
        <v>5.8198003907750914E-2</v>
      </c>
      <c r="D41">
        <f t="shared" si="19"/>
        <v>6.6161941284601053E-2</v>
      </c>
      <c r="E41">
        <f t="shared" ref="E41" si="20">(PI()*E$4*E$35*(1-E30^2)*E$38*E$13)/E$32</f>
        <v>6.6161941284601053E-2</v>
      </c>
      <c r="F41">
        <f t="shared" si="19"/>
        <v>7.4519699740526163E-2</v>
      </c>
      <c r="G41">
        <f t="shared" ref="G41" si="21">(PI()*G$4*G$35*(1-G30^2)*G$38*G$13)/G$32</f>
        <v>7.4519699740526163E-2</v>
      </c>
      <c r="H41">
        <f t="shared" ref="H41:I41" si="22">(PI()*H$4*H$35*(1-H30^2)*H$38*H$13)/H$32</f>
        <v>6.2486277879900992E-2</v>
      </c>
      <c r="I41">
        <f t="shared" si="22"/>
        <v>6.2486277879900992E-2</v>
      </c>
    </row>
    <row r="42" spans="1:9">
      <c r="A42" s="4" t="s">
        <v>115</v>
      </c>
      <c r="B42">
        <f>((4.2*B28)^2/1.1)*B40</f>
        <v>173677.03908993362</v>
      </c>
      <c r="C42">
        <f>(7*C21)^2/1.1*C40</f>
        <v>177836.82078015452</v>
      </c>
      <c r="D42">
        <f t="shared" ref="D42:I42" si="23">(7*D21)^2/1.1*D40</f>
        <v>194321.78559113594</v>
      </c>
      <c r="E42">
        <f t="shared" si="23"/>
        <v>194321.78559113594</v>
      </c>
      <c r="F42">
        <f t="shared" si="23"/>
        <v>154434.00040212876</v>
      </c>
      <c r="G42">
        <f t="shared" si="23"/>
        <v>154434.00040212876</v>
      </c>
      <c r="H42">
        <f t="shared" si="23"/>
        <v>2936418.093377165</v>
      </c>
      <c r="I42">
        <f t="shared" si="23"/>
        <v>2936418.093377165</v>
      </c>
    </row>
    <row r="43" spans="1:9">
      <c r="A43" s="4" t="s">
        <v>116</v>
      </c>
      <c r="B43">
        <f>(7*B20)^2/1.1*B41</f>
        <v>131243.11222151326</v>
      </c>
      <c r="C43">
        <f t="shared" ref="C43:I43" si="24">(7*C20)^2/1.1*C41</f>
        <v>40507.133401701627</v>
      </c>
      <c r="D43">
        <f t="shared" si="24"/>
        <v>106394.41630757345</v>
      </c>
      <c r="E43">
        <f t="shared" si="24"/>
        <v>106394.41630757345</v>
      </c>
      <c r="F43">
        <f t="shared" si="24"/>
        <v>224399.13947319894</v>
      </c>
      <c r="G43">
        <f t="shared" si="24"/>
        <v>224399.13947319894</v>
      </c>
      <c r="H43">
        <f t="shared" si="24"/>
        <v>43491.869547090173</v>
      </c>
      <c r="I43">
        <f t="shared" si="24"/>
        <v>43491.869547090173</v>
      </c>
    </row>
    <row r="44" spans="1:9">
      <c r="A44" s="4" t="s">
        <v>117</v>
      </c>
      <c r="B44">
        <f>PI()*B4*B35*(1-B31^2)/B32</f>
        <v>6.4627048873847168E-2</v>
      </c>
      <c r="C44">
        <f t="shared" ref="C44:I44" si="25">PI()*C4*C35*(1-C31^2)/C32</f>
        <v>6.4627048873847168E-2</v>
      </c>
      <c r="D44">
        <f t="shared" si="25"/>
        <v>7.755245864861661E-2</v>
      </c>
      <c r="E44">
        <f t="shared" si="25"/>
        <v>7.755245864861661E-2</v>
      </c>
      <c r="F44">
        <f t="shared" si="25"/>
        <v>8.401516353600133E-2</v>
      </c>
      <c r="G44">
        <f t="shared" si="25"/>
        <v>8.401516353600133E-2</v>
      </c>
      <c r="H44">
        <f t="shared" si="25"/>
        <v>7.755245864861661E-2</v>
      </c>
      <c r="I44">
        <f t="shared" si="25"/>
        <v>7.755245864861661E-2</v>
      </c>
    </row>
    <row r="45" spans="1:9">
      <c r="A45" s="4" t="s">
        <v>118</v>
      </c>
      <c r="B45">
        <f>PI()*B4*B35*(1-0.3^2)/B32</f>
        <v>6.1261056745000965E-2</v>
      </c>
      <c r="C45">
        <f t="shared" ref="C45:I45" si="26">PI()*C4*C35*(1-0.3^2)/C32</f>
        <v>6.1261056745000965E-2</v>
      </c>
      <c r="D45">
        <f t="shared" si="26"/>
        <v>7.3513268094001161E-2</v>
      </c>
      <c r="E45">
        <f t="shared" si="26"/>
        <v>7.3513268094001161E-2</v>
      </c>
      <c r="F45">
        <f t="shared" si="26"/>
        <v>7.9639373768501262E-2</v>
      </c>
      <c r="G45">
        <f t="shared" si="26"/>
        <v>7.9639373768501262E-2</v>
      </c>
      <c r="H45">
        <f t="shared" si="26"/>
        <v>7.3513268094001161E-2</v>
      </c>
      <c r="I45">
        <f t="shared" si="26"/>
        <v>7.3513268094001161E-2</v>
      </c>
    </row>
    <row r="46" spans="1:9">
      <c r="A46" s="4" t="s">
        <v>130</v>
      </c>
      <c r="B46">
        <f>B44*B48</f>
        <v>36936.685005163112</v>
      </c>
      <c r="C46">
        <f t="shared" ref="C46:I46" si="27">C44*C48</f>
        <v>37821.364677197205</v>
      </c>
      <c r="D46">
        <f t="shared" si="27"/>
        <v>43623.257989846839</v>
      </c>
      <c r="E46">
        <f t="shared" si="27"/>
        <v>43623.257989846839</v>
      </c>
      <c r="F46">
        <f t="shared" si="27"/>
        <v>33345.618407438931</v>
      </c>
      <c r="G46">
        <f t="shared" si="27"/>
        <v>33345.618407438931</v>
      </c>
      <c r="H46">
        <f t="shared" si="27"/>
        <v>697972.12783754943</v>
      </c>
      <c r="I46">
        <f t="shared" si="27"/>
        <v>697972.12783754943</v>
      </c>
    </row>
    <row r="47" spans="1:9">
      <c r="A47" s="4" t="s">
        <v>131</v>
      </c>
      <c r="B47">
        <f>B45*B49</f>
        <v>27912.068979441065</v>
      </c>
      <c r="C47">
        <f t="shared" ref="C47:I47" si="28">C45*C49</f>
        <v>8614.83610476576</v>
      </c>
      <c r="D47">
        <f t="shared" si="28"/>
        <v>23884.460803740978</v>
      </c>
      <c r="E47">
        <f t="shared" si="28"/>
        <v>23884.460803740978</v>
      </c>
      <c r="F47">
        <f t="shared" si="28"/>
        <v>48452.59500075617</v>
      </c>
      <c r="G47">
        <f t="shared" si="28"/>
        <v>48452.59500075617</v>
      </c>
      <c r="H47">
        <f t="shared" si="28"/>
        <v>10337.803325718913</v>
      </c>
      <c r="I47">
        <f t="shared" si="28"/>
        <v>10337.803325718913</v>
      </c>
    </row>
    <row r="48" spans="1:9">
      <c r="A48" s="4" t="s">
        <v>154</v>
      </c>
      <c r="B48">
        <f>(1.8*B28)^2</f>
        <v>571536</v>
      </c>
      <c r="C48">
        <f>(3*C21)^2</f>
        <v>585225</v>
      </c>
      <c r="D48">
        <f t="shared" ref="D48:I48" si="29">(3*D21)^2</f>
        <v>562500</v>
      </c>
      <c r="E48">
        <f t="shared" si="29"/>
        <v>562500</v>
      </c>
      <c r="F48">
        <f t="shared" si="29"/>
        <v>396900</v>
      </c>
      <c r="G48">
        <f t="shared" si="29"/>
        <v>396900</v>
      </c>
      <c r="H48">
        <f t="shared" si="29"/>
        <v>9000000</v>
      </c>
      <c r="I48">
        <f t="shared" si="29"/>
        <v>9000000</v>
      </c>
    </row>
    <row r="49" spans="1:9">
      <c r="A49" s="4" t="s">
        <v>155</v>
      </c>
      <c r="B49">
        <f>(3*B20)^2</f>
        <v>455625</v>
      </c>
      <c r="C49">
        <f t="shared" ref="C49:I49" si="30">(3*C20)^2</f>
        <v>140625</v>
      </c>
      <c r="D49">
        <f t="shared" si="30"/>
        <v>324900</v>
      </c>
      <c r="E49">
        <f t="shared" si="30"/>
        <v>324900</v>
      </c>
      <c r="F49">
        <f t="shared" si="30"/>
        <v>608400</v>
      </c>
      <c r="G49">
        <f t="shared" si="30"/>
        <v>608400</v>
      </c>
      <c r="H49">
        <f t="shared" si="30"/>
        <v>140625</v>
      </c>
      <c r="I49">
        <f t="shared" si="30"/>
        <v>140625</v>
      </c>
    </row>
    <row r="50" spans="1:9" ht="15" customHeight="1">
      <c r="A50" s="4" t="s">
        <v>119</v>
      </c>
      <c r="B50">
        <v>0.28844568430102241</v>
      </c>
      <c r="C50">
        <v>3.7725248222562513E-2</v>
      </c>
      <c r="D50">
        <v>8.8623039643821122E-2</v>
      </c>
      <c r="E50">
        <v>0.1699248178375177</v>
      </c>
      <c r="F50">
        <v>0.25194280534317759</v>
      </c>
      <c r="G50">
        <v>0.25194280534317759</v>
      </c>
      <c r="H50">
        <v>0.25194280534317759</v>
      </c>
      <c r="I50">
        <v>0.25194280534317759</v>
      </c>
    </row>
    <row r="51" spans="1:9">
      <c r="A51" s="4" t="s">
        <v>120</v>
      </c>
      <c r="B51">
        <v>0.3524312690488518</v>
      </c>
      <c r="C51">
        <v>0.105393651950856</v>
      </c>
      <c r="D51">
        <v>0.16404956137862131</v>
      </c>
      <c r="E51">
        <v>0.2471120972881847</v>
      </c>
      <c r="F51">
        <v>0.32943610271353058</v>
      </c>
      <c r="G51">
        <v>0.32943610271353058</v>
      </c>
      <c r="H51">
        <v>0.32943610271353058</v>
      </c>
      <c r="I51">
        <v>0.32943610271353058</v>
      </c>
    </row>
    <row r="52" spans="1:9">
      <c r="A52" s="4" t="s">
        <v>121</v>
      </c>
      <c r="B52">
        <v>0.29141001732272009</v>
      </c>
      <c r="C52">
        <v>2.3467056952062752E-2</v>
      </c>
      <c r="D52">
        <v>0.11880610219922259</v>
      </c>
      <c r="E52">
        <v>0.1637841187500868</v>
      </c>
      <c r="F52">
        <v>0.26550365984188579</v>
      </c>
      <c r="G52">
        <v>0.26550365984188579</v>
      </c>
      <c r="H52">
        <v>0.26550365984188579</v>
      </c>
      <c r="I52">
        <v>0.26550365984188579</v>
      </c>
    </row>
    <row r="53" spans="1:9">
      <c r="A53" s="4" t="s">
        <v>122</v>
      </c>
      <c r="B53">
        <v>0.30699574700308507</v>
      </c>
      <c r="C53">
        <v>3.9494798580949668E-2</v>
      </c>
      <c r="D53">
        <v>0.13692092754166901</v>
      </c>
      <c r="E53">
        <v>0.1851239411251627</v>
      </c>
      <c r="F53">
        <v>0.28584370944240489</v>
      </c>
      <c r="G53">
        <v>0.28584370944240489</v>
      </c>
      <c r="H53">
        <v>0.28584370944240489</v>
      </c>
      <c r="I53">
        <v>0.28584370944240489</v>
      </c>
    </row>
    <row r="54" spans="1:9">
      <c r="A54" s="4" t="s">
        <v>123</v>
      </c>
      <c r="B54">
        <v>0.32609131172459271</v>
      </c>
      <c r="C54">
        <v>6.2120161017276132E-2</v>
      </c>
      <c r="D54">
        <v>9.3792415037389887E-2</v>
      </c>
      <c r="E54">
        <v>0.27910120198358263</v>
      </c>
      <c r="F54">
        <v>0.32829933353293761</v>
      </c>
      <c r="G54">
        <v>0.32829933353293761</v>
      </c>
      <c r="H54">
        <v>0.32829933353293761</v>
      </c>
      <c r="I54">
        <v>0.32829933353293761</v>
      </c>
    </row>
    <row r="55" spans="1:9">
      <c r="A55" s="4" t="s">
        <v>124</v>
      </c>
      <c r="B55">
        <v>0.34676199524840873</v>
      </c>
      <c r="C55">
        <v>8.3699948253588174E-2</v>
      </c>
      <c r="D55">
        <v>0.1191684353334459</v>
      </c>
      <c r="E55">
        <v>0.30758163178369302</v>
      </c>
      <c r="F55">
        <v>0.35401798023787567</v>
      </c>
      <c r="G55">
        <v>0.35401798023787567</v>
      </c>
      <c r="H55">
        <v>0.35401798023787567</v>
      </c>
      <c r="I55">
        <v>0.35401798023787567</v>
      </c>
    </row>
    <row r="56" spans="1:9">
      <c r="A56" s="4" t="s">
        <v>132</v>
      </c>
      <c r="B56" s="28">
        <f>(B50*B$64^(10/3))/(B$17^(10/3))</f>
        <v>113.41744596149626</v>
      </c>
      <c r="C56" s="28">
        <f>(C50*C$64^(10/3))/(C$17^(10/3))</f>
        <v>833.31725218046654</v>
      </c>
      <c r="D56" s="28">
        <f>(D50*D$64^(10/3))/(D$17^(10/3))</f>
        <v>243.28327454063728</v>
      </c>
      <c r="E56" s="28">
        <f>(E50*E$64^(10/3))/(E$17^(10/3))</f>
        <v>296.41400768054854</v>
      </c>
      <c r="F56" s="28">
        <f>(F50*F$64^(10/3))/(F$17^(10/3))</f>
        <v>819.21525606875491</v>
      </c>
      <c r="G56" s="28">
        <f>(G50*G$64^(10/3))/(G$17^(10/3))</f>
        <v>1.7649457662778753E-4</v>
      </c>
      <c r="H56" s="28">
        <f>(H50*H$64^(10/3))/(H$17^(10/3))</f>
        <v>490.05188723678293</v>
      </c>
      <c r="I56" s="28">
        <f>(I50*I$64^(10/3))/(I$17^(10/3))</f>
        <v>1.0557847857785165E-4</v>
      </c>
    </row>
    <row r="57" spans="1:9">
      <c r="A57" s="4" t="s">
        <v>133</v>
      </c>
      <c r="B57" s="28">
        <f>(B51*B$64^(10/3))/(B$17^(10/3))</f>
        <v>138.57671162372117</v>
      </c>
      <c r="C57" s="28">
        <f>(C51*C$64^(10/3))/(C$17^(10/3))</f>
        <v>2328.0522350128654</v>
      </c>
      <c r="D57" s="28">
        <f>(D51*D$64^(10/3))/(D$17^(10/3))</f>
        <v>450.34016706657667</v>
      </c>
      <c r="E57" s="28">
        <f>(E51*E$64^(10/3))/(E$17^(10/3))</f>
        <v>431.0582058329806</v>
      </c>
      <c r="F57" s="28">
        <f>(F51*F$64^(10/3))/(F$17^(10/3))</f>
        <v>1071.191855925985</v>
      </c>
      <c r="G57" s="28">
        <f>(G51*G$64^(10/3))/(G$17^(10/3))</f>
        <v>2.3078128940865741E-4</v>
      </c>
      <c r="H57" s="28">
        <f>(H51*H$64^(10/3))/(H$17^(10/3))</f>
        <v>640.78346527416727</v>
      </c>
      <c r="I57" s="28">
        <f>(I51*I$64^(10/3))/(I$17^(10/3))</f>
        <v>1.3805261263855048E-4</v>
      </c>
    </row>
    <row r="58" spans="1:9">
      <c r="A58" s="4" t="s">
        <v>134</v>
      </c>
      <c r="B58" s="28">
        <f>(B52*B$62^(10/3))/(B$16^(10/3))</f>
        <v>27.508590218238286</v>
      </c>
      <c r="C58" s="28">
        <f t="shared" ref="C58:I58" si="31">(C52*C$62^(10/3))/(C$16^(10/3))</f>
        <v>4.9746517960249812E-5</v>
      </c>
      <c r="D58" s="28">
        <f t="shared" si="31"/>
        <v>22.774354232295515</v>
      </c>
      <c r="E58" s="28">
        <f t="shared" si="31"/>
        <v>1.7215462233767611E-6</v>
      </c>
      <c r="F58" s="28">
        <f t="shared" si="31"/>
        <v>65.180320153746422</v>
      </c>
      <c r="G58" s="28">
        <f t="shared" si="31"/>
        <v>65.180320153746422</v>
      </c>
      <c r="H58" s="28">
        <f t="shared" si="31"/>
        <v>270.9599348299364</v>
      </c>
      <c r="I58" s="28">
        <f t="shared" si="31"/>
        <v>270.9599348299364</v>
      </c>
    </row>
    <row r="59" spans="1:9">
      <c r="A59" s="4" t="s">
        <v>135</v>
      </c>
      <c r="B59" s="28">
        <f>(B53*B$62^(10/3))/(B$16^(10/3))</f>
        <v>28.979855533577762</v>
      </c>
      <c r="C59" s="28">
        <f t="shared" ref="C59:I59" si="32">(C53*C$62^(10/3))/(C$16^(10/3))</f>
        <v>8.3722842236122922E-5</v>
      </c>
      <c r="D59" s="28">
        <f t="shared" si="32"/>
        <v>26.246847997920781</v>
      </c>
      <c r="E59" s="28">
        <f t="shared" si="32"/>
        <v>1.9458505753353258E-6</v>
      </c>
      <c r="F59" s="28">
        <f t="shared" si="32"/>
        <v>70.17373887232246</v>
      </c>
      <c r="G59" s="28">
        <f t="shared" si="32"/>
        <v>70.17373887232246</v>
      </c>
      <c r="H59" s="28">
        <f t="shared" si="32"/>
        <v>291.71798583938943</v>
      </c>
      <c r="I59" s="28">
        <f t="shared" si="32"/>
        <v>291.71798583938943</v>
      </c>
    </row>
    <row r="60" spans="1:9">
      <c r="A60" s="4" t="s">
        <v>136</v>
      </c>
      <c r="B60" s="28">
        <f>(B54*B$63^(10/3))/(B$16^(10/3))</f>
        <v>33.188236940419529</v>
      </c>
      <c r="C60" s="28">
        <f>(C54*C$63^(10/3))/(C$16^(10/3))</f>
        <v>2.3840485455620605E-4</v>
      </c>
      <c r="D60" s="28">
        <f>(D54*D$63^(10/3))/(D$16^(10/3))</f>
        <v>12.143948916517607</v>
      </c>
      <c r="E60" s="28">
        <f>(E54*E$63^(10/3))/(E$16^(10/3))</f>
        <v>7.3245114633579287E-6</v>
      </c>
      <c r="F60" s="28">
        <f>(F54*F$63^(10/3))/(F$16^(10/3))</f>
        <v>122.05177651855068</v>
      </c>
      <c r="G60" s="28">
        <f>(G54*G$63^(10/3))/(G$16^(10/3))</f>
        <v>122.05177651855068</v>
      </c>
      <c r="H60" s="28">
        <f>(H54*H$63^(10/3))/(H$16^(10/3))</f>
        <v>507.3792416689073</v>
      </c>
      <c r="I60" s="28">
        <f>(I54*I$63^(10/3))/(I$16^(10/3))</f>
        <v>507.3792416689073</v>
      </c>
    </row>
    <row r="61" spans="1:9">
      <c r="A61" s="4" t="s">
        <v>137</v>
      </c>
      <c r="B61">
        <f>(B55*B$63^(10/3))/(B$16^(10/3))</f>
        <v>35.292014372822351</v>
      </c>
      <c r="C61">
        <f>(C55*C$63^(10/3))/(C$16^(10/3))</f>
        <v>3.2122379696036455E-4</v>
      </c>
      <c r="D61">
        <f>(D55*D$63^(10/3))/(D$16^(10/3))</f>
        <v>15.429556756522256</v>
      </c>
      <c r="E61">
        <f>(E55*E$63^(10/3))/(E$16^(10/3))</f>
        <v>8.0719293643547873E-6</v>
      </c>
      <c r="F61">
        <f>(F55*F$63^(10/3))/(F$16^(10/3))</f>
        <v>131.61319257812892</v>
      </c>
      <c r="G61">
        <f>(G55*G$63^(10/3))/(G$16^(10/3))</f>
        <v>131.61319257812892</v>
      </c>
      <c r="H61">
        <f>(H55*H$63^(10/3))/(H$16^(10/3))</f>
        <v>547.12683214213871</v>
      </c>
      <c r="I61">
        <f>(I55*I$63^(10/3))/(I$16^(10/3))</f>
        <v>547.12683214213871</v>
      </c>
    </row>
    <row r="62" spans="1:9">
      <c r="A62" s="4" t="s">
        <v>144</v>
      </c>
      <c r="B62">
        <v>117384.40741471344</v>
      </c>
      <c r="C62">
        <v>252354.58552319254</v>
      </c>
      <c r="D62">
        <v>193571.8445231849</v>
      </c>
      <c r="E62">
        <v>128396.75895488853</v>
      </c>
      <c r="F62">
        <v>119878.59083757727</v>
      </c>
      <c r="G62">
        <v>119878.59083757727</v>
      </c>
      <c r="H62">
        <v>119878.59083757727</v>
      </c>
      <c r="I62">
        <v>119878.59083757727</v>
      </c>
    </row>
    <row r="63" spans="1:9">
      <c r="A63" s="4" t="s">
        <v>145</v>
      </c>
      <c r="B63">
        <v>120064.53438319845</v>
      </c>
      <c r="C63">
        <v>301539.86717319238</v>
      </c>
      <c r="D63">
        <v>172074.95128440741</v>
      </c>
      <c r="E63">
        <v>168952.6772995271</v>
      </c>
      <c r="F63">
        <v>135771.95366221218</v>
      </c>
      <c r="G63">
        <v>135771.95366221218</v>
      </c>
      <c r="H63">
        <v>135771.95366221218</v>
      </c>
      <c r="I63">
        <v>135771.95366221218</v>
      </c>
    </row>
    <row r="64" spans="1:9">
      <c r="A64" s="4" t="s">
        <v>146</v>
      </c>
      <c r="B64">
        <v>120064.53438319845</v>
      </c>
      <c r="C64">
        <v>301539.86717319238</v>
      </c>
      <c r="D64">
        <v>193571.8445231849</v>
      </c>
      <c r="E64">
        <v>168952.6772995271</v>
      </c>
      <c r="F64">
        <v>135771.95366221218</v>
      </c>
      <c r="G64">
        <v>135771.95366221218</v>
      </c>
      <c r="H64">
        <v>135771.95366221218</v>
      </c>
      <c r="I64">
        <v>135771.95366221218</v>
      </c>
    </row>
    <row r="65" spans="1:9">
      <c r="A65" s="4" t="s">
        <v>125</v>
      </c>
      <c r="B65">
        <f>B18*4/6400000</f>
        <v>6.25E-2</v>
      </c>
      <c r="C65">
        <f t="shared" ref="C65:I65" si="33">C18*4/6400000</f>
        <v>6.25E-2</v>
      </c>
      <c r="D65">
        <f t="shared" si="33"/>
        <v>6.25E-2</v>
      </c>
      <c r="E65">
        <f t="shared" si="33"/>
        <v>6.25E-2</v>
      </c>
      <c r="F65">
        <f t="shared" si="33"/>
        <v>6.25E-2</v>
      </c>
      <c r="G65">
        <f t="shared" si="33"/>
        <v>6.25E-2</v>
      </c>
      <c r="H65">
        <f t="shared" si="33"/>
        <v>6.25E-2</v>
      </c>
      <c r="I65">
        <f t="shared" si="33"/>
        <v>6.25E-2</v>
      </c>
    </row>
    <row r="66" spans="1:9">
      <c r="A66" s="4" t="s">
        <v>126</v>
      </c>
      <c r="B66">
        <f>10000000 /B4/6400000</f>
        <v>3.4722222222222225E-3</v>
      </c>
      <c r="C66">
        <f t="shared" ref="C66:I66" si="34">10000000 /C4/6400000</f>
        <v>3.4722222222222225E-3</v>
      </c>
      <c r="D66">
        <f t="shared" si="34"/>
        <v>3.4722222222222225E-3</v>
      </c>
      <c r="E66">
        <f t="shared" si="34"/>
        <v>3.4722222222222225E-3</v>
      </c>
      <c r="F66">
        <f t="shared" si="34"/>
        <v>3.4722222222222225E-3</v>
      </c>
      <c r="G66">
        <f t="shared" si="34"/>
        <v>3.4722222222222225E-3</v>
      </c>
      <c r="H66">
        <f t="shared" si="34"/>
        <v>3.4722222222222225E-3</v>
      </c>
      <c r="I66">
        <f t="shared" si="34"/>
        <v>3.4722222222222225E-3</v>
      </c>
    </row>
    <row r="67" spans="1:9">
      <c r="A67" s="4" t="s">
        <v>147</v>
      </c>
      <c r="B67">
        <f>B$46*B$73/(1.1*(B75^(3/10)))</f>
        <v>67927.006632551129</v>
      </c>
      <c r="C67">
        <f t="shared" ref="C67:I67" si="35">C$46*C$73/(1.1*(C75^(3/10)))</f>
        <v>3673951.7635904369</v>
      </c>
      <c r="D67">
        <f t="shared" si="35"/>
        <v>79894.261860556071</v>
      </c>
      <c r="E67">
        <f t="shared" si="35"/>
        <v>10938903.816847701</v>
      </c>
      <c r="F67">
        <f t="shared" si="35"/>
        <v>44296.779234658927</v>
      </c>
      <c r="G67">
        <f t="shared" si="35"/>
        <v>44296.779234658927</v>
      </c>
      <c r="H67">
        <f t="shared" si="35"/>
        <v>549301.19444984011</v>
      </c>
      <c r="I67">
        <f t="shared" si="35"/>
        <v>549301.19444984011</v>
      </c>
    </row>
    <row r="68" spans="1:9">
      <c r="A68" s="4" t="s">
        <v>148</v>
      </c>
      <c r="B68">
        <f>B$46*B$73/(1.1*(B76^(3/10)))</f>
        <v>64207.790055707337</v>
      </c>
      <c r="C68">
        <f t="shared" ref="C68:I68" si="36">C$46*C$73/(1.1*(C76^(3/10)))</f>
        <v>2295978.0292876028</v>
      </c>
      <c r="D68">
        <f t="shared" si="36"/>
        <v>96480.918783783243</v>
      </c>
      <c r="E68">
        <f t="shared" si="36"/>
        <v>7084607.7712272303</v>
      </c>
      <c r="F68">
        <f t="shared" si="36"/>
        <v>36698.12415290135</v>
      </c>
      <c r="G68">
        <f t="shared" si="36"/>
        <v>36698.12415290135</v>
      </c>
      <c r="H68">
        <f t="shared" si="36"/>
        <v>455074.2464699297</v>
      </c>
      <c r="I68">
        <f t="shared" si="36"/>
        <v>455074.2464699297</v>
      </c>
    </row>
    <row r="69" spans="1:9">
      <c r="A69" s="4" t="s">
        <v>149</v>
      </c>
      <c r="B69">
        <f>B47*B74/(1.1*(B77^(3/10)))</f>
        <v>14100.398295485946</v>
      </c>
      <c r="C69">
        <f t="shared" ref="C69:I69" si="37">C47*C74/(1.1*(C77^(3/10)))</f>
        <v>2392.4739470913896</v>
      </c>
      <c r="D69">
        <f t="shared" si="37"/>
        <v>9030.9060985594551</v>
      </c>
      <c r="E69">
        <f t="shared" si="37"/>
        <v>8511.2899449900906</v>
      </c>
      <c r="F69">
        <f t="shared" si="37"/>
        <v>13525.114236038917</v>
      </c>
      <c r="G69">
        <f t="shared" si="37"/>
        <v>1352511.4236038916</v>
      </c>
      <c r="H69">
        <f t="shared" si="37"/>
        <v>3366.6576458050927</v>
      </c>
      <c r="I69">
        <f t="shared" si="37"/>
        <v>336665.76458050928</v>
      </c>
    </row>
    <row r="70" spans="1:9">
      <c r="A70" s="4" t="s">
        <v>153</v>
      </c>
      <c r="B70">
        <f>(0.005/B10)^(1/3)</f>
        <v>1</v>
      </c>
      <c r="C70">
        <f>(0.005/C10)^(1/3)</f>
        <v>1</v>
      </c>
      <c r="D70">
        <f>(0.005/D10)^(1/3)</f>
        <v>0.94103602888102855</v>
      </c>
      <c r="E70">
        <f>(0.005/E10)^(1/3)</f>
        <v>0.94103602888102855</v>
      </c>
      <c r="F70">
        <v>1</v>
      </c>
      <c r="G70">
        <v>1</v>
      </c>
      <c r="H70">
        <f>(0.005/H10)^(1/3)</f>
        <v>1</v>
      </c>
      <c r="I70">
        <f>(0.005/I10)^(1/3)</f>
        <v>1</v>
      </c>
    </row>
    <row r="71" spans="1:9">
      <c r="A71" s="4" t="s">
        <v>127</v>
      </c>
      <c r="B71">
        <v>1</v>
      </c>
      <c r="C71">
        <v>1</v>
      </c>
      <c r="D71">
        <f>D38</f>
        <v>1</v>
      </c>
      <c r="E71">
        <f t="shared" ref="E71:I71" si="38">E38</f>
        <v>1</v>
      </c>
      <c r="F71">
        <f t="shared" si="38"/>
        <v>0.93571428571428561</v>
      </c>
      <c r="G71">
        <f t="shared" si="38"/>
        <v>0.93571428571428561</v>
      </c>
      <c r="H71">
        <f t="shared" si="38"/>
        <v>0.85</v>
      </c>
      <c r="I71">
        <f t="shared" si="38"/>
        <v>0.85</v>
      </c>
    </row>
    <row r="72" spans="1:9">
      <c r="A72" s="4" t="s">
        <v>128</v>
      </c>
      <c r="B72">
        <v>1</v>
      </c>
      <c r="C72">
        <f>C38</f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</row>
    <row r="73" spans="1:9">
      <c r="A73" s="4" t="s">
        <v>129</v>
      </c>
      <c r="B73">
        <f>B71*B$70*B$5*1</f>
        <v>1</v>
      </c>
      <c r="C73">
        <f>C71*C$70*C$5*1</f>
        <v>1</v>
      </c>
      <c r="D73">
        <f>D71*D$70*D$5*1</f>
        <v>0.94103602888102855</v>
      </c>
      <c r="E73">
        <f>E71*E$70*E$5*1</f>
        <v>0.94103602888102855</v>
      </c>
      <c r="F73">
        <f>F71*F$70*F$5*1</f>
        <v>0.93571428571428561</v>
      </c>
      <c r="G73">
        <f>G71*G$70*G$5*1</f>
        <v>0.93571428571428561</v>
      </c>
      <c r="H73">
        <f>H71*H$70*H$5*1</f>
        <v>0.85</v>
      </c>
      <c r="I73">
        <f>I71*I$70*I$5*1</f>
        <v>0.85</v>
      </c>
    </row>
    <row r="74" spans="1:9">
      <c r="A74" s="4" t="s">
        <v>156</v>
      </c>
      <c r="B74">
        <f>B72*B$70*B$5*1</f>
        <v>1</v>
      </c>
      <c r="C74">
        <f t="shared" ref="C74:I74" si="39">C72*C$70*C$5*1</f>
        <v>1</v>
      </c>
      <c r="D74">
        <f t="shared" si="39"/>
        <v>0.94103602888102855</v>
      </c>
      <c r="E74">
        <f t="shared" si="39"/>
        <v>0.94103602888102855</v>
      </c>
      <c r="F74">
        <f t="shared" si="39"/>
        <v>1</v>
      </c>
      <c r="G74">
        <f t="shared" si="39"/>
        <v>1</v>
      </c>
      <c r="H74">
        <f t="shared" si="39"/>
        <v>1</v>
      </c>
      <c r="I74">
        <f t="shared" si="39"/>
        <v>1</v>
      </c>
    </row>
    <row r="75" spans="1:9">
      <c r="A75" s="29" t="s">
        <v>150</v>
      </c>
      <c r="B75">
        <f>(B$66*B58)</f>
        <v>9.5515938257771826E-2</v>
      </c>
      <c r="C75">
        <f t="shared" ref="C75:I75" si="40">(C$66*C58)</f>
        <v>1.727309651397563E-7</v>
      </c>
      <c r="D75">
        <f t="shared" si="40"/>
        <v>7.9077618862137211E-2</v>
      </c>
      <c r="E75">
        <f t="shared" si="40"/>
        <v>5.9775910533915325E-9</v>
      </c>
      <c r="F75">
        <f t="shared" si="40"/>
        <v>0.2263205560893973</v>
      </c>
      <c r="G75">
        <f t="shared" si="40"/>
        <v>0.2263205560893973</v>
      </c>
      <c r="H75">
        <f t="shared" si="40"/>
        <v>0.94083310704839029</v>
      </c>
      <c r="I75">
        <f t="shared" si="40"/>
        <v>0.94083310704839029</v>
      </c>
    </row>
    <row r="76" spans="1:9">
      <c r="A76" s="29" t="s">
        <v>151</v>
      </c>
      <c r="B76">
        <f>(B$66*B60)</f>
        <v>0.11523693382090115</v>
      </c>
      <c r="C76">
        <f t="shared" ref="C76:I76" si="41">(C$66*C60)</f>
        <v>8.2779463387571555E-7</v>
      </c>
      <c r="D76">
        <f t="shared" si="41"/>
        <v>4.2166489293463914E-2</v>
      </c>
      <c r="E76">
        <f t="shared" si="41"/>
        <v>2.5432331469992809E-8</v>
      </c>
      <c r="F76">
        <f t="shared" si="41"/>
        <v>0.42379089068941211</v>
      </c>
      <c r="G76">
        <f t="shared" si="41"/>
        <v>0.42379089068941211</v>
      </c>
      <c r="H76">
        <f t="shared" si="41"/>
        <v>1.7617334780170393</v>
      </c>
      <c r="I76">
        <f t="shared" si="41"/>
        <v>1.7617334780170393</v>
      </c>
    </row>
    <row r="77" spans="1:9">
      <c r="A77" s="29" t="s">
        <v>152</v>
      </c>
      <c r="B77">
        <f>(B65*B56)</f>
        <v>7.088590372593516</v>
      </c>
      <c r="C77">
        <f t="shared" ref="C77:I77" si="42">(C65*C56)</f>
        <v>52.082328261279159</v>
      </c>
      <c r="D77">
        <f t="shared" si="42"/>
        <v>15.20520465878983</v>
      </c>
      <c r="E77">
        <f t="shared" si="42"/>
        <v>18.525875480034284</v>
      </c>
      <c r="F77">
        <f t="shared" si="42"/>
        <v>51.200953504297182</v>
      </c>
      <c r="G77">
        <f t="shared" si="42"/>
        <v>1.1030911039236721E-5</v>
      </c>
      <c r="H77">
        <f t="shared" si="42"/>
        <v>30.628242952298933</v>
      </c>
      <c r="I77">
        <f t="shared" si="42"/>
        <v>6.598654911115728E-6</v>
      </c>
    </row>
  </sheetData>
  <dataValidations count="1">
    <dataValidation type="whole" operator="greaterThanOrEqual" allowBlank="1" showInputMessage="1" showErrorMessage="1" sqref="B1:I1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rail_materials!#REF!</xm:f>
          </x14:formula1>
          <xm:sqref>B14:I14</xm:sqref>
        </x14:dataValidation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rail_materials!$A$3:$A$9</xm:f>
          </x14:formula1>
          <xm:sqref>B15:I15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K29" sqref="K29"/>
    </sheetView>
  </sheetViews>
  <sheetFormatPr baseColWidth="10" defaultRowHeight="14.5"/>
  <cols>
    <col min="1" max="1" width="46" bestFit="1" customWidth="1"/>
  </cols>
  <sheetData>
    <row r="1" spans="1:10">
      <c r="A1" t="s">
        <v>47</v>
      </c>
      <c r="B1" t="s">
        <v>48</v>
      </c>
      <c r="C1">
        <v>24.9397924881983</v>
      </c>
      <c r="D1">
        <v>29.846033506748501</v>
      </c>
      <c r="E1">
        <v>21.549071913738601</v>
      </c>
      <c r="F1">
        <v>30.724628045371599</v>
      </c>
      <c r="G1">
        <v>24.603567265875999</v>
      </c>
      <c r="H1">
        <v>24.603567265875999</v>
      </c>
      <c r="I1">
        <v>24.603567265875999</v>
      </c>
      <c r="J1">
        <v>24.603567265875999</v>
      </c>
    </row>
    <row r="2" spans="1:10">
      <c r="A2" t="s">
        <v>49</v>
      </c>
      <c r="B2" t="s">
        <v>50</v>
      </c>
      <c r="C2">
        <v>0.397534327540081</v>
      </c>
      <c r="D2">
        <v>0.38745672969163403</v>
      </c>
      <c r="E2">
        <v>0.27778552720397198</v>
      </c>
      <c r="F2">
        <v>0.38853068564494597</v>
      </c>
      <c r="G2">
        <v>0.39281645770158102</v>
      </c>
      <c r="H2">
        <v>0.39281645770158102</v>
      </c>
      <c r="I2">
        <v>0.39281645770158102</v>
      </c>
      <c r="J2">
        <v>0.39281645770158102</v>
      </c>
    </row>
    <row r="3" spans="1:10">
      <c r="A3" t="s">
        <v>51</v>
      </c>
      <c r="B3" t="s">
        <v>52</v>
      </c>
      <c r="C3">
        <v>310.53423258511901</v>
      </c>
      <c r="D3">
        <v>311.82631932244198</v>
      </c>
      <c r="E3">
        <v>262.54231664112598</v>
      </c>
      <c r="F3">
        <v>334.01554867815503</v>
      </c>
      <c r="G3">
        <v>217.83710715883799</v>
      </c>
      <c r="H3">
        <v>217.83710715883799</v>
      </c>
      <c r="I3">
        <v>217.83710715883799</v>
      </c>
      <c r="J3">
        <v>217.83710715883799</v>
      </c>
    </row>
    <row r="4" spans="1:10">
      <c r="A4" t="s">
        <v>53</v>
      </c>
      <c r="B4" t="s">
        <v>54</v>
      </c>
      <c r="C4">
        <v>0.43852951083798603</v>
      </c>
      <c r="D4">
        <v>0.27896020164795099</v>
      </c>
      <c r="E4">
        <v>0.41639127372561502</v>
      </c>
      <c r="F4">
        <v>0.36908011038102101</v>
      </c>
      <c r="G4">
        <v>0.33759378483001701</v>
      </c>
      <c r="H4">
        <v>0.33759378483001701</v>
      </c>
      <c r="I4">
        <v>0.33759378483001701</v>
      </c>
      <c r="J4">
        <v>0.33759378483001701</v>
      </c>
    </row>
    <row r="5" spans="1:10">
      <c r="A5" t="s">
        <v>55</v>
      </c>
      <c r="B5" t="s">
        <v>56</v>
      </c>
      <c r="C5">
        <v>9592.8821295104699</v>
      </c>
      <c r="D5">
        <v>13728.6250951821</v>
      </c>
      <c r="E5">
        <v>9530.9428397424908</v>
      </c>
      <c r="F5">
        <v>11844.471056845599</v>
      </c>
      <c r="G5">
        <v>7039.1850549506698</v>
      </c>
      <c r="H5">
        <v>7039.1850549506698</v>
      </c>
      <c r="I5">
        <v>7039.1850549506698</v>
      </c>
      <c r="J5">
        <v>7039.1850549506698</v>
      </c>
    </row>
    <row r="6" spans="1:10">
      <c r="A6" t="s">
        <v>57</v>
      </c>
      <c r="B6" t="s">
        <v>58</v>
      </c>
      <c r="C6">
        <v>6.9859353305379797</v>
      </c>
      <c r="D6">
        <v>4.8667038063889603</v>
      </c>
      <c r="E6">
        <v>5.9682746322479998</v>
      </c>
      <c r="F6">
        <v>7.6920989582716999</v>
      </c>
      <c r="G6">
        <v>7.9973902757422897</v>
      </c>
      <c r="H6">
        <v>7.9973902757422897</v>
      </c>
      <c r="I6">
        <v>7.9973902757422897</v>
      </c>
      <c r="J6">
        <v>7.9973902757422897</v>
      </c>
    </row>
    <row r="7" spans="1:10">
      <c r="A7" t="s">
        <v>59</v>
      </c>
      <c r="B7" t="s">
        <v>60</v>
      </c>
      <c r="C7">
        <v>0.36032232455732299</v>
      </c>
      <c r="D7">
        <v>0.43263553136410199</v>
      </c>
      <c r="E7">
        <v>0.311870213321776</v>
      </c>
      <c r="F7">
        <v>0.34484796209278801</v>
      </c>
      <c r="G7">
        <v>0.43685550941856799</v>
      </c>
      <c r="H7">
        <v>0.43685550941856799</v>
      </c>
      <c r="I7">
        <v>0.43685550941856799</v>
      </c>
      <c r="J7">
        <v>0.43685550941856799</v>
      </c>
    </row>
    <row r="8" spans="1:10">
      <c r="A8" t="s">
        <v>61</v>
      </c>
      <c r="B8" t="s">
        <v>62</v>
      </c>
      <c r="C8">
        <v>235.360704664796</v>
      </c>
      <c r="D8">
        <v>208.806759033595</v>
      </c>
      <c r="E8">
        <v>226.06765407211699</v>
      </c>
      <c r="F8">
        <v>392.86734368371702</v>
      </c>
      <c r="G8">
        <v>391.55736926069602</v>
      </c>
      <c r="H8">
        <v>391.55736926069602</v>
      </c>
      <c r="I8">
        <v>391.55736926069602</v>
      </c>
      <c r="J8">
        <v>391.55736926069602</v>
      </c>
    </row>
    <row r="9" spans="1:10">
      <c r="A9" t="s">
        <v>63</v>
      </c>
      <c r="B9" t="s">
        <v>64</v>
      </c>
      <c r="C9">
        <v>3620.8448324163101</v>
      </c>
      <c r="D9">
        <v>2311.15858694705</v>
      </c>
      <c r="E9">
        <v>2343.2994179618399</v>
      </c>
      <c r="F9">
        <v>4284.9699230713404</v>
      </c>
      <c r="G9">
        <v>3659.2272904198899</v>
      </c>
      <c r="H9">
        <v>3659.2272904198899</v>
      </c>
      <c r="I9">
        <v>3659.2272904198899</v>
      </c>
      <c r="J9">
        <v>3659.2272904198899</v>
      </c>
    </row>
    <row r="10" spans="1:10">
      <c r="A10" t="s">
        <v>65</v>
      </c>
      <c r="B10" t="s">
        <v>66</v>
      </c>
      <c r="C10">
        <v>1.13373577673032</v>
      </c>
      <c r="D10">
        <v>2.4258179969420199</v>
      </c>
      <c r="E10">
        <v>2.3873285971102698</v>
      </c>
      <c r="F10">
        <v>1.4564750409017799</v>
      </c>
      <c r="G10">
        <v>0.99721191005946297</v>
      </c>
      <c r="H10">
        <v>0.99721191005946297</v>
      </c>
      <c r="I10">
        <v>0.99721191005946297</v>
      </c>
      <c r="J10">
        <v>0.99721191005946297</v>
      </c>
    </row>
    <row r="11" spans="1:10">
      <c r="A11" t="s">
        <v>67</v>
      </c>
      <c r="B11" t="s">
        <v>68</v>
      </c>
      <c r="C11">
        <v>0.67575877439752896</v>
      </c>
      <c r="D11">
        <v>0.51712000434017502</v>
      </c>
      <c r="E11">
        <v>0.801477721483979</v>
      </c>
      <c r="F11">
        <v>9.8010774605840997E-2</v>
      </c>
      <c r="G11">
        <v>0.74159415955053198</v>
      </c>
      <c r="H11">
        <v>0.74159415955053198</v>
      </c>
      <c r="I11">
        <v>0.74159415955053198</v>
      </c>
      <c r="J11">
        <v>0.74159415955053198</v>
      </c>
    </row>
    <row r="12" spans="1:10">
      <c r="A12" t="s">
        <v>69</v>
      </c>
      <c r="B12" t="s">
        <v>70</v>
      </c>
      <c r="C12">
        <v>3.8387980542432998</v>
      </c>
      <c r="D12">
        <v>1.8776339003870799</v>
      </c>
      <c r="E12">
        <v>3.3657208787845398</v>
      </c>
      <c r="F12">
        <v>2.4178541756165899</v>
      </c>
      <c r="G12">
        <v>1.56466211459187</v>
      </c>
      <c r="H12">
        <v>1.56466211459187</v>
      </c>
      <c r="I12">
        <v>1.56466211459187</v>
      </c>
      <c r="J12">
        <v>1.56466211459187</v>
      </c>
    </row>
    <row r="13" spans="1:10">
      <c r="A13" t="s">
        <v>71</v>
      </c>
      <c r="B13" t="s">
        <v>72</v>
      </c>
      <c r="C13">
        <v>0.82317441160238602</v>
      </c>
      <c r="D13">
        <v>0.63680145228157503</v>
      </c>
      <c r="E13">
        <v>0.85382760203728802</v>
      </c>
      <c r="F13">
        <v>0.594424181188418</v>
      </c>
      <c r="G13">
        <v>0.58201942471427504</v>
      </c>
      <c r="H13">
        <v>0.58201942471427504</v>
      </c>
      <c r="I13">
        <v>0.58201942471427504</v>
      </c>
      <c r="J13">
        <v>0.58201942471427504</v>
      </c>
    </row>
    <row r="14" spans="1:10">
      <c r="A14" t="s">
        <v>73</v>
      </c>
      <c r="B14" t="s">
        <v>74</v>
      </c>
      <c r="C14">
        <v>2351.0358557609202</v>
      </c>
      <c r="D14">
        <v>4305.6905785423696</v>
      </c>
      <c r="E14">
        <v>5592.7916508867802</v>
      </c>
      <c r="F14">
        <v>1093.0004954073299</v>
      </c>
      <c r="G14">
        <v>5316.4232733114604</v>
      </c>
      <c r="H14">
        <v>5316.4232733114604</v>
      </c>
      <c r="I14">
        <v>5316.4232733114604</v>
      </c>
      <c r="J14">
        <v>5316.4232733114604</v>
      </c>
    </row>
    <row r="15" spans="1:10">
      <c r="A15" t="s">
        <v>75</v>
      </c>
      <c r="B15" t="s">
        <v>76</v>
      </c>
      <c r="C15">
        <v>479.56427978543297</v>
      </c>
      <c r="D15">
        <v>342.07526272382</v>
      </c>
      <c r="E15">
        <v>629.09549703360005</v>
      </c>
      <c r="F15">
        <v>1336.8970567521501</v>
      </c>
      <c r="G15">
        <v>1431.3338377950799</v>
      </c>
      <c r="H15">
        <v>1431.3338377950799</v>
      </c>
      <c r="I15">
        <v>1431.3338377950799</v>
      </c>
      <c r="J15">
        <v>1431.3338377950799</v>
      </c>
    </row>
    <row r="16" spans="1:10">
      <c r="A16" t="s">
        <v>77</v>
      </c>
      <c r="B16" t="s">
        <v>78</v>
      </c>
      <c r="C16">
        <v>1.5209241133552001</v>
      </c>
      <c r="D16">
        <v>1.4611356146706</v>
      </c>
      <c r="E16">
        <v>1.17459338972312</v>
      </c>
      <c r="F16">
        <v>1.17980028181748</v>
      </c>
      <c r="G16">
        <v>0.97421919684422997</v>
      </c>
      <c r="H16">
        <v>0.97421919684422997</v>
      </c>
      <c r="I16">
        <v>0.97421919684422997</v>
      </c>
      <c r="J16">
        <v>0.97421919684422997</v>
      </c>
    </row>
    <row r="17" spans="1:10">
      <c r="A17" t="s">
        <v>79</v>
      </c>
      <c r="B17" t="s">
        <v>80</v>
      </c>
      <c r="C17">
        <v>148.023377589456</v>
      </c>
      <c r="D17">
        <v>196.39317107510001</v>
      </c>
      <c r="E17">
        <v>170.37252984731199</v>
      </c>
      <c r="F17">
        <v>285.26395874702098</v>
      </c>
      <c r="G17">
        <v>203.71546054260199</v>
      </c>
      <c r="H17">
        <v>203.71546054260199</v>
      </c>
      <c r="I17">
        <v>203.71546054260199</v>
      </c>
      <c r="J17">
        <v>203.71546054260199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9"/>
    </sheetView>
  </sheetViews>
  <sheetFormatPr baseColWidth="10" defaultRowHeight="14.5"/>
  <cols>
    <col min="1" max="1" width="18.453125" customWidth="1"/>
    <col min="3" max="3" width="18" customWidth="1"/>
    <col min="4" max="4" width="11.7265625" customWidth="1"/>
  </cols>
  <sheetData>
    <row r="1" spans="1:9" ht="56.25" customHeight="1">
      <c r="A1" s="5" t="s">
        <v>19</v>
      </c>
    </row>
    <row r="2" spans="1:9">
      <c r="A2" s="3" t="s">
        <v>7</v>
      </c>
      <c r="B2" s="3" t="s">
        <v>8</v>
      </c>
      <c r="C2" s="3" t="s">
        <v>9</v>
      </c>
      <c r="D2" s="3" t="s">
        <v>10</v>
      </c>
      <c r="E2" s="3" t="s">
        <v>5</v>
      </c>
      <c r="F2" s="3" t="s">
        <v>11</v>
      </c>
      <c r="G2" s="3" t="s">
        <v>12</v>
      </c>
      <c r="H2" s="3" t="s">
        <v>13</v>
      </c>
      <c r="I2" s="3" t="s">
        <v>83</v>
      </c>
    </row>
    <row r="3" spans="1:9">
      <c r="A3" s="5" t="s">
        <v>20</v>
      </c>
      <c r="B3" s="6" t="s">
        <v>22</v>
      </c>
      <c r="C3" s="6" t="s">
        <v>35</v>
      </c>
      <c r="D3" s="6">
        <v>0</v>
      </c>
      <c r="E3" s="6">
        <v>360</v>
      </c>
      <c r="F3" s="6">
        <v>125</v>
      </c>
      <c r="G3" s="6">
        <v>210000</v>
      </c>
      <c r="H3" s="6" t="s">
        <v>0</v>
      </c>
      <c r="I3" s="6">
        <v>0</v>
      </c>
    </row>
    <row r="4" spans="1:9">
      <c r="A4" s="5" t="s">
        <v>21</v>
      </c>
      <c r="B4" s="6" t="s">
        <v>22</v>
      </c>
      <c r="C4" s="6" t="s">
        <v>35</v>
      </c>
      <c r="D4" s="6">
        <v>0</v>
      </c>
      <c r="E4" s="6">
        <v>410</v>
      </c>
      <c r="F4" s="6">
        <v>145</v>
      </c>
      <c r="G4" s="6">
        <v>210000</v>
      </c>
      <c r="H4" s="6" t="s">
        <v>0</v>
      </c>
      <c r="I4" s="6">
        <v>0</v>
      </c>
    </row>
    <row r="5" spans="1:9">
      <c r="A5" s="5" t="s">
        <v>23</v>
      </c>
      <c r="B5" s="6" t="s">
        <v>22</v>
      </c>
      <c r="C5" s="6" t="s">
        <v>35</v>
      </c>
      <c r="D5" s="6">
        <v>0</v>
      </c>
      <c r="E5" s="6">
        <v>520</v>
      </c>
      <c r="F5" s="6">
        <v>175</v>
      </c>
      <c r="G5" s="6">
        <v>210000</v>
      </c>
      <c r="H5" s="6" t="s">
        <v>0</v>
      </c>
      <c r="I5" s="6">
        <v>0</v>
      </c>
    </row>
    <row r="6" spans="1:9">
      <c r="A6" s="5" t="s">
        <v>24</v>
      </c>
      <c r="B6" s="6" t="s">
        <v>25</v>
      </c>
      <c r="C6" s="7" t="s">
        <v>29</v>
      </c>
      <c r="D6" s="6">
        <v>0</v>
      </c>
      <c r="E6" s="6">
        <v>760</v>
      </c>
      <c r="F6" s="6">
        <v>225</v>
      </c>
      <c r="G6" s="6">
        <v>210000</v>
      </c>
      <c r="H6" s="6" t="s">
        <v>0</v>
      </c>
      <c r="I6" s="6">
        <v>0</v>
      </c>
    </row>
    <row r="7" spans="1:9">
      <c r="A7" s="5" t="s">
        <v>26</v>
      </c>
      <c r="B7" s="6" t="s">
        <v>27</v>
      </c>
      <c r="C7" s="7" t="s">
        <v>30</v>
      </c>
      <c r="D7" s="6">
        <v>0</v>
      </c>
      <c r="E7" s="6">
        <v>520</v>
      </c>
      <c r="F7" s="6">
        <v>155</v>
      </c>
      <c r="G7" s="6">
        <v>210000</v>
      </c>
      <c r="H7" s="6" t="s">
        <v>0</v>
      </c>
      <c r="I7" s="6">
        <v>0</v>
      </c>
    </row>
    <row r="8" spans="1:9">
      <c r="A8" s="5" t="s">
        <v>28</v>
      </c>
      <c r="B8" s="6" t="s">
        <v>27</v>
      </c>
      <c r="C8" s="6" t="s">
        <v>31</v>
      </c>
      <c r="D8" s="6">
        <v>0</v>
      </c>
      <c r="E8" s="6">
        <v>640</v>
      </c>
      <c r="F8" s="6">
        <v>190</v>
      </c>
      <c r="G8" s="6">
        <v>210000</v>
      </c>
      <c r="H8" s="6" t="s">
        <v>0</v>
      </c>
      <c r="I8" s="6">
        <v>0</v>
      </c>
    </row>
    <row r="9" spans="1:9">
      <c r="A9" s="5" t="s">
        <v>32</v>
      </c>
      <c r="B9" s="6" t="s">
        <v>33</v>
      </c>
      <c r="C9" s="6" t="s">
        <v>34</v>
      </c>
      <c r="D9" s="6">
        <v>0</v>
      </c>
      <c r="E9" s="6">
        <v>870</v>
      </c>
      <c r="F9" s="6">
        <v>260</v>
      </c>
      <c r="G9" s="6">
        <v>210000</v>
      </c>
      <c r="H9" s="6" t="s">
        <v>0</v>
      </c>
      <c r="I9" s="6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5" sqref="G15"/>
    </sheetView>
  </sheetViews>
  <sheetFormatPr baseColWidth="10" defaultRowHeight="14.5"/>
  <cols>
    <col min="1" max="1" width="29.81640625" customWidth="1"/>
    <col min="2" max="2" width="10.54296875" bestFit="1" customWidth="1"/>
    <col min="3" max="3" width="20.453125" bestFit="1" customWidth="1"/>
    <col min="4" max="4" width="24.7265625" bestFit="1" customWidth="1"/>
    <col min="5" max="5" width="9.453125" customWidth="1"/>
  </cols>
  <sheetData>
    <row r="1" spans="1:10" ht="48.75" customHeight="1">
      <c r="A1" s="15" t="s">
        <v>6</v>
      </c>
      <c r="B1" s="26" t="s">
        <v>37</v>
      </c>
      <c r="C1" s="27"/>
      <c r="D1" s="27"/>
      <c r="E1" s="27"/>
      <c r="F1" s="27"/>
      <c r="G1" s="27"/>
      <c r="H1" s="27"/>
      <c r="I1" s="27"/>
    </row>
    <row r="2" spans="1:10">
      <c r="A2" s="9" t="s">
        <v>7</v>
      </c>
      <c r="B2" s="9" t="s">
        <v>8</v>
      </c>
      <c r="C2" s="9" t="s">
        <v>9</v>
      </c>
      <c r="D2" s="9" t="s">
        <v>10</v>
      </c>
      <c r="E2" s="9" t="s">
        <v>83</v>
      </c>
      <c r="F2" s="9" t="s">
        <v>5</v>
      </c>
      <c r="G2" s="9" t="s">
        <v>11</v>
      </c>
      <c r="H2" s="9" t="s">
        <v>12</v>
      </c>
      <c r="I2" s="9" t="s">
        <v>13</v>
      </c>
      <c r="J2" s="9" t="s">
        <v>96</v>
      </c>
    </row>
    <row r="3" spans="1:10">
      <c r="A3" s="5" t="s">
        <v>38</v>
      </c>
      <c r="B3" s="5" t="s">
        <v>14</v>
      </c>
      <c r="C3" s="14">
        <v>1.6552</v>
      </c>
      <c r="D3" s="5">
        <v>0</v>
      </c>
      <c r="E3" s="5">
        <v>0</v>
      </c>
      <c r="F3" s="5">
        <v>520</v>
      </c>
      <c r="G3" s="5">
        <v>1000</v>
      </c>
      <c r="H3" s="5">
        <v>210000</v>
      </c>
      <c r="I3" s="12">
        <v>0.2</v>
      </c>
      <c r="J3" s="22">
        <v>0</v>
      </c>
    </row>
    <row r="4" spans="1:10">
      <c r="A4" s="5" t="s">
        <v>39</v>
      </c>
      <c r="B4" s="12" t="s">
        <v>15</v>
      </c>
      <c r="C4" s="13">
        <v>0.70599999999999996</v>
      </c>
      <c r="D4" s="5">
        <v>0</v>
      </c>
      <c r="E4" s="5">
        <v>0</v>
      </c>
      <c r="F4" s="12">
        <v>600</v>
      </c>
      <c r="G4" s="12">
        <v>210</v>
      </c>
      <c r="H4" s="5">
        <v>177000</v>
      </c>
      <c r="I4" s="12">
        <v>0.2</v>
      </c>
      <c r="J4" s="22">
        <v>0</v>
      </c>
    </row>
    <row r="5" spans="1:10">
      <c r="A5" s="5" t="s">
        <v>40</v>
      </c>
      <c r="B5" s="12" t="s">
        <v>15</v>
      </c>
      <c r="C5" s="13">
        <v>0.70699999999999996</v>
      </c>
      <c r="D5" s="5">
        <v>0</v>
      </c>
      <c r="E5" s="5">
        <v>0</v>
      </c>
      <c r="F5" s="12">
        <v>700</v>
      </c>
      <c r="G5" s="12">
        <v>245</v>
      </c>
      <c r="H5" s="5">
        <v>180000</v>
      </c>
      <c r="I5" s="12">
        <v>0.2</v>
      </c>
      <c r="J5" s="22">
        <v>0</v>
      </c>
    </row>
    <row r="6" spans="1:10">
      <c r="A6" s="5" t="s">
        <v>41</v>
      </c>
      <c r="B6" s="12" t="s">
        <v>16</v>
      </c>
      <c r="C6" s="13">
        <v>1.7218</v>
      </c>
      <c r="D6" s="5">
        <v>0</v>
      </c>
      <c r="E6" s="5">
        <v>0</v>
      </c>
      <c r="F6" s="12">
        <v>650</v>
      </c>
      <c r="G6" s="12">
        <v>190</v>
      </c>
      <c r="H6" s="5">
        <v>210000</v>
      </c>
      <c r="I6" s="12">
        <v>0.2</v>
      </c>
      <c r="J6" s="22">
        <v>0</v>
      </c>
    </row>
    <row r="7" spans="1:10">
      <c r="A7" s="5" t="s">
        <v>42</v>
      </c>
      <c r="B7" s="12" t="s">
        <v>16</v>
      </c>
      <c r="C7" s="13">
        <v>1.7224999999999999</v>
      </c>
      <c r="D7" s="5">
        <v>0</v>
      </c>
      <c r="E7" s="5">
        <v>0</v>
      </c>
      <c r="F7" s="12">
        <v>700</v>
      </c>
      <c r="G7" s="12">
        <v>210</v>
      </c>
      <c r="H7" s="5">
        <v>180000</v>
      </c>
      <c r="I7" s="12">
        <v>0.2</v>
      </c>
      <c r="J7" s="22">
        <v>0</v>
      </c>
    </row>
    <row r="8" spans="1:10">
      <c r="A8" s="5" t="s">
        <v>43</v>
      </c>
      <c r="B8" s="12" t="s">
        <v>16</v>
      </c>
      <c r="C8" s="13">
        <v>1.7224999999999999</v>
      </c>
      <c r="D8" s="5">
        <v>0</v>
      </c>
      <c r="E8" s="5">
        <v>0</v>
      </c>
      <c r="F8" s="12">
        <v>750</v>
      </c>
      <c r="G8" s="12">
        <v>225</v>
      </c>
      <c r="H8" s="5">
        <v>210000</v>
      </c>
      <c r="I8" s="12">
        <v>0.2</v>
      </c>
      <c r="J8" s="22">
        <v>0</v>
      </c>
    </row>
    <row r="9" spans="1:10">
      <c r="A9" s="5" t="s">
        <v>44</v>
      </c>
      <c r="B9" s="12" t="s">
        <v>17</v>
      </c>
      <c r="C9" s="13">
        <v>1.6956</v>
      </c>
      <c r="D9" s="5">
        <v>0</v>
      </c>
      <c r="E9" s="5">
        <v>0</v>
      </c>
      <c r="F9" s="12">
        <v>1000</v>
      </c>
      <c r="G9" s="12">
        <v>295</v>
      </c>
      <c r="H9" s="5">
        <v>210000</v>
      </c>
      <c r="I9" s="12">
        <v>0.2</v>
      </c>
      <c r="J9" s="22">
        <v>0</v>
      </c>
    </row>
    <row r="10" spans="1:10">
      <c r="A10" s="5" t="s">
        <v>81</v>
      </c>
      <c r="B10" s="12" t="s">
        <v>18</v>
      </c>
      <c r="C10" s="13">
        <v>1.7224999999999999</v>
      </c>
      <c r="D10" s="5">
        <v>1</v>
      </c>
      <c r="E10" s="5">
        <v>10</v>
      </c>
      <c r="F10" s="12">
        <v>420</v>
      </c>
      <c r="G10" s="12">
        <v>255</v>
      </c>
      <c r="H10" s="5">
        <v>210000</v>
      </c>
      <c r="I10" s="12">
        <v>0.2</v>
      </c>
      <c r="J10" s="22">
        <v>0</v>
      </c>
    </row>
    <row r="11" spans="1:10">
      <c r="A11" s="23" t="s">
        <v>114</v>
      </c>
      <c r="B11" s="22" t="s">
        <v>18</v>
      </c>
      <c r="C11" s="25">
        <v>1.7224999999999999</v>
      </c>
      <c r="D11" s="22">
        <v>1</v>
      </c>
      <c r="E11" s="23">
        <v>10</v>
      </c>
      <c r="F11" s="22">
        <v>420</v>
      </c>
      <c r="G11" s="22">
        <v>250</v>
      </c>
      <c r="H11" s="23">
        <v>210000</v>
      </c>
      <c r="I11" s="22">
        <v>0.2</v>
      </c>
      <c r="J11" s="22">
        <v>0</v>
      </c>
    </row>
  </sheetData>
  <mergeCells count="1">
    <mergeCell ref="B1:I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Input_variables</vt:lpstr>
      <vt:lpstr>configuration</vt:lpstr>
      <vt:lpstr>rail_materials</vt:lpstr>
      <vt:lpstr>wheel_materials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2021-02-07T15:04:45Z</dcterms:modified>
</cp:coreProperties>
</file>