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defaultThemeVersion="124226"/>
  <xr:revisionPtr revIDLastSave="0" documentId="13_ncr:1_{C6165220-4C03-4B44-A5F4-1EFA5E533548}" xr6:coauthVersionLast="47" xr6:coauthVersionMax="47" xr10:uidLastSave="{00000000-0000-0000-0000-000000000000}"/>
  <bookViews>
    <workbookView xWindow="5483" yWindow="4425" windowWidth="24315" windowHeight="16230" activeTab="3" xr2:uid="{00000000-000D-0000-FFFF-FFFF00000000}"/>
  </bookViews>
  <sheets>
    <sheet name="Input" sheetId="1" r:id="rId1"/>
    <sheet name="HÀNG TẤM (Bohler)" sheetId="2" r:id="rId2"/>
    <sheet name="HÀNG TẤM (thép ko gỉ)" sheetId="3" r:id="rId3"/>
    <sheet name="HÀNG TẤM (bery)" sheetId="4" r:id="rId4"/>
    <sheet name="HÀNG TẤM (đồng nhôm)" sheetId="5" r:id="rId5"/>
    <sheet name="hàng thanh" sheetId="6" r:id="rId6"/>
    <sheet name="hàng cuộn" sheetId="7" r:id="rId7"/>
    <sheet name="Hao phí hàng cuộn" sheetId="8" r:id="rId8"/>
    <sheet name="DATA" sheetId="9" r:id="rId9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9" l="1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C4" i="9" s="1"/>
  <c r="J35" i="9"/>
  <c r="J34" i="9"/>
  <c r="C3" i="9" s="1"/>
  <c r="J33" i="9"/>
  <c r="C6" i="9"/>
  <c r="C5" i="9"/>
  <c r="H4" i="9"/>
  <c r="H3" i="9"/>
  <c r="H2" i="9"/>
  <c r="C2" i="9"/>
  <c r="D9" i="8"/>
  <c r="D8" i="8"/>
  <c r="D7" i="8"/>
  <c r="D6" i="8"/>
  <c r="D5" i="8"/>
  <c r="D4" i="8"/>
  <c r="G2" i="8"/>
  <c r="E1" i="8"/>
  <c r="F82" i="7"/>
  <c r="N81" i="7"/>
  <c r="L81" i="7"/>
  <c r="K81" i="7"/>
  <c r="N80" i="7"/>
  <c r="L80" i="7"/>
  <c r="K80" i="7"/>
  <c r="N79" i="7"/>
  <c r="L79" i="7"/>
  <c r="K79" i="7"/>
  <c r="N78" i="7"/>
  <c r="L78" i="7"/>
  <c r="K78" i="7"/>
  <c r="N77" i="7"/>
  <c r="L77" i="7"/>
  <c r="K77" i="7"/>
  <c r="N76" i="7"/>
  <c r="L76" i="7"/>
  <c r="K76" i="7"/>
  <c r="N75" i="7"/>
  <c r="L75" i="7"/>
  <c r="K75" i="7"/>
  <c r="N74" i="7"/>
  <c r="L74" i="7"/>
  <c r="K74" i="7"/>
  <c r="N73" i="7"/>
  <c r="L73" i="7"/>
  <c r="K73" i="7"/>
  <c r="N72" i="7"/>
  <c r="L72" i="7"/>
  <c r="K72" i="7"/>
  <c r="N71" i="7"/>
  <c r="L71" i="7"/>
  <c r="K71" i="7"/>
  <c r="N70" i="7"/>
  <c r="L70" i="7"/>
  <c r="K70" i="7"/>
  <c r="N69" i="7"/>
  <c r="L69" i="7"/>
  <c r="K69" i="7"/>
  <c r="N68" i="7"/>
  <c r="L68" i="7"/>
  <c r="K68" i="7"/>
  <c r="N67" i="7"/>
  <c r="L67" i="7"/>
  <c r="K67" i="7"/>
  <c r="N66" i="7"/>
  <c r="L66" i="7"/>
  <c r="K66" i="7"/>
  <c r="N65" i="7"/>
  <c r="L65" i="7"/>
  <c r="K65" i="7"/>
  <c r="N64" i="7"/>
  <c r="L64" i="7"/>
  <c r="K64" i="7"/>
  <c r="N63" i="7"/>
  <c r="L63" i="7"/>
  <c r="K63" i="7"/>
  <c r="N62" i="7"/>
  <c r="L62" i="7"/>
  <c r="K62" i="7"/>
  <c r="L61" i="7"/>
  <c r="K61" i="7"/>
  <c r="M61" i="7" s="1"/>
  <c r="O61" i="7" s="1"/>
  <c r="P61" i="7" s="1"/>
  <c r="L60" i="7"/>
  <c r="K60" i="7"/>
  <c r="M60" i="7" s="1"/>
  <c r="O60" i="7" s="1"/>
  <c r="P60" i="7" s="1"/>
  <c r="L59" i="7"/>
  <c r="K59" i="7"/>
  <c r="M59" i="7" s="1"/>
  <c r="O59" i="7" s="1"/>
  <c r="P59" i="7" s="1"/>
  <c r="L58" i="7"/>
  <c r="K58" i="7"/>
  <c r="L57" i="7"/>
  <c r="K57" i="7"/>
  <c r="M57" i="7" s="1"/>
  <c r="O57" i="7" s="1"/>
  <c r="P57" i="7" s="1"/>
  <c r="L56" i="7"/>
  <c r="K56" i="7"/>
  <c r="M56" i="7" s="1"/>
  <c r="O56" i="7" s="1"/>
  <c r="P56" i="7" s="1"/>
  <c r="L55" i="7"/>
  <c r="K55" i="7"/>
  <c r="M55" i="7" s="1"/>
  <c r="O55" i="7" s="1"/>
  <c r="P55" i="7" s="1"/>
  <c r="L54" i="7"/>
  <c r="K54" i="7"/>
  <c r="L53" i="7"/>
  <c r="K53" i="7"/>
  <c r="M53" i="7" s="1"/>
  <c r="O53" i="7" s="1"/>
  <c r="P53" i="7" s="1"/>
  <c r="L52" i="7"/>
  <c r="K52" i="7"/>
  <c r="M52" i="7" s="1"/>
  <c r="O52" i="7" s="1"/>
  <c r="P52" i="7" s="1"/>
  <c r="L51" i="7"/>
  <c r="K51" i="7"/>
  <c r="M51" i="7" s="1"/>
  <c r="O51" i="7" s="1"/>
  <c r="P51" i="7" s="1"/>
  <c r="L50" i="7"/>
  <c r="K50" i="7"/>
  <c r="L49" i="7"/>
  <c r="K49" i="7"/>
  <c r="M49" i="7" s="1"/>
  <c r="O49" i="7" s="1"/>
  <c r="P49" i="7" s="1"/>
  <c r="L48" i="7"/>
  <c r="K48" i="7"/>
  <c r="M48" i="7" s="1"/>
  <c r="O48" i="7" s="1"/>
  <c r="P48" i="7" s="1"/>
  <c r="L47" i="7"/>
  <c r="K47" i="7"/>
  <c r="M47" i="7" s="1"/>
  <c r="O47" i="7" s="1"/>
  <c r="P47" i="7" s="1"/>
  <c r="L46" i="7"/>
  <c r="K46" i="7"/>
  <c r="L45" i="7"/>
  <c r="K45" i="7"/>
  <c r="M45" i="7" s="1"/>
  <c r="O45" i="7" s="1"/>
  <c r="P45" i="7" s="1"/>
  <c r="L44" i="7"/>
  <c r="K44" i="7"/>
  <c r="M44" i="7" s="1"/>
  <c r="O44" i="7" s="1"/>
  <c r="P44" i="7" s="1"/>
  <c r="L43" i="7"/>
  <c r="K43" i="7"/>
  <c r="M43" i="7" s="1"/>
  <c r="O43" i="7" s="1"/>
  <c r="P43" i="7" s="1"/>
  <c r="L42" i="7"/>
  <c r="K42" i="7"/>
  <c r="N41" i="7"/>
  <c r="L41" i="7"/>
  <c r="K41" i="7"/>
  <c r="N40" i="7"/>
  <c r="L40" i="7"/>
  <c r="K40" i="7"/>
  <c r="M40" i="7" s="1"/>
  <c r="O40" i="7" s="1"/>
  <c r="P40" i="7" s="1"/>
  <c r="N39" i="7"/>
  <c r="L39" i="7"/>
  <c r="K39" i="7"/>
  <c r="M39" i="7" s="1"/>
  <c r="O39" i="7" s="1"/>
  <c r="P39" i="7" s="1"/>
  <c r="N38" i="7"/>
  <c r="L38" i="7"/>
  <c r="K38" i="7"/>
  <c r="M38" i="7" s="1"/>
  <c r="O38" i="7" s="1"/>
  <c r="P38" i="7" s="1"/>
  <c r="N37" i="7"/>
  <c r="L37" i="7"/>
  <c r="K37" i="7"/>
  <c r="M37" i="7" s="1"/>
  <c r="O37" i="7" s="1"/>
  <c r="P37" i="7" s="1"/>
  <c r="N36" i="7"/>
  <c r="L36" i="7"/>
  <c r="K36" i="7"/>
  <c r="M36" i="7" s="1"/>
  <c r="O36" i="7" s="1"/>
  <c r="P36" i="7" s="1"/>
  <c r="N35" i="7"/>
  <c r="L35" i="7"/>
  <c r="K35" i="7"/>
  <c r="M35" i="7" s="1"/>
  <c r="O35" i="7" s="1"/>
  <c r="P35" i="7" s="1"/>
  <c r="N34" i="7"/>
  <c r="L34" i="7"/>
  <c r="K34" i="7"/>
  <c r="M34" i="7" s="1"/>
  <c r="O34" i="7" s="1"/>
  <c r="P34" i="7" s="1"/>
  <c r="N33" i="7"/>
  <c r="L33" i="7"/>
  <c r="K33" i="7"/>
  <c r="M33" i="7" s="1"/>
  <c r="O33" i="7" s="1"/>
  <c r="P33" i="7" s="1"/>
  <c r="N32" i="7"/>
  <c r="L32" i="7"/>
  <c r="K32" i="7"/>
  <c r="M32" i="7" s="1"/>
  <c r="O32" i="7" s="1"/>
  <c r="P32" i="7" s="1"/>
  <c r="N31" i="7"/>
  <c r="L31" i="7"/>
  <c r="K31" i="7"/>
  <c r="M31" i="7" s="1"/>
  <c r="O31" i="7" s="1"/>
  <c r="P31" i="7" s="1"/>
  <c r="N30" i="7"/>
  <c r="L30" i="7"/>
  <c r="K30" i="7"/>
  <c r="M30" i="7" s="1"/>
  <c r="O30" i="7" s="1"/>
  <c r="P30" i="7" s="1"/>
  <c r="N29" i="7"/>
  <c r="L29" i="7"/>
  <c r="K29" i="7"/>
  <c r="M29" i="7" s="1"/>
  <c r="O29" i="7" s="1"/>
  <c r="P29" i="7" s="1"/>
  <c r="N28" i="7"/>
  <c r="L28" i="7"/>
  <c r="K28" i="7"/>
  <c r="M28" i="7" s="1"/>
  <c r="O28" i="7" s="1"/>
  <c r="P28" i="7" s="1"/>
  <c r="N27" i="7"/>
  <c r="L27" i="7"/>
  <c r="K27" i="7"/>
  <c r="M27" i="7" s="1"/>
  <c r="O27" i="7" s="1"/>
  <c r="P27" i="7" s="1"/>
  <c r="N26" i="7"/>
  <c r="L26" i="7"/>
  <c r="K26" i="7"/>
  <c r="M26" i="7" s="1"/>
  <c r="O26" i="7" s="1"/>
  <c r="P26" i="7" s="1"/>
  <c r="N25" i="7"/>
  <c r="L25" i="7"/>
  <c r="K25" i="7"/>
  <c r="M25" i="7" s="1"/>
  <c r="O25" i="7" s="1"/>
  <c r="P25" i="7" s="1"/>
  <c r="N24" i="7"/>
  <c r="L24" i="7"/>
  <c r="K24" i="7"/>
  <c r="M24" i="7" s="1"/>
  <c r="O24" i="7" s="1"/>
  <c r="P24" i="7" s="1"/>
  <c r="N23" i="7"/>
  <c r="L23" i="7"/>
  <c r="K23" i="7"/>
  <c r="M23" i="7" s="1"/>
  <c r="O23" i="7" s="1"/>
  <c r="P23" i="7" s="1"/>
  <c r="N22" i="7"/>
  <c r="L22" i="7"/>
  <c r="K22" i="7"/>
  <c r="M22" i="7" s="1"/>
  <c r="O22" i="7" s="1"/>
  <c r="P22" i="7" s="1"/>
  <c r="N21" i="7"/>
  <c r="L21" i="7"/>
  <c r="K21" i="7"/>
  <c r="M21" i="7" s="1"/>
  <c r="O21" i="7" s="1"/>
  <c r="P21" i="7" s="1"/>
  <c r="N20" i="7"/>
  <c r="L20" i="7"/>
  <c r="K20" i="7"/>
  <c r="M20" i="7" s="1"/>
  <c r="O20" i="7" s="1"/>
  <c r="P20" i="7" s="1"/>
  <c r="N19" i="7"/>
  <c r="L19" i="7"/>
  <c r="K19" i="7"/>
  <c r="M19" i="7" s="1"/>
  <c r="O19" i="7" s="1"/>
  <c r="P19" i="7" s="1"/>
  <c r="N18" i="7"/>
  <c r="L18" i="7"/>
  <c r="K18" i="7"/>
  <c r="M18" i="7" s="1"/>
  <c r="O18" i="7" s="1"/>
  <c r="P18" i="7" s="1"/>
  <c r="N17" i="7"/>
  <c r="L17" i="7"/>
  <c r="K17" i="7"/>
  <c r="M17" i="7" s="1"/>
  <c r="O17" i="7" s="1"/>
  <c r="P17" i="7" s="1"/>
  <c r="N16" i="7"/>
  <c r="L16" i="7"/>
  <c r="K16" i="7"/>
  <c r="M16" i="7" s="1"/>
  <c r="O16" i="7" s="1"/>
  <c r="P16" i="7" s="1"/>
  <c r="N15" i="7"/>
  <c r="L15" i="7"/>
  <c r="K15" i="7"/>
  <c r="M15" i="7" s="1"/>
  <c r="O15" i="7" s="1"/>
  <c r="P15" i="7" s="1"/>
  <c r="N14" i="7"/>
  <c r="L14" i="7"/>
  <c r="K14" i="7"/>
  <c r="M14" i="7" s="1"/>
  <c r="O14" i="7" s="1"/>
  <c r="P14" i="7" s="1"/>
  <c r="N13" i="7"/>
  <c r="L13" i="7"/>
  <c r="K13" i="7"/>
  <c r="M13" i="7" s="1"/>
  <c r="O13" i="7" s="1"/>
  <c r="P13" i="7" s="1"/>
  <c r="L12" i="7"/>
  <c r="K12" i="7"/>
  <c r="I62" i="6"/>
  <c r="T61" i="6"/>
  <c r="P61" i="6"/>
  <c r="N61" i="6"/>
  <c r="M61" i="6"/>
  <c r="D61" i="6"/>
  <c r="T60" i="6"/>
  <c r="P60" i="6"/>
  <c r="N60" i="6"/>
  <c r="M60" i="6"/>
  <c r="D60" i="6"/>
  <c r="T59" i="6"/>
  <c r="P59" i="6"/>
  <c r="N59" i="6"/>
  <c r="M59" i="6"/>
  <c r="D59" i="6"/>
  <c r="T58" i="6"/>
  <c r="P58" i="6"/>
  <c r="N58" i="6"/>
  <c r="M58" i="6"/>
  <c r="D58" i="6"/>
  <c r="T57" i="6"/>
  <c r="P57" i="6"/>
  <c r="N57" i="6"/>
  <c r="M57" i="6"/>
  <c r="D57" i="6"/>
  <c r="T56" i="6"/>
  <c r="P56" i="6"/>
  <c r="N56" i="6"/>
  <c r="M56" i="6"/>
  <c r="D56" i="6"/>
  <c r="T55" i="6"/>
  <c r="P55" i="6"/>
  <c r="N55" i="6"/>
  <c r="M55" i="6"/>
  <c r="D55" i="6"/>
  <c r="T54" i="6"/>
  <c r="P54" i="6"/>
  <c r="N54" i="6"/>
  <c r="M54" i="6"/>
  <c r="D54" i="6"/>
  <c r="T53" i="6"/>
  <c r="P53" i="6"/>
  <c r="N53" i="6"/>
  <c r="M53" i="6"/>
  <c r="D53" i="6"/>
  <c r="T52" i="6"/>
  <c r="P52" i="6"/>
  <c r="N52" i="6"/>
  <c r="M52" i="6"/>
  <c r="D52" i="6"/>
  <c r="T51" i="6"/>
  <c r="P51" i="6"/>
  <c r="N51" i="6"/>
  <c r="M51" i="6"/>
  <c r="D51" i="6"/>
  <c r="T50" i="6"/>
  <c r="P50" i="6"/>
  <c r="N50" i="6"/>
  <c r="M50" i="6"/>
  <c r="D50" i="6"/>
  <c r="T49" i="6"/>
  <c r="P49" i="6"/>
  <c r="N49" i="6"/>
  <c r="M49" i="6"/>
  <c r="D49" i="6"/>
  <c r="T48" i="6"/>
  <c r="P48" i="6"/>
  <c r="N48" i="6"/>
  <c r="M48" i="6"/>
  <c r="D48" i="6"/>
  <c r="T47" i="6"/>
  <c r="P47" i="6"/>
  <c r="N47" i="6"/>
  <c r="M47" i="6"/>
  <c r="D47" i="6"/>
  <c r="T46" i="6"/>
  <c r="P46" i="6"/>
  <c r="N46" i="6"/>
  <c r="M46" i="6"/>
  <c r="D46" i="6"/>
  <c r="T45" i="6"/>
  <c r="P45" i="6"/>
  <c r="N45" i="6"/>
  <c r="M45" i="6"/>
  <c r="D45" i="6"/>
  <c r="T44" i="6"/>
  <c r="P44" i="6"/>
  <c r="N44" i="6"/>
  <c r="M44" i="6"/>
  <c r="D44" i="6"/>
  <c r="T43" i="6"/>
  <c r="P43" i="6"/>
  <c r="N43" i="6"/>
  <c r="M43" i="6"/>
  <c r="D43" i="6"/>
  <c r="T42" i="6"/>
  <c r="P42" i="6"/>
  <c r="N42" i="6"/>
  <c r="M42" i="6"/>
  <c r="D42" i="6"/>
  <c r="T41" i="6"/>
  <c r="P41" i="6"/>
  <c r="N41" i="6"/>
  <c r="M41" i="6"/>
  <c r="D41" i="6"/>
  <c r="T40" i="6"/>
  <c r="P40" i="6"/>
  <c r="N40" i="6"/>
  <c r="M40" i="6"/>
  <c r="D40" i="6"/>
  <c r="T39" i="6"/>
  <c r="P39" i="6"/>
  <c r="N39" i="6"/>
  <c r="M39" i="6"/>
  <c r="D39" i="6"/>
  <c r="T38" i="6"/>
  <c r="P38" i="6"/>
  <c r="N38" i="6"/>
  <c r="M38" i="6"/>
  <c r="D38" i="6"/>
  <c r="T37" i="6"/>
  <c r="P37" i="6"/>
  <c r="N37" i="6"/>
  <c r="M37" i="6"/>
  <c r="D37" i="6"/>
  <c r="T36" i="6"/>
  <c r="P36" i="6"/>
  <c r="N36" i="6"/>
  <c r="M36" i="6"/>
  <c r="D36" i="6"/>
  <c r="T35" i="6"/>
  <c r="P35" i="6"/>
  <c r="N35" i="6"/>
  <c r="M35" i="6"/>
  <c r="D35" i="6"/>
  <c r="T34" i="6"/>
  <c r="P34" i="6"/>
  <c r="N34" i="6"/>
  <c r="M34" i="6"/>
  <c r="D34" i="6"/>
  <c r="T33" i="6"/>
  <c r="P33" i="6"/>
  <c r="N33" i="6"/>
  <c r="M33" i="6"/>
  <c r="D33" i="6"/>
  <c r="T32" i="6"/>
  <c r="P32" i="6"/>
  <c r="N32" i="6"/>
  <c r="M32" i="6"/>
  <c r="D32" i="6"/>
  <c r="T31" i="6"/>
  <c r="P31" i="6"/>
  <c r="N31" i="6"/>
  <c r="M31" i="6"/>
  <c r="D31" i="6"/>
  <c r="T30" i="6"/>
  <c r="P30" i="6"/>
  <c r="N30" i="6"/>
  <c r="M30" i="6"/>
  <c r="D30" i="6"/>
  <c r="T29" i="6"/>
  <c r="P29" i="6"/>
  <c r="N29" i="6"/>
  <c r="M29" i="6"/>
  <c r="D29" i="6"/>
  <c r="T28" i="6"/>
  <c r="P28" i="6"/>
  <c r="N28" i="6"/>
  <c r="M28" i="6"/>
  <c r="D28" i="6"/>
  <c r="T27" i="6"/>
  <c r="P27" i="6"/>
  <c r="N27" i="6"/>
  <c r="M27" i="6"/>
  <c r="D27" i="6"/>
  <c r="T26" i="6"/>
  <c r="P26" i="6"/>
  <c r="N26" i="6"/>
  <c r="M26" i="6"/>
  <c r="D26" i="6"/>
  <c r="T25" i="6"/>
  <c r="P25" i="6"/>
  <c r="O25" i="6"/>
  <c r="R25" i="6" s="1"/>
  <c r="N25" i="6"/>
  <c r="M25" i="6"/>
  <c r="D25" i="6"/>
  <c r="T24" i="6"/>
  <c r="P24" i="6"/>
  <c r="O24" i="6"/>
  <c r="R24" i="6" s="1"/>
  <c r="N24" i="6"/>
  <c r="M24" i="6"/>
  <c r="D24" i="6"/>
  <c r="T23" i="6"/>
  <c r="P23" i="6"/>
  <c r="O23" i="6"/>
  <c r="R23" i="6" s="1"/>
  <c r="N23" i="6"/>
  <c r="M23" i="6"/>
  <c r="D23" i="6"/>
  <c r="T22" i="6"/>
  <c r="P22" i="6"/>
  <c r="O22" i="6"/>
  <c r="R22" i="6" s="1"/>
  <c r="N22" i="6"/>
  <c r="M22" i="6"/>
  <c r="D22" i="6"/>
  <c r="T21" i="6"/>
  <c r="P21" i="6"/>
  <c r="O21" i="6"/>
  <c r="R21" i="6" s="1"/>
  <c r="N21" i="6"/>
  <c r="M21" i="6"/>
  <c r="D21" i="6"/>
  <c r="T20" i="6"/>
  <c r="P20" i="6"/>
  <c r="O20" i="6"/>
  <c r="R20" i="6" s="1"/>
  <c r="N20" i="6"/>
  <c r="M20" i="6"/>
  <c r="D20" i="6"/>
  <c r="T19" i="6"/>
  <c r="P19" i="6"/>
  <c r="O19" i="6"/>
  <c r="R19" i="6" s="1"/>
  <c r="N19" i="6"/>
  <c r="M19" i="6"/>
  <c r="D19" i="6"/>
  <c r="T18" i="6"/>
  <c r="P18" i="6"/>
  <c r="O18" i="6"/>
  <c r="R18" i="6" s="1"/>
  <c r="N18" i="6"/>
  <c r="M18" i="6"/>
  <c r="D18" i="6"/>
  <c r="T17" i="6"/>
  <c r="P17" i="6"/>
  <c r="O17" i="6"/>
  <c r="R17" i="6" s="1"/>
  <c r="N17" i="6"/>
  <c r="M17" i="6"/>
  <c r="D17" i="6"/>
  <c r="T16" i="6"/>
  <c r="P16" i="6"/>
  <c r="O16" i="6"/>
  <c r="R16" i="6" s="1"/>
  <c r="N16" i="6"/>
  <c r="M16" i="6"/>
  <c r="D16" i="6"/>
  <c r="T15" i="6"/>
  <c r="P15" i="6"/>
  <c r="O15" i="6"/>
  <c r="R15" i="6" s="1"/>
  <c r="N15" i="6"/>
  <c r="M15" i="6"/>
  <c r="D15" i="6"/>
  <c r="T14" i="6"/>
  <c r="P14" i="6"/>
  <c r="O14" i="6"/>
  <c r="R14" i="6" s="1"/>
  <c r="N14" i="6"/>
  <c r="M14" i="6"/>
  <c r="D14" i="6"/>
  <c r="T13" i="6"/>
  <c r="P13" i="6"/>
  <c r="O13" i="6"/>
  <c r="R13" i="6" s="1"/>
  <c r="N13" i="6"/>
  <c r="M13" i="6"/>
  <c r="D13" i="6"/>
  <c r="P12" i="6"/>
  <c r="N12" i="6"/>
  <c r="D12" i="6"/>
  <c r="H56" i="5"/>
  <c r="S55" i="5"/>
  <c r="N55" i="5"/>
  <c r="Q55" i="5" s="1"/>
  <c r="M55" i="5"/>
  <c r="O55" i="5" s="1"/>
  <c r="L55" i="5"/>
  <c r="C55" i="5"/>
  <c r="S54" i="5"/>
  <c r="Q54" i="5"/>
  <c r="N54" i="5"/>
  <c r="M54" i="5"/>
  <c r="O54" i="5" s="1"/>
  <c r="R54" i="5" s="1"/>
  <c r="L54" i="5"/>
  <c r="C54" i="5"/>
  <c r="S53" i="5"/>
  <c r="N53" i="5"/>
  <c r="Q53" i="5" s="1"/>
  <c r="M53" i="5"/>
  <c r="O53" i="5" s="1"/>
  <c r="L53" i="5"/>
  <c r="C53" i="5"/>
  <c r="S52" i="5"/>
  <c r="Q52" i="5"/>
  <c r="N52" i="5"/>
  <c r="M52" i="5"/>
  <c r="O52" i="5" s="1"/>
  <c r="R52" i="5" s="1"/>
  <c r="L52" i="5"/>
  <c r="C52" i="5"/>
  <c r="S51" i="5"/>
  <c r="N51" i="5"/>
  <c r="Q51" i="5" s="1"/>
  <c r="M51" i="5"/>
  <c r="O51" i="5" s="1"/>
  <c r="L51" i="5"/>
  <c r="C51" i="5"/>
  <c r="S50" i="5"/>
  <c r="Q50" i="5"/>
  <c r="N50" i="5"/>
  <c r="M50" i="5"/>
  <c r="O50" i="5" s="1"/>
  <c r="R50" i="5" s="1"/>
  <c r="L50" i="5"/>
  <c r="C50" i="5"/>
  <c r="S49" i="5"/>
  <c r="N49" i="5"/>
  <c r="Q49" i="5" s="1"/>
  <c r="M49" i="5"/>
  <c r="O49" i="5" s="1"/>
  <c r="L49" i="5"/>
  <c r="C49" i="5"/>
  <c r="S48" i="5"/>
  <c r="Q48" i="5"/>
  <c r="N48" i="5"/>
  <c r="M48" i="5"/>
  <c r="O48" i="5" s="1"/>
  <c r="R48" i="5" s="1"/>
  <c r="L48" i="5"/>
  <c r="C48" i="5"/>
  <c r="S47" i="5"/>
  <c r="N47" i="5"/>
  <c r="Q47" i="5" s="1"/>
  <c r="M47" i="5"/>
  <c r="O47" i="5" s="1"/>
  <c r="L47" i="5"/>
  <c r="C47" i="5"/>
  <c r="S46" i="5"/>
  <c r="Q46" i="5"/>
  <c r="N46" i="5"/>
  <c r="M46" i="5"/>
  <c r="O46" i="5" s="1"/>
  <c r="R46" i="5" s="1"/>
  <c r="L46" i="5"/>
  <c r="C46" i="5"/>
  <c r="S45" i="5"/>
  <c r="N45" i="5"/>
  <c r="Q45" i="5" s="1"/>
  <c r="M45" i="5"/>
  <c r="O45" i="5" s="1"/>
  <c r="L45" i="5"/>
  <c r="C45" i="5"/>
  <c r="S44" i="5"/>
  <c r="Q44" i="5"/>
  <c r="N44" i="5"/>
  <c r="M44" i="5"/>
  <c r="O44" i="5" s="1"/>
  <c r="R44" i="5" s="1"/>
  <c r="L44" i="5"/>
  <c r="C44" i="5"/>
  <c r="S43" i="5"/>
  <c r="N43" i="5"/>
  <c r="Q43" i="5" s="1"/>
  <c r="M43" i="5"/>
  <c r="O43" i="5" s="1"/>
  <c r="L43" i="5"/>
  <c r="C43" i="5"/>
  <c r="S42" i="5"/>
  <c r="Q42" i="5"/>
  <c r="N42" i="5"/>
  <c r="M42" i="5"/>
  <c r="O42" i="5" s="1"/>
  <c r="R42" i="5" s="1"/>
  <c r="L42" i="5"/>
  <c r="C42" i="5"/>
  <c r="S41" i="5"/>
  <c r="N41" i="5"/>
  <c r="Q41" i="5" s="1"/>
  <c r="M41" i="5"/>
  <c r="O41" i="5" s="1"/>
  <c r="L41" i="5"/>
  <c r="C41" i="5"/>
  <c r="S40" i="5"/>
  <c r="Q40" i="5"/>
  <c r="N40" i="5"/>
  <c r="M40" i="5"/>
  <c r="O40" i="5" s="1"/>
  <c r="R40" i="5" s="1"/>
  <c r="L40" i="5"/>
  <c r="C40" i="5"/>
  <c r="S39" i="5"/>
  <c r="N39" i="5"/>
  <c r="Q39" i="5" s="1"/>
  <c r="M39" i="5"/>
  <c r="O39" i="5" s="1"/>
  <c r="L39" i="5"/>
  <c r="C39" i="5"/>
  <c r="S38" i="5"/>
  <c r="Q38" i="5"/>
  <c r="N38" i="5"/>
  <c r="M38" i="5"/>
  <c r="O38" i="5" s="1"/>
  <c r="R38" i="5" s="1"/>
  <c r="L38" i="5"/>
  <c r="C38" i="5"/>
  <c r="S37" i="5"/>
  <c r="N37" i="5"/>
  <c r="Q37" i="5" s="1"/>
  <c r="M37" i="5"/>
  <c r="O37" i="5" s="1"/>
  <c r="L37" i="5"/>
  <c r="C37" i="5"/>
  <c r="S36" i="5"/>
  <c r="Q36" i="5"/>
  <c r="N36" i="5"/>
  <c r="M36" i="5"/>
  <c r="O36" i="5" s="1"/>
  <c r="R36" i="5" s="1"/>
  <c r="L36" i="5"/>
  <c r="C36" i="5"/>
  <c r="S35" i="5"/>
  <c r="N35" i="5"/>
  <c r="Q35" i="5" s="1"/>
  <c r="M35" i="5"/>
  <c r="O35" i="5" s="1"/>
  <c r="R35" i="5" s="1"/>
  <c r="L35" i="5"/>
  <c r="C35" i="5"/>
  <c r="S34" i="5"/>
  <c r="N34" i="5"/>
  <c r="Q34" i="5" s="1"/>
  <c r="M34" i="5"/>
  <c r="O34" i="5" s="1"/>
  <c r="L34" i="5"/>
  <c r="C34" i="5"/>
  <c r="S33" i="5"/>
  <c r="N33" i="5"/>
  <c r="Q33" i="5" s="1"/>
  <c r="M33" i="5"/>
  <c r="O33" i="5" s="1"/>
  <c r="R33" i="5" s="1"/>
  <c r="L33" i="5"/>
  <c r="C33" i="5"/>
  <c r="S32" i="5"/>
  <c r="N32" i="5"/>
  <c r="Q32" i="5" s="1"/>
  <c r="M32" i="5"/>
  <c r="O32" i="5" s="1"/>
  <c r="L32" i="5"/>
  <c r="C32" i="5"/>
  <c r="S31" i="5"/>
  <c r="N31" i="5"/>
  <c r="Q31" i="5" s="1"/>
  <c r="M31" i="5"/>
  <c r="O31" i="5" s="1"/>
  <c r="R31" i="5" s="1"/>
  <c r="L31" i="5"/>
  <c r="C31" i="5"/>
  <c r="S30" i="5"/>
  <c r="N30" i="5"/>
  <c r="Q30" i="5" s="1"/>
  <c r="M30" i="5"/>
  <c r="O30" i="5" s="1"/>
  <c r="L30" i="5"/>
  <c r="C30" i="5"/>
  <c r="S29" i="5"/>
  <c r="N29" i="5"/>
  <c r="Q29" i="5" s="1"/>
  <c r="M29" i="5"/>
  <c r="O29" i="5" s="1"/>
  <c r="R29" i="5" s="1"/>
  <c r="L29" i="5"/>
  <c r="C29" i="5"/>
  <c r="S28" i="5"/>
  <c r="N28" i="5"/>
  <c r="Q28" i="5" s="1"/>
  <c r="M28" i="5"/>
  <c r="O28" i="5" s="1"/>
  <c r="L28" i="5"/>
  <c r="C28" i="5"/>
  <c r="S27" i="5"/>
  <c r="N27" i="5"/>
  <c r="Q27" i="5" s="1"/>
  <c r="M27" i="5"/>
  <c r="O27" i="5" s="1"/>
  <c r="R27" i="5" s="1"/>
  <c r="L27" i="5"/>
  <c r="C27" i="5"/>
  <c r="S26" i="5"/>
  <c r="N26" i="5"/>
  <c r="Q26" i="5" s="1"/>
  <c r="M26" i="5"/>
  <c r="O26" i="5" s="1"/>
  <c r="L26" i="5"/>
  <c r="C26" i="5"/>
  <c r="S25" i="5"/>
  <c r="N25" i="5"/>
  <c r="Q25" i="5" s="1"/>
  <c r="M25" i="5"/>
  <c r="O25" i="5" s="1"/>
  <c r="R25" i="5" s="1"/>
  <c r="L25" i="5"/>
  <c r="C25" i="5"/>
  <c r="S24" i="5"/>
  <c r="N24" i="5"/>
  <c r="Q24" i="5" s="1"/>
  <c r="M24" i="5"/>
  <c r="O24" i="5" s="1"/>
  <c r="L24" i="5"/>
  <c r="C24" i="5"/>
  <c r="S23" i="5"/>
  <c r="N23" i="5"/>
  <c r="Q23" i="5" s="1"/>
  <c r="M23" i="5"/>
  <c r="O23" i="5" s="1"/>
  <c r="R23" i="5" s="1"/>
  <c r="L23" i="5"/>
  <c r="C23" i="5"/>
  <c r="S22" i="5"/>
  <c r="N22" i="5"/>
  <c r="Q22" i="5" s="1"/>
  <c r="M22" i="5"/>
  <c r="O22" i="5" s="1"/>
  <c r="L22" i="5"/>
  <c r="C22" i="5"/>
  <c r="S21" i="5"/>
  <c r="N21" i="5"/>
  <c r="Q21" i="5" s="1"/>
  <c r="M21" i="5"/>
  <c r="O21" i="5" s="1"/>
  <c r="R21" i="5" s="1"/>
  <c r="L21" i="5"/>
  <c r="C21" i="5"/>
  <c r="S20" i="5"/>
  <c r="N20" i="5"/>
  <c r="Q20" i="5" s="1"/>
  <c r="M20" i="5"/>
  <c r="O20" i="5" s="1"/>
  <c r="L20" i="5"/>
  <c r="C20" i="5"/>
  <c r="S19" i="5"/>
  <c r="N19" i="5"/>
  <c r="Q19" i="5" s="1"/>
  <c r="M19" i="5"/>
  <c r="O19" i="5" s="1"/>
  <c r="R19" i="5" s="1"/>
  <c r="L19" i="5"/>
  <c r="C19" i="5"/>
  <c r="S18" i="5"/>
  <c r="N18" i="5"/>
  <c r="Q18" i="5" s="1"/>
  <c r="M18" i="5"/>
  <c r="O18" i="5" s="1"/>
  <c r="L18" i="5"/>
  <c r="C18" i="5"/>
  <c r="S17" i="5"/>
  <c r="N17" i="5"/>
  <c r="Q17" i="5" s="1"/>
  <c r="M17" i="5"/>
  <c r="O17" i="5" s="1"/>
  <c r="R17" i="5" s="1"/>
  <c r="L17" i="5"/>
  <c r="C17" i="5"/>
  <c r="S16" i="5"/>
  <c r="N16" i="5"/>
  <c r="Q16" i="5" s="1"/>
  <c r="M16" i="5"/>
  <c r="O16" i="5" s="1"/>
  <c r="L16" i="5"/>
  <c r="C16" i="5"/>
  <c r="S15" i="5"/>
  <c r="N15" i="5"/>
  <c r="Q15" i="5" s="1"/>
  <c r="M15" i="5"/>
  <c r="O15" i="5" s="1"/>
  <c r="R15" i="5" s="1"/>
  <c r="L15" i="5"/>
  <c r="C15" i="5"/>
  <c r="S14" i="5"/>
  <c r="N14" i="5"/>
  <c r="Q14" i="5" s="1"/>
  <c r="M14" i="5"/>
  <c r="O14" i="5" s="1"/>
  <c r="L14" i="5"/>
  <c r="C14" i="5"/>
  <c r="S13" i="5"/>
  <c r="N13" i="5"/>
  <c r="Q13" i="5" s="1"/>
  <c r="M13" i="5"/>
  <c r="O13" i="5" s="1"/>
  <c r="R13" i="5" s="1"/>
  <c r="L13" i="5"/>
  <c r="C13" i="5"/>
  <c r="M12" i="5"/>
  <c r="O12" i="5" s="1"/>
  <c r="L12" i="5"/>
  <c r="C12" i="5"/>
  <c r="N12" i="5" s="1"/>
  <c r="H62" i="4"/>
  <c r="S61" i="4"/>
  <c r="O61" i="4"/>
  <c r="M61" i="4"/>
  <c r="L61" i="4"/>
  <c r="C61" i="4"/>
  <c r="N61" i="4" s="1"/>
  <c r="Q61" i="4" s="1"/>
  <c r="S60" i="4"/>
  <c r="O60" i="4"/>
  <c r="M60" i="4"/>
  <c r="L60" i="4"/>
  <c r="C60" i="4"/>
  <c r="N60" i="4" s="1"/>
  <c r="Q60" i="4" s="1"/>
  <c r="S59" i="4"/>
  <c r="O59" i="4"/>
  <c r="M59" i="4"/>
  <c r="L59" i="4"/>
  <c r="C59" i="4"/>
  <c r="N59" i="4" s="1"/>
  <c r="Q59" i="4" s="1"/>
  <c r="S58" i="4"/>
  <c r="O58" i="4"/>
  <c r="M58" i="4"/>
  <c r="L58" i="4"/>
  <c r="C58" i="4"/>
  <c r="N58" i="4" s="1"/>
  <c r="Q58" i="4" s="1"/>
  <c r="S57" i="4"/>
  <c r="O57" i="4"/>
  <c r="M57" i="4"/>
  <c r="L57" i="4"/>
  <c r="C57" i="4"/>
  <c r="N57" i="4" s="1"/>
  <c r="Q57" i="4" s="1"/>
  <c r="S56" i="4"/>
  <c r="O56" i="4"/>
  <c r="M56" i="4"/>
  <c r="L56" i="4"/>
  <c r="C56" i="4"/>
  <c r="N56" i="4" s="1"/>
  <c r="Q56" i="4" s="1"/>
  <c r="S55" i="4"/>
  <c r="O55" i="4"/>
  <c r="M55" i="4"/>
  <c r="L55" i="4"/>
  <c r="C55" i="4"/>
  <c r="N55" i="4" s="1"/>
  <c r="Q55" i="4" s="1"/>
  <c r="S54" i="4"/>
  <c r="O54" i="4"/>
  <c r="M54" i="4"/>
  <c r="L54" i="4"/>
  <c r="C54" i="4"/>
  <c r="N54" i="4" s="1"/>
  <c r="Q54" i="4" s="1"/>
  <c r="S53" i="4"/>
  <c r="O53" i="4"/>
  <c r="M53" i="4"/>
  <c r="L53" i="4"/>
  <c r="C53" i="4"/>
  <c r="N53" i="4" s="1"/>
  <c r="Q53" i="4" s="1"/>
  <c r="S52" i="4"/>
  <c r="O52" i="4"/>
  <c r="M52" i="4"/>
  <c r="L52" i="4"/>
  <c r="C52" i="4"/>
  <c r="N52" i="4" s="1"/>
  <c r="Q52" i="4" s="1"/>
  <c r="S51" i="4"/>
  <c r="O51" i="4"/>
  <c r="M51" i="4"/>
  <c r="L51" i="4"/>
  <c r="C51" i="4"/>
  <c r="N51" i="4" s="1"/>
  <c r="Q51" i="4" s="1"/>
  <c r="S50" i="4"/>
  <c r="O50" i="4"/>
  <c r="M50" i="4"/>
  <c r="L50" i="4"/>
  <c r="C50" i="4"/>
  <c r="N50" i="4" s="1"/>
  <c r="Q50" i="4" s="1"/>
  <c r="S49" i="4"/>
  <c r="O49" i="4"/>
  <c r="M49" i="4"/>
  <c r="L49" i="4"/>
  <c r="C49" i="4"/>
  <c r="N49" i="4" s="1"/>
  <c r="Q49" i="4" s="1"/>
  <c r="S48" i="4"/>
  <c r="O48" i="4"/>
  <c r="M48" i="4"/>
  <c r="L48" i="4"/>
  <c r="C48" i="4"/>
  <c r="N48" i="4" s="1"/>
  <c r="Q48" i="4" s="1"/>
  <c r="S47" i="4"/>
  <c r="O47" i="4"/>
  <c r="M47" i="4"/>
  <c r="L47" i="4"/>
  <c r="C47" i="4"/>
  <c r="N47" i="4" s="1"/>
  <c r="Q47" i="4" s="1"/>
  <c r="S46" i="4"/>
  <c r="O46" i="4"/>
  <c r="M46" i="4"/>
  <c r="L46" i="4"/>
  <c r="C46" i="4"/>
  <c r="N46" i="4" s="1"/>
  <c r="Q46" i="4" s="1"/>
  <c r="S45" i="4"/>
  <c r="O45" i="4"/>
  <c r="M45" i="4"/>
  <c r="L45" i="4"/>
  <c r="C45" i="4"/>
  <c r="N45" i="4" s="1"/>
  <c r="Q45" i="4" s="1"/>
  <c r="S44" i="4"/>
  <c r="O44" i="4"/>
  <c r="M44" i="4"/>
  <c r="L44" i="4"/>
  <c r="C44" i="4"/>
  <c r="N44" i="4" s="1"/>
  <c r="Q44" i="4" s="1"/>
  <c r="S43" i="4"/>
  <c r="O43" i="4"/>
  <c r="M43" i="4"/>
  <c r="L43" i="4"/>
  <c r="C43" i="4"/>
  <c r="N43" i="4" s="1"/>
  <c r="Q43" i="4" s="1"/>
  <c r="S42" i="4"/>
  <c r="O42" i="4"/>
  <c r="M42" i="4"/>
  <c r="L42" i="4"/>
  <c r="C42" i="4"/>
  <c r="N42" i="4" s="1"/>
  <c r="Q42" i="4" s="1"/>
  <c r="S41" i="4"/>
  <c r="O41" i="4"/>
  <c r="M41" i="4"/>
  <c r="L41" i="4"/>
  <c r="C41" i="4"/>
  <c r="N41" i="4" s="1"/>
  <c r="Q41" i="4" s="1"/>
  <c r="S40" i="4"/>
  <c r="O40" i="4"/>
  <c r="M40" i="4"/>
  <c r="L40" i="4"/>
  <c r="C40" i="4"/>
  <c r="N40" i="4" s="1"/>
  <c r="Q40" i="4" s="1"/>
  <c r="S39" i="4"/>
  <c r="O39" i="4"/>
  <c r="M39" i="4"/>
  <c r="L39" i="4"/>
  <c r="C39" i="4"/>
  <c r="N39" i="4" s="1"/>
  <c r="Q39" i="4" s="1"/>
  <c r="S38" i="4"/>
  <c r="O38" i="4"/>
  <c r="M38" i="4"/>
  <c r="L38" i="4"/>
  <c r="C38" i="4"/>
  <c r="N38" i="4" s="1"/>
  <c r="Q38" i="4" s="1"/>
  <c r="S37" i="4"/>
  <c r="O37" i="4"/>
  <c r="M37" i="4"/>
  <c r="L37" i="4"/>
  <c r="C37" i="4"/>
  <c r="N37" i="4" s="1"/>
  <c r="Q37" i="4" s="1"/>
  <c r="S36" i="4"/>
  <c r="O36" i="4"/>
  <c r="M36" i="4"/>
  <c r="L36" i="4"/>
  <c r="C36" i="4"/>
  <c r="N36" i="4" s="1"/>
  <c r="Q36" i="4" s="1"/>
  <c r="S35" i="4"/>
  <c r="O35" i="4"/>
  <c r="M35" i="4"/>
  <c r="L35" i="4"/>
  <c r="C35" i="4"/>
  <c r="N35" i="4" s="1"/>
  <c r="Q35" i="4" s="1"/>
  <c r="S34" i="4"/>
  <c r="O34" i="4"/>
  <c r="M34" i="4"/>
  <c r="L34" i="4"/>
  <c r="C34" i="4"/>
  <c r="N34" i="4" s="1"/>
  <c r="Q34" i="4" s="1"/>
  <c r="S33" i="4"/>
  <c r="O33" i="4"/>
  <c r="M33" i="4"/>
  <c r="L33" i="4"/>
  <c r="C33" i="4"/>
  <c r="N33" i="4" s="1"/>
  <c r="Q33" i="4" s="1"/>
  <c r="S32" i="4"/>
  <c r="O32" i="4"/>
  <c r="M32" i="4"/>
  <c r="L32" i="4"/>
  <c r="C32" i="4"/>
  <c r="N32" i="4" s="1"/>
  <c r="Q32" i="4" s="1"/>
  <c r="S31" i="4"/>
  <c r="O31" i="4"/>
  <c r="M31" i="4"/>
  <c r="L31" i="4"/>
  <c r="C31" i="4"/>
  <c r="N31" i="4" s="1"/>
  <c r="Q31" i="4" s="1"/>
  <c r="S30" i="4"/>
  <c r="O30" i="4"/>
  <c r="M30" i="4"/>
  <c r="L30" i="4"/>
  <c r="C30" i="4"/>
  <c r="N30" i="4" s="1"/>
  <c r="Q30" i="4" s="1"/>
  <c r="S29" i="4"/>
  <c r="O29" i="4"/>
  <c r="M29" i="4"/>
  <c r="L29" i="4"/>
  <c r="C29" i="4"/>
  <c r="N29" i="4" s="1"/>
  <c r="Q29" i="4" s="1"/>
  <c r="S28" i="4"/>
  <c r="O28" i="4"/>
  <c r="M28" i="4"/>
  <c r="L28" i="4"/>
  <c r="C28" i="4"/>
  <c r="N28" i="4" s="1"/>
  <c r="Q28" i="4" s="1"/>
  <c r="S27" i="4"/>
  <c r="O27" i="4"/>
  <c r="M27" i="4"/>
  <c r="L27" i="4"/>
  <c r="C27" i="4"/>
  <c r="N27" i="4" s="1"/>
  <c r="Q27" i="4" s="1"/>
  <c r="S26" i="4"/>
  <c r="O26" i="4"/>
  <c r="M26" i="4"/>
  <c r="L26" i="4"/>
  <c r="C26" i="4"/>
  <c r="N26" i="4" s="1"/>
  <c r="Q26" i="4" s="1"/>
  <c r="S25" i="4"/>
  <c r="O25" i="4"/>
  <c r="M25" i="4"/>
  <c r="L25" i="4"/>
  <c r="C25" i="4"/>
  <c r="N25" i="4" s="1"/>
  <c r="Q25" i="4" s="1"/>
  <c r="S24" i="4"/>
  <c r="O24" i="4"/>
  <c r="M24" i="4"/>
  <c r="L24" i="4"/>
  <c r="C24" i="4"/>
  <c r="N24" i="4" s="1"/>
  <c r="Q24" i="4" s="1"/>
  <c r="S23" i="4"/>
  <c r="O23" i="4"/>
  <c r="M23" i="4"/>
  <c r="L23" i="4"/>
  <c r="C23" i="4"/>
  <c r="N23" i="4" s="1"/>
  <c r="Q23" i="4" s="1"/>
  <c r="S22" i="4"/>
  <c r="O22" i="4"/>
  <c r="M22" i="4"/>
  <c r="L22" i="4"/>
  <c r="C22" i="4"/>
  <c r="N22" i="4" s="1"/>
  <c r="Q22" i="4" s="1"/>
  <c r="S21" i="4"/>
  <c r="O21" i="4"/>
  <c r="M21" i="4"/>
  <c r="L21" i="4"/>
  <c r="C21" i="4"/>
  <c r="N21" i="4" s="1"/>
  <c r="Q21" i="4" s="1"/>
  <c r="S20" i="4"/>
  <c r="O20" i="4"/>
  <c r="M20" i="4"/>
  <c r="L20" i="4"/>
  <c r="C20" i="4"/>
  <c r="N20" i="4" s="1"/>
  <c r="Q20" i="4" s="1"/>
  <c r="S19" i="4"/>
  <c r="O19" i="4"/>
  <c r="M19" i="4"/>
  <c r="L19" i="4"/>
  <c r="C19" i="4"/>
  <c r="N19" i="4" s="1"/>
  <c r="Q19" i="4" s="1"/>
  <c r="S18" i="4"/>
  <c r="O18" i="4"/>
  <c r="M18" i="4"/>
  <c r="L18" i="4"/>
  <c r="C18" i="4"/>
  <c r="N18" i="4" s="1"/>
  <c r="Q18" i="4" s="1"/>
  <c r="S17" i="4"/>
  <c r="O17" i="4"/>
  <c r="M17" i="4"/>
  <c r="L17" i="4"/>
  <c r="C17" i="4"/>
  <c r="N17" i="4" s="1"/>
  <c r="Q17" i="4" s="1"/>
  <c r="S16" i="4"/>
  <c r="O16" i="4"/>
  <c r="M16" i="4"/>
  <c r="L16" i="4"/>
  <c r="C16" i="4"/>
  <c r="N16" i="4" s="1"/>
  <c r="Q16" i="4" s="1"/>
  <c r="S15" i="4"/>
  <c r="O15" i="4"/>
  <c r="M15" i="4"/>
  <c r="L15" i="4"/>
  <c r="C15" i="4"/>
  <c r="N15" i="4" s="1"/>
  <c r="Q15" i="4" s="1"/>
  <c r="S14" i="4"/>
  <c r="O14" i="4"/>
  <c r="M14" i="4"/>
  <c r="L14" i="4"/>
  <c r="C14" i="4"/>
  <c r="N14" i="4" s="1"/>
  <c r="Q14" i="4" s="1"/>
  <c r="S13" i="4"/>
  <c r="O13" i="4"/>
  <c r="M13" i="4"/>
  <c r="L13" i="4"/>
  <c r="C13" i="4"/>
  <c r="N13" i="4" s="1"/>
  <c r="Q13" i="4" s="1"/>
  <c r="O12" i="4"/>
  <c r="M12" i="4"/>
  <c r="L12" i="4"/>
  <c r="C12" i="4"/>
  <c r="N12" i="4" s="1"/>
  <c r="H62" i="3"/>
  <c r="S61" i="3"/>
  <c r="M61" i="3"/>
  <c r="O61" i="3" s="1"/>
  <c r="L61" i="3"/>
  <c r="C61" i="3"/>
  <c r="N61" i="3" s="1"/>
  <c r="Q61" i="3" s="1"/>
  <c r="S60" i="3"/>
  <c r="M60" i="3"/>
  <c r="O60" i="3" s="1"/>
  <c r="L60" i="3"/>
  <c r="C60" i="3"/>
  <c r="N60" i="3" s="1"/>
  <c r="Q60" i="3" s="1"/>
  <c r="S59" i="3"/>
  <c r="M59" i="3"/>
  <c r="O59" i="3" s="1"/>
  <c r="L59" i="3"/>
  <c r="C59" i="3"/>
  <c r="N59" i="3" s="1"/>
  <c r="Q59" i="3" s="1"/>
  <c r="S58" i="3"/>
  <c r="M58" i="3"/>
  <c r="O58" i="3" s="1"/>
  <c r="L58" i="3"/>
  <c r="C58" i="3"/>
  <c r="N58" i="3" s="1"/>
  <c r="Q58" i="3" s="1"/>
  <c r="S57" i="3"/>
  <c r="M57" i="3"/>
  <c r="O57" i="3" s="1"/>
  <c r="L57" i="3"/>
  <c r="C57" i="3"/>
  <c r="N57" i="3" s="1"/>
  <c r="Q57" i="3" s="1"/>
  <c r="S56" i="3"/>
  <c r="M56" i="3"/>
  <c r="O56" i="3" s="1"/>
  <c r="L56" i="3"/>
  <c r="C56" i="3"/>
  <c r="N56" i="3" s="1"/>
  <c r="Q56" i="3" s="1"/>
  <c r="S55" i="3"/>
  <c r="M55" i="3"/>
  <c r="O55" i="3" s="1"/>
  <c r="L55" i="3"/>
  <c r="C55" i="3"/>
  <c r="N55" i="3" s="1"/>
  <c r="Q55" i="3" s="1"/>
  <c r="S54" i="3"/>
  <c r="M54" i="3"/>
  <c r="O54" i="3" s="1"/>
  <c r="L54" i="3"/>
  <c r="C54" i="3"/>
  <c r="N54" i="3" s="1"/>
  <c r="Q54" i="3" s="1"/>
  <c r="S53" i="3"/>
  <c r="M53" i="3"/>
  <c r="O53" i="3" s="1"/>
  <c r="L53" i="3"/>
  <c r="C53" i="3"/>
  <c r="N53" i="3" s="1"/>
  <c r="Q53" i="3" s="1"/>
  <c r="S52" i="3"/>
  <c r="M52" i="3"/>
  <c r="O52" i="3" s="1"/>
  <c r="L52" i="3"/>
  <c r="C52" i="3"/>
  <c r="N52" i="3" s="1"/>
  <c r="Q52" i="3" s="1"/>
  <c r="S51" i="3"/>
  <c r="M51" i="3"/>
  <c r="O51" i="3" s="1"/>
  <c r="L51" i="3"/>
  <c r="C51" i="3"/>
  <c r="N51" i="3" s="1"/>
  <c r="Q51" i="3" s="1"/>
  <c r="S50" i="3"/>
  <c r="M50" i="3"/>
  <c r="O50" i="3" s="1"/>
  <c r="L50" i="3"/>
  <c r="C50" i="3"/>
  <c r="N50" i="3" s="1"/>
  <c r="Q50" i="3" s="1"/>
  <c r="S49" i="3"/>
  <c r="M49" i="3"/>
  <c r="O49" i="3" s="1"/>
  <c r="L49" i="3"/>
  <c r="C49" i="3"/>
  <c r="N49" i="3" s="1"/>
  <c r="Q49" i="3" s="1"/>
  <c r="S48" i="3"/>
  <c r="M48" i="3"/>
  <c r="O48" i="3" s="1"/>
  <c r="L48" i="3"/>
  <c r="C48" i="3"/>
  <c r="N48" i="3" s="1"/>
  <c r="Q48" i="3" s="1"/>
  <c r="S47" i="3"/>
  <c r="M47" i="3"/>
  <c r="O47" i="3" s="1"/>
  <c r="L47" i="3"/>
  <c r="C47" i="3"/>
  <c r="N47" i="3" s="1"/>
  <c r="Q47" i="3" s="1"/>
  <c r="S46" i="3"/>
  <c r="M46" i="3"/>
  <c r="O46" i="3" s="1"/>
  <c r="L46" i="3"/>
  <c r="C46" i="3"/>
  <c r="N46" i="3" s="1"/>
  <c r="Q46" i="3" s="1"/>
  <c r="S45" i="3"/>
  <c r="M45" i="3"/>
  <c r="O45" i="3" s="1"/>
  <c r="L45" i="3"/>
  <c r="C45" i="3"/>
  <c r="N45" i="3" s="1"/>
  <c r="Q45" i="3" s="1"/>
  <c r="S44" i="3"/>
  <c r="M44" i="3"/>
  <c r="O44" i="3" s="1"/>
  <c r="L44" i="3"/>
  <c r="C44" i="3"/>
  <c r="N44" i="3" s="1"/>
  <c r="Q44" i="3" s="1"/>
  <c r="S43" i="3"/>
  <c r="N43" i="3"/>
  <c r="Q43" i="3" s="1"/>
  <c r="M43" i="3"/>
  <c r="O43" i="3" s="1"/>
  <c r="L43" i="3"/>
  <c r="C43" i="3"/>
  <c r="S42" i="3"/>
  <c r="N42" i="3"/>
  <c r="Q42" i="3" s="1"/>
  <c r="M42" i="3"/>
  <c r="O42" i="3" s="1"/>
  <c r="R42" i="3" s="1"/>
  <c r="L42" i="3"/>
  <c r="C42" i="3"/>
  <c r="S41" i="3"/>
  <c r="N41" i="3"/>
  <c r="Q41" i="3" s="1"/>
  <c r="M41" i="3"/>
  <c r="O41" i="3" s="1"/>
  <c r="L41" i="3"/>
  <c r="C41" i="3"/>
  <c r="S40" i="3"/>
  <c r="N40" i="3"/>
  <c r="Q40" i="3" s="1"/>
  <c r="M40" i="3"/>
  <c r="O40" i="3" s="1"/>
  <c r="R40" i="3" s="1"/>
  <c r="L40" i="3"/>
  <c r="C40" i="3"/>
  <c r="S39" i="3"/>
  <c r="N39" i="3"/>
  <c r="Q39" i="3" s="1"/>
  <c r="M39" i="3"/>
  <c r="O39" i="3" s="1"/>
  <c r="L39" i="3"/>
  <c r="C39" i="3"/>
  <c r="S38" i="3"/>
  <c r="N38" i="3"/>
  <c r="Q38" i="3" s="1"/>
  <c r="M38" i="3"/>
  <c r="O38" i="3" s="1"/>
  <c r="R38" i="3" s="1"/>
  <c r="L38" i="3"/>
  <c r="C38" i="3"/>
  <c r="S37" i="3"/>
  <c r="N37" i="3"/>
  <c r="Q37" i="3" s="1"/>
  <c r="M37" i="3"/>
  <c r="O37" i="3" s="1"/>
  <c r="L37" i="3"/>
  <c r="C37" i="3"/>
  <c r="S36" i="3"/>
  <c r="N36" i="3"/>
  <c r="Q36" i="3" s="1"/>
  <c r="M36" i="3"/>
  <c r="O36" i="3" s="1"/>
  <c r="R36" i="3" s="1"/>
  <c r="L36" i="3"/>
  <c r="C36" i="3"/>
  <c r="S35" i="3"/>
  <c r="N35" i="3"/>
  <c r="Q35" i="3" s="1"/>
  <c r="M35" i="3"/>
  <c r="O35" i="3" s="1"/>
  <c r="L35" i="3"/>
  <c r="C35" i="3"/>
  <c r="S34" i="3"/>
  <c r="M34" i="3"/>
  <c r="O34" i="3" s="1"/>
  <c r="L34" i="3"/>
  <c r="C34" i="3"/>
  <c r="N34" i="3" s="1"/>
  <c r="Q34" i="3" s="1"/>
  <c r="S33" i="3"/>
  <c r="M33" i="3"/>
  <c r="O33" i="3" s="1"/>
  <c r="L33" i="3"/>
  <c r="C33" i="3"/>
  <c r="N33" i="3" s="1"/>
  <c r="Q33" i="3" s="1"/>
  <c r="S32" i="3"/>
  <c r="M32" i="3"/>
  <c r="O32" i="3" s="1"/>
  <c r="L32" i="3"/>
  <c r="C32" i="3"/>
  <c r="N32" i="3" s="1"/>
  <c r="Q32" i="3" s="1"/>
  <c r="S31" i="3"/>
  <c r="M31" i="3"/>
  <c r="O31" i="3" s="1"/>
  <c r="L31" i="3"/>
  <c r="C31" i="3"/>
  <c r="N31" i="3" s="1"/>
  <c r="Q31" i="3" s="1"/>
  <c r="S30" i="3"/>
  <c r="M30" i="3"/>
  <c r="O30" i="3" s="1"/>
  <c r="L30" i="3"/>
  <c r="C30" i="3"/>
  <c r="N30" i="3" s="1"/>
  <c r="Q30" i="3" s="1"/>
  <c r="S29" i="3"/>
  <c r="M29" i="3"/>
  <c r="O29" i="3" s="1"/>
  <c r="L29" i="3"/>
  <c r="C29" i="3"/>
  <c r="N29" i="3" s="1"/>
  <c r="Q29" i="3" s="1"/>
  <c r="S28" i="3"/>
  <c r="M28" i="3"/>
  <c r="O28" i="3" s="1"/>
  <c r="L28" i="3"/>
  <c r="C28" i="3"/>
  <c r="N28" i="3" s="1"/>
  <c r="Q28" i="3" s="1"/>
  <c r="S27" i="3"/>
  <c r="M27" i="3"/>
  <c r="O27" i="3" s="1"/>
  <c r="L27" i="3"/>
  <c r="C27" i="3"/>
  <c r="N27" i="3" s="1"/>
  <c r="Q27" i="3" s="1"/>
  <c r="S26" i="3"/>
  <c r="M26" i="3"/>
  <c r="O26" i="3" s="1"/>
  <c r="L26" i="3"/>
  <c r="C26" i="3"/>
  <c r="N26" i="3" s="1"/>
  <c r="Q26" i="3" s="1"/>
  <c r="S25" i="3"/>
  <c r="M25" i="3"/>
  <c r="O25" i="3" s="1"/>
  <c r="L25" i="3"/>
  <c r="C25" i="3"/>
  <c r="N25" i="3" s="1"/>
  <c r="Q25" i="3" s="1"/>
  <c r="S24" i="3"/>
  <c r="M24" i="3"/>
  <c r="O24" i="3" s="1"/>
  <c r="L24" i="3"/>
  <c r="C24" i="3"/>
  <c r="N24" i="3" s="1"/>
  <c r="Q24" i="3" s="1"/>
  <c r="S23" i="3"/>
  <c r="M23" i="3"/>
  <c r="O23" i="3" s="1"/>
  <c r="L23" i="3"/>
  <c r="C23" i="3"/>
  <c r="N23" i="3" s="1"/>
  <c r="Q23" i="3" s="1"/>
  <c r="S22" i="3"/>
  <c r="M22" i="3"/>
  <c r="O22" i="3" s="1"/>
  <c r="L22" i="3"/>
  <c r="C22" i="3"/>
  <c r="N22" i="3" s="1"/>
  <c r="Q22" i="3" s="1"/>
  <c r="S21" i="3"/>
  <c r="M21" i="3"/>
  <c r="O21" i="3" s="1"/>
  <c r="L21" i="3"/>
  <c r="C21" i="3"/>
  <c r="N21" i="3" s="1"/>
  <c r="Q21" i="3" s="1"/>
  <c r="S20" i="3"/>
  <c r="M20" i="3"/>
  <c r="O20" i="3" s="1"/>
  <c r="L20" i="3"/>
  <c r="C20" i="3"/>
  <c r="N20" i="3" s="1"/>
  <c r="Q20" i="3" s="1"/>
  <c r="S19" i="3"/>
  <c r="M19" i="3"/>
  <c r="O19" i="3" s="1"/>
  <c r="L19" i="3"/>
  <c r="C19" i="3"/>
  <c r="N19" i="3" s="1"/>
  <c r="Q19" i="3" s="1"/>
  <c r="S18" i="3"/>
  <c r="N18" i="3"/>
  <c r="Q18" i="3" s="1"/>
  <c r="M18" i="3"/>
  <c r="O18" i="3" s="1"/>
  <c r="R18" i="3" s="1"/>
  <c r="L18" i="3"/>
  <c r="C18" i="3"/>
  <c r="S17" i="3"/>
  <c r="N17" i="3"/>
  <c r="Q17" i="3" s="1"/>
  <c r="M17" i="3"/>
  <c r="O17" i="3" s="1"/>
  <c r="L17" i="3"/>
  <c r="C17" i="3"/>
  <c r="S16" i="3"/>
  <c r="N16" i="3"/>
  <c r="Q16" i="3" s="1"/>
  <c r="M16" i="3"/>
  <c r="O16" i="3" s="1"/>
  <c r="R16" i="3" s="1"/>
  <c r="L16" i="3"/>
  <c r="C16" i="3"/>
  <c r="S15" i="3"/>
  <c r="N15" i="3"/>
  <c r="Q15" i="3" s="1"/>
  <c r="M15" i="3"/>
  <c r="O15" i="3" s="1"/>
  <c r="L15" i="3"/>
  <c r="C15" i="3"/>
  <c r="S14" i="3"/>
  <c r="N14" i="3"/>
  <c r="Q14" i="3" s="1"/>
  <c r="M14" i="3"/>
  <c r="O14" i="3" s="1"/>
  <c r="R14" i="3" s="1"/>
  <c r="L14" i="3"/>
  <c r="C14" i="3"/>
  <c r="S13" i="3"/>
  <c r="N13" i="3"/>
  <c r="Q13" i="3" s="1"/>
  <c r="M13" i="3"/>
  <c r="O13" i="3" s="1"/>
  <c r="L13" i="3"/>
  <c r="C13" i="3"/>
  <c r="M12" i="3"/>
  <c r="O12" i="3" s="1"/>
  <c r="L12" i="3"/>
  <c r="C12" i="3"/>
  <c r="N12" i="3" s="1"/>
  <c r="H62" i="2"/>
  <c r="O61" i="2"/>
  <c r="N61" i="2"/>
  <c r="Q61" i="2" s="1"/>
  <c r="M61" i="2"/>
  <c r="L61" i="2"/>
  <c r="C61" i="2"/>
  <c r="O60" i="2"/>
  <c r="M60" i="2"/>
  <c r="L60" i="2"/>
  <c r="C60" i="2"/>
  <c r="N60" i="2" s="1"/>
  <c r="Q60" i="2" s="1"/>
  <c r="O59" i="2"/>
  <c r="M59" i="2"/>
  <c r="L59" i="2"/>
  <c r="C59" i="2"/>
  <c r="N59" i="2" s="1"/>
  <c r="Q59" i="2" s="1"/>
  <c r="O58" i="2"/>
  <c r="N58" i="2"/>
  <c r="Q58" i="2" s="1"/>
  <c r="M58" i="2"/>
  <c r="L58" i="2"/>
  <c r="C58" i="2"/>
  <c r="O57" i="2"/>
  <c r="M57" i="2"/>
  <c r="L57" i="2"/>
  <c r="C57" i="2"/>
  <c r="N57" i="2" s="1"/>
  <c r="Q57" i="2" s="1"/>
  <c r="O56" i="2"/>
  <c r="M56" i="2"/>
  <c r="L56" i="2"/>
  <c r="C56" i="2"/>
  <c r="N56" i="2" s="1"/>
  <c r="Q56" i="2" s="1"/>
  <c r="O55" i="2"/>
  <c r="N55" i="2"/>
  <c r="Q55" i="2" s="1"/>
  <c r="M55" i="2"/>
  <c r="L55" i="2"/>
  <c r="C55" i="2"/>
  <c r="O54" i="2"/>
  <c r="M54" i="2"/>
  <c r="L54" i="2"/>
  <c r="C54" i="2"/>
  <c r="N54" i="2" s="1"/>
  <c r="Q54" i="2" s="1"/>
  <c r="O53" i="2"/>
  <c r="N53" i="2"/>
  <c r="Q53" i="2" s="1"/>
  <c r="M53" i="2"/>
  <c r="L53" i="2"/>
  <c r="C53" i="2"/>
  <c r="O52" i="2"/>
  <c r="M52" i="2"/>
  <c r="L52" i="2"/>
  <c r="C52" i="2"/>
  <c r="N52" i="2" s="1"/>
  <c r="Q52" i="2" s="1"/>
  <c r="O51" i="2"/>
  <c r="N51" i="2"/>
  <c r="Q51" i="2" s="1"/>
  <c r="M51" i="2"/>
  <c r="L51" i="2"/>
  <c r="C51" i="2"/>
  <c r="O50" i="2"/>
  <c r="M50" i="2"/>
  <c r="L50" i="2"/>
  <c r="C50" i="2"/>
  <c r="N50" i="2" s="1"/>
  <c r="Q50" i="2" s="1"/>
  <c r="O49" i="2"/>
  <c r="N49" i="2"/>
  <c r="Q49" i="2" s="1"/>
  <c r="M49" i="2"/>
  <c r="L49" i="2"/>
  <c r="C49" i="2"/>
  <c r="O48" i="2"/>
  <c r="M48" i="2"/>
  <c r="L48" i="2"/>
  <c r="C48" i="2"/>
  <c r="N48" i="2" s="1"/>
  <c r="Q48" i="2" s="1"/>
  <c r="O47" i="2"/>
  <c r="N47" i="2"/>
  <c r="Q47" i="2" s="1"/>
  <c r="M47" i="2"/>
  <c r="L47" i="2"/>
  <c r="C47" i="2"/>
  <c r="O46" i="2"/>
  <c r="M46" i="2"/>
  <c r="L46" i="2"/>
  <c r="C46" i="2"/>
  <c r="N46" i="2" s="1"/>
  <c r="Q46" i="2" s="1"/>
  <c r="O45" i="2"/>
  <c r="N45" i="2"/>
  <c r="Q45" i="2" s="1"/>
  <c r="M45" i="2"/>
  <c r="L45" i="2"/>
  <c r="C45" i="2"/>
  <c r="O44" i="2"/>
  <c r="M44" i="2"/>
  <c r="L44" i="2"/>
  <c r="C44" i="2"/>
  <c r="N44" i="2" s="1"/>
  <c r="Q44" i="2" s="1"/>
  <c r="O43" i="2"/>
  <c r="N43" i="2"/>
  <c r="Q43" i="2" s="1"/>
  <c r="M43" i="2"/>
  <c r="L43" i="2"/>
  <c r="C43" i="2"/>
  <c r="O42" i="2"/>
  <c r="M42" i="2"/>
  <c r="L42" i="2"/>
  <c r="C42" i="2"/>
  <c r="N42" i="2" s="1"/>
  <c r="Q42" i="2" s="1"/>
  <c r="O41" i="2"/>
  <c r="N41" i="2"/>
  <c r="Q41" i="2" s="1"/>
  <c r="M41" i="2"/>
  <c r="L41" i="2"/>
  <c r="C41" i="2"/>
  <c r="O40" i="2"/>
  <c r="M40" i="2"/>
  <c r="L40" i="2"/>
  <c r="C40" i="2"/>
  <c r="N40" i="2" s="1"/>
  <c r="Q40" i="2" s="1"/>
  <c r="O39" i="2"/>
  <c r="N39" i="2"/>
  <c r="Q39" i="2" s="1"/>
  <c r="M39" i="2"/>
  <c r="L39" i="2"/>
  <c r="C39" i="2"/>
  <c r="O38" i="2"/>
  <c r="M38" i="2"/>
  <c r="L38" i="2"/>
  <c r="C38" i="2"/>
  <c r="N38" i="2" s="1"/>
  <c r="Q38" i="2" s="1"/>
  <c r="O37" i="2"/>
  <c r="N37" i="2"/>
  <c r="Q37" i="2" s="1"/>
  <c r="M37" i="2"/>
  <c r="L37" i="2"/>
  <c r="C37" i="2"/>
  <c r="O36" i="2"/>
  <c r="M36" i="2"/>
  <c r="L36" i="2"/>
  <c r="C36" i="2"/>
  <c r="N36" i="2" s="1"/>
  <c r="Q36" i="2" s="1"/>
  <c r="O35" i="2"/>
  <c r="N35" i="2"/>
  <c r="Q35" i="2" s="1"/>
  <c r="M35" i="2"/>
  <c r="L35" i="2"/>
  <c r="C35" i="2"/>
  <c r="O34" i="2"/>
  <c r="M34" i="2"/>
  <c r="L34" i="2"/>
  <c r="C34" i="2"/>
  <c r="N34" i="2" s="1"/>
  <c r="Q34" i="2" s="1"/>
  <c r="O33" i="2"/>
  <c r="N33" i="2"/>
  <c r="Q33" i="2" s="1"/>
  <c r="M33" i="2"/>
  <c r="L33" i="2"/>
  <c r="C33" i="2"/>
  <c r="O32" i="2"/>
  <c r="M32" i="2"/>
  <c r="L32" i="2"/>
  <c r="C32" i="2"/>
  <c r="N32" i="2" s="1"/>
  <c r="Q32" i="2" s="1"/>
  <c r="O31" i="2"/>
  <c r="N31" i="2"/>
  <c r="Q31" i="2" s="1"/>
  <c r="M31" i="2"/>
  <c r="L31" i="2"/>
  <c r="C31" i="2"/>
  <c r="O30" i="2"/>
  <c r="M30" i="2"/>
  <c r="L30" i="2"/>
  <c r="C30" i="2"/>
  <c r="N30" i="2" s="1"/>
  <c r="Q30" i="2" s="1"/>
  <c r="O29" i="2"/>
  <c r="N29" i="2"/>
  <c r="Q29" i="2" s="1"/>
  <c r="M29" i="2"/>
  <c r="L29" i="2"/>
  <c r="C29" i="2"/>
  <c r="O28" i="2"/>
  <c r="M28" i="2"/>
  <c r="L28" i="2"/>
  <c r="C28" i="2"/>
  <c r="N28" i="2" s="1"/>
  <c r="Q28" i="2" s="1"/>
  <c r="O27" i="2"/>
  <c r="N27" i="2"/>
  <c r="Q27" i="2" s="1"/>
  <c r="M27" i="2"/>
  <c r="L27" i="2"/>
  <c r="C27" i="2"/>
  <c r="O26" i="2"/>
  <c r="M26" i="2"/>
  <c r="L26" i="2"/>
  <c r="C26" i="2"/>
  <c r="N26" i="2" s="1"/>
  <c r="Q26" i="2" s="1"/>
  <c r="O25" i="2"/>
  <c r="N25" i="2"/>
  <c r="Q25" i="2" s="1"/>
  <c r="M25" i="2"/>
  <c r="L25" i="2"/>
  <c r="C25" i="2"/>
  <c r="O24" i="2"/>
  <c r="M24" i="2"/>
  <c r="L24" i="2"/>
  <c r="C24" i="2"/>
  <c r="N24" i="2" s="1"/>
  <c r="Q24" i="2" s="1"/>
  <c r="O23" i="2"/>
  <c r="N23" i="2"/>
  <c r="Q23" i="2" s="1"/>
  <c r="M23" i="2"/>
  <c r="L23" i="2"/>
  <c r="C23" i="2"/>
  <c r="O22" i="2"/>
  <c r="M22" i="2"/>
  <c r="L22" i="2"/>
  <c r="C22" i="2"/>
  <c r="N22" i="2" s="1"/>
  <c r="Q22" i="2" s="1"/>
  <c r="O21" i="2"/>
  <c r="N21" i="2"/>
  <c r="Q21" i="2" s="1"/>
  <c r="M21" i="2"/>
  <c r="L21" i="2"/>
  <c r="C21" i="2"/>
  <c r="O20" i="2"/>
  <c r="M20" i="2"/>
  <c r="L20" i="2"/>
  <c r="C20" i="2"/>
  <c r="N20" i="2" s="1"/>
  <c r="Q20" i="2" s="1"/>
  <c r="O19" i="2"/>
  <c r="N19" i="2"/>
  <c r="Q19" i="2" s="1"/>
  <c r="M19" i="2"/>
  <c r="L19" i="2"/>
  <c r="C19" i="2"/>
  <c r="O18" i="2"/>
  <c r="M18" i="2"/>
  <c r="L18" i="2"/>
  <c r="C18" i="2"/>
  <c r="N18" i="2" s="1"/>
  <c r="Q18" i="2" s="1"/>
  <c r="O17" i="2"/>
  <c r="N17" i="2"/>
  <c r="Q17" i="2" s="1"/>
  <c r="M17" i="2"/>
  <c r="L17" i="2"/>
  <c r="C17" i="2"/>
  <c r="O16" i="2"/>
  <c r="M16" i="2"/>
  <c r="L16" i="2"/>
  <c r="C16" i="2"/>
  <c r="N16" i="2" s="1"/>
  <c r="Q16" i="2" s="1"/>
  <c r="O15" i="2"/>
  <c r="N15" i="2"/>
  <c r="Q15" i="2" s="1"/>
  <c r="M15" i="2"/>
  <c r="L15" i="2"/>
  <c r="C15" i="2"/>
  <c r="O14" i="2"/>
  <c r="M14" i="2"/>
  <c r="L14" i="2"/>
  <c r="C14" i="2"/>
  <c r="N14" i="2" s="1"/>
  <c r="Q14" i="2" s="1"/>
  <c r="O13" i="2"/>
  <c r="N13" i="2"/>
  <c r="Q13" i="2" s="1"/>
  <c r="M13" i="2"/>
  <c r="L13" i="2"/>
  <c r="C13" i="2"/>
  <c r="O12" i="2"/>
  <c r="M12" i="2"/>
  <c r="L12" i="2"/>
  <c r="C12" i="2"/>
  <c r="N12" i="2" s="1"/>
  <c r="R14" i="2" l="1"/>
  <c r="T14" i="2" s="1"/>
  <c r="U14" i="2" s="1"/>
  <c r="R20" i="2"/>
  <c r="T20" i="2" s="1"/>
  <c r="U20" i="2" s="1"/>
  <c r="R26" i="2"/>
  <c r="T26" i="2" s="1"/>
  <c r="U26" i="2" s="1"/>
  <c r="R18" i="2"/>
  <c r="T18" i="2" s="1"/>
  <c r="U18" i="2" s="1"/>
  <c r="R13" i="2"/>
  <c r="T13" i="2" s="1"/>
  <c r="U13" i="2" s="1"/>
  <c r="R25" i="2"/>
  <c r="T25" i="2" s="1"/>
  <c r="U25" i="2" s="1"/>
  <c r="R32" i="2"/>
  <c r="T32" i="2" s="1"/>
  <c r="U32" i="2" s="1"/>
  <c r="R15" i="2"/>
  <c r="T15" i="2" s="1"/>
  <c r="U15" i="2" s="1"/>
  <c r="R23" i="2"/>
  <c r="T23" i="2" s="1"/>
  <c r="U23" i="2" s="1"/>
  <c r="R29" i="2"/>
  <c r="T29" i="2" s="1"/>
  <c r="U29" i="2" s="1"/>
  <c r="R33" i="2"/>
  <c r="T33" i="2" s="1"/>
  <c r="U33" i="2" s="1"/>
  <c r="R37" i="2"/>
  <c r="T37" i="2" s="1"/>
  <c r="U37" i="2" s="1"/>
  <c r="R41" i="2"/>
  <c r="T41" i="2" s="1"/>
  <c r="U41" i="2" s="1"/>
  <c r="R45" i="2"/>
  <c r="T45" i="2" s="1"/>
  <c r="U45" i="2" s="1"/>
  <c r="R49" i="2"/>
  <c r="T49" i="2" s="1"/>
  <c r="U49" i="2" s="1"/>
  <c r="R53" i="2"/>
  <c r="T53" i="2" s="1"/>
  <c r="U53" i="2" s="1"/>
  <c r="R58" i="2"/>
  <c r="T58" i="2" s="1"/>
  <c r="U58" i="2" s="1"/>
  <c r="R60" i="2"/>
  <c r="T60" i="2" s="1"/>
  <c r="U60" i="2" s="1"/>
  <c r="R13" i="3"/>
  <c r="R15" i="3"/>
  <c r="R17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7" i="3"/>
  <c r="R39" i="3"/>
  <c r="R41" i="3"/>
  <c r="R43" i="3"/>
  <c r="N62" i="4"/>
  <c r="Q12" i="4"/>
  <c r="R12" i="4" s="1"/>
  <c r="N62" i="2"/>
  <c r="R16" i="2" s="1"/>
  <c r="T16" i="2" s="1"/>
  <c r="U16" i="2" s="1"/>
  <c r="Q12" i="2"/>
  <c r="R12" i="2" s="1"/>
  <c r="T12" i="2" s="1"/>
  <c r="U12" i="2" s="1"/>
  <c r="R21" i="2"/>
  <c r="T21" i="2" s="1"/>
  <c r="U21" i="2" s="1"/>
  <c r="R36" i="2"/>
  <c r="T36" i="2" s="1"/>
  <c r="U36" i="2" s="1"/>
  <c r="R39" i="2"/>
  <c r="T39" i="2" s="1"/>
  <c r="U39" i="2" s="1"/>
  <c r="R40" i="2"/>
  <c r="T40" i="2" s="1"/>
  <c r="U40" i="2" s="1"/>
  <c r="R43" i="2"/>
  <c r="T43" i="2" s="1"/>
  <c r="U43" i="2" s="1"/>
  <c r="R44" i="2"/>
  <c r="T44" i="2" s="1"/>
  <c r="U44" i="2" s="1"/>
  <c r="R47" i="2"/>
  <c r="T47" i="2" s="1"/>
  <c r="U47" i="2" s="1"/>
  <c r="R48" i="2"/>
  <c r="T48" i="2" s="1"/>
  <c r="U48" i="2" s="1"/>
  <c r="R51" i="2"/>
  <c r="T51" i="2" s="1"/>
  <c r="U51" i="2" s="1"/>
  <c r="R52" i="2"/>
  <c r="T52" i="2" s="1"/>
  <c r="U52" i="2" s="1"/>
  <c r="R55" i="2"/>
  <c r="T55" i="2" s="1"/>
  <c r="U55" i="2" s="1"/>
  <c r="R56" i="2"/>
  <c r="T56" i="2" s="1"/>
  <c r="U56" i="2" s="1"/>
  <c r="R57" i="2"/>
  <c r="T57" i="2" s="1"/>
  <c r="U57" i="2" s="1"/>
  <c r="R61" i="2"/>
  <c r="T61" i="2" s="1"/>
  <c r="U61" i="2" s="1"/>
  <c r="Q12" i="3"/>
  <c r="N62" i="3"/>
  <c r="T16" i="3" s="1"/>
  <c r="U16" i="3" s="1"/>
  <c r="R12" i="3"/>
  <c r="T14" i="3"/>
  <c r="U14" i="3" s="1"/>
  <c r="T18" i="3"/>
  <c r="U18" i="3" s="1"/>
  <c r="T38" i="3"/>
  <c r="U38" i="3" s="1"/>
  <c r="T42" i="3"/>
  <c r="U42" i="3" s="1"/>
  <c r="R44" i="3"/>
  <c r="R45" i="3"/>
  <c r="T45" i="3" s="1"/>
  <c r="U45" i="3" s="1"/>
  <c r="R46" i="3"/>
  <c r="R47" i="3"/>
  <c r="T47" i="3" s="1"/>
  <c r="U47" i="3" s="1"/>
  <c r="R48" i="3"/>
  <c r="R49" i="3"/>
  <c r="T49" i="3" s="1"/>
  <c r="U49" i="3" s="1"/>
  <c r="R50" i="3"/>
  <c r="R51" i="3"/>
  <c r="T51" i="3" s="1"/>
  <c r="U51" i="3" s="1"/>
  <c r="R52" i="3"/>
  <c r="R53" i="3"/>
  <c r="T53" i="3" s="1"/>
  <c r="U53" i="3" s="1"/>
  <c r="R54" i="3"/>
  <c r="R55" i="3"/>
  <c r="T55" i="3" s="1"/>
  <c r="U55" i="3" s="1"/>
  <c r="R56" i="3"/>
  <c r="R57" i="3"/>
  <c r="T57" i="3" s="1"/>
  <c r="U57" i="3" s="1"/>
  <c r="R58" i="3"/>
  <c r="R59" i="3"/>
  <c r="T59" i="3" s="1"/>
  <c r="U59" i="3" s="1"/>
  <c r="R60" i="3"/>
  <c r="R61" i="3"/>
  <c r="T61" i="3" s="1"/>
  <c r="U61" i="3" s="1"/>
  <c r="R13" i="4"/>
  <c r="T13" i="4" s="1"/>
  <c r="U13" i="4" s="1"/>
  <c r="R14" i="4"/>
  <c r="T14" i="4" s="1"/>
  <c r="U14" i="4" s="1"/>
  <c r="R15" i="4"/>
  <c r="T15" i="4" s="1"/>
  <c r="U15" i="4" s="1"/>
  <c r="R16" i="4"/>
  <c r="T16" i="4" s="1"/>
  <c r="U16" i="4" s="1"/>
  <c r="R17" i="4"/>
  <c r="T17" i="4" s="1"/>
  <c r="U17" i="4" s="1"/>
  <c r="R18" i="4"/>
  <c r="T18" i="4" s="1"/>
  <c r="U18" i="4" s="1"/>
  <c r="R19" i="4"/>
  <c r="T19" i="4" s="1"/>
  <c r="U19" i="4" s="1"/>
  <c r="R20" i="4"/>
  <c r="T20" i="4" s="1"/>
  <c r="U20" i="4" s="1"/>
  <c r="R21" i="4"/>
  <c r="T21" i="4" s="1"/>
  <c r="U21" i="4" s="1"/>
  <c r="R22" i="4"/>
  <c r="T22" i="4" s="1"/>
  <c r="U22" i="4" s="1"/>
  <c r="R23" i="4"/>
  <c r="T23" i="4" s="1"/>
  <c r="U23" i="4" s="1"/>
  <c r="R24" i="4"/>
  <c r="T24" i="4" s="1"/>
  <c r="U24" i="4" s="1"/>
  <c r="R25" i="4"/>
  <c r="T25" i="4" s="1"/>
  <c r="U25" i="4" s="1"/>
  <c r="R26" i="4"/>
  <c r="T26" i="4" s="1"/>
  <c r="U26" i="4" s="1"/>
  <c r="R27" i="4"/>
  <c r="T27" i="4" s="1"/>
  <c r="U27" i="4" s="1"/>
  <c r="R28" i="4"/>
  <c r="T28" i="4" s="1"/>
  <c r="U28" i="4" s="1"/>
  <c r="R29" i="4"/>
  <c r="T29" i="4" s="1"/>
  <c r="U29" i="4" s="1"/>
  <c r="R30" i="4"/>
  <c r="T30" i="4" s="1"/>
  <c r="U30" i="4" s="1"/>
  <c r="R32" i="4"/>
  <c r="T32" i="4" s="1"/>
  <c r="U32" i="4" s="1"/>
  <c r="R34" i="4"/>
  <c r="T34" i="4" s="1"/>
  <c r="U34" i="4" s="1"/>
  <c r="R36" i="4"/>
  <c r="T36" i="4" s="1"/>
  <c r="U36" i="4" s="1"/>
  <c r="R38" i="4"/>
  <c r="T38" i="4" s="1"/>
  <c r="U38" i="4" s="1"/>
  <c r="R40" i="4"/>
  <c r="T40" i="4" s="1"/>
  <c r="U40" i="4" s="1"/>
  <c r="R42" i="4"/>
  <c r="T42" i="4" s="1"/>
  <c r="U42" i="4" s="1"/>
  <c r="R44" i="4"/>
  <c r="T44" i="4" s="1"/>
  <c r="U44" i="4" s="1"/>
  <c r="R46" i="4"/>
  <c r="T46" i="4" s="1"/>
  <c r="U46" i="4" s="1"/>
  <c r="R48" i="4"/>
  <c r="T48" i="4" s="1"/>
  <c r="U48" i="4" s="1"/>
  <c r="R50" i="4"/>
  <c r="T50" i="4" s="1"/>
  <c r="U50" i="4" s="1"/>
  <c r="R52" i="4"/>
  <c r="T52" i="4" s="1"/>
  <c r="U52" i="4" s="1"/>
  <c r="R54" i="4"/>
  <c r="T54" i="4" s="1"/>
  <c r="U54" i="4" s="1"/>
  <c r="R56" i="4"/>
  <c r="T56" i="4" s="1"/>
  <c r="U56" i="4" s="1"/>
  <c r="R58" i="4"/>
  <c r="T58" i="4" s="1"/>
  <c r="U58" i="4" s="1"/>
  <c r="R60" i="4"/>
  <c r="T60" i="4" s="1"/>
  <c r="U60" i="4" s="1"/>
  <c r="N56" i="5"/>
  <c r="Q12" i="5"/>
  <c r="R12" i="5" s="1"/>
  <c r="T12" i="5" s="1"/>
  <c r="U12" i="5" s="1"/>
  <c r="R14" i="5"/>
  <c r="T14" i="5" s="1"/>
  <c r="U14" i="5" s="1"/>
  <c r="R16" i="5"/>
  <c r="T16" i="5" s="1"/>
  <c r="U16" i="5" s="1"/>
  <c r="R18" i="5"/>
  <c r="T18" i="5" s="1"/>
  <c r="U18" i="5" s="1"/>
  <c r="R20" i="5"/>
  <c r="T20" i="5" s="1"/>
  <c r="U20" i="5" s="1"/>
  <c r="R22" i="5"/>
  <c r="T22" i="5" s="1"/>
  <c r="U22" i="5" s="1"/>
  <c r="R24" i="5"/>
  <c r="T24" i="5" s="1"/>
  <c r="U24" i="5" s="1"/>
  <c r="R26" i="5"/>
  <c r="T26" i="5" s="1"/>
  <c r="U26" i="5" s="1"/>
  <c r="R28" i="5"/>
  <c r="T28" i="5" s="1"/>
  <c r="U28" i="5" s="1"/>
  <c r="R30" i="5"/>
  <c r="T30" i="5" s="1"/>
  <c r="U30" i="5" s="1"/>
  <c r="R32" i="5"/>
  <c r="T32" i="5" s="1"/>
  <c r="U32" i="5" s="1"/>
  <c r="R34" i="5"/>
  <c r="T34" i="5" s="1"/>
  <c r="U34" i="5" s="1"/>
  <c r="R31" i="4"/>
  <c r="T31" i="4" s="1"/>
  <c r="U31" i="4" s="1"/>
  <c r="R33" i="4"/>
  <c r="T33" i="4" s="1"/>
  <c r="U33" i="4" s="1"/>
  <c r="R35" i="4"/>
  <c r="T35" i="4" s="1"/>
  <c r="U35" i="4" s="1"/>
  <c r="R37" i="4"/>
  <c r="T37" i="4" s="1"/>
  <c r="U37" i="4" s="1"/>
  <c r="R39" i="4"/>
  <c r="T39" i="4" s="1"/>
  <c r="U39" i="4" s="1"/>
  <c r="R41" i="4"/>
  <c r="T41" i="4" s="1"/>
  <c r="U41" i="4" s="1"/>
  <c r="R43" i="4"/>
  <c r="T43" i="4" s="1"/>
  <c r="U43" i="4" s="1"/>
  <c r="R45" i="4"/>
  <c r="T45" i="4" s="1"/>
  <c r="U45" i="4" s="1"/>
  <c r="R47" i="4"/>
  <c r="T47" i="4" s="1"/>
  <c r="U47" i="4" s="1"/>
  <c r="R49" i="4"/>
  <c r="T49" i="4" s="1"/>
  <c r="U49" i="4" s="1"/>
  <c r="R51" i="4"/>
  <c r="T51" i="4" s="1"/>
  <c r="U51" i="4" s="1"/>
  <c r="R53" i="4"/>
  <c r="T53" i="4" s="1"/>
  <c r="U53" i="4" s="1"/>
  <c r="R55" i="4"/>
  <c r="T55" i="4" s="1"/>
  <c r="U55" i="4" s="1"/>
  <c r="R57" i="4"/>
  <c r="T57" i="4" s="1"/>
  <c r="U57" i="4" s="1"/>
  <c r="R59" i="4"/>
  <c r="T59" i="4" s="1"/>
  <c r="U59" i="4" s="1"/>
  <c r="R61" i="4"/>
  <c r="T61" i="4" s="1"/>
  <c r="U61" i="4" s="1"/>
  <c r="T13" i="5"/>
  <c r="U13" i="5" s="1"/>
  <c r="T15" i="5"/>
  <c r="U15" i="5" s="1"/>
  <c r="T17" i="5"/>
  <c r="U17" i="5" s="1"/>
  <c r="T19" i="5"/>
  <c r="U19" i="5" s="1"/>
  <c r="T21" i="5"/>
  <c r="U21" i="5" s="1"/>
  <c r="T23" i="5"/>
  <c r="U23" i="5" s="1"/>
  <c r="T25" i="5"/>
  <c r="U25" i="5" s="1"/>
  <c r="T27" i="5"/>
  <c r="U27" i="5" s="1"/>
  <c r="T29" i="5"/>
  <c r="U29" i="5" s="1"/>
  <c r="T31" i="5"/>
  <c r="U31" i="5" s="1"/>
  <c r="T33" i="5"/>
  <c r="U33" i="5" s="1"/>
  <c r="T35" i="5"/>
  <c r="U35" i="5" s="1"/>
  <c r="R37" i="5"/>
  <c r="T37" i="5" s="1"/>
  <c r="U37" i="5" s="1"/>
  <c r="R39" i="5"/>
  <c r="T39" i="5" s="1"/>
  <c r="U39" i="5" s="1"/>
  <c r="R41" i="5"/>
  <c r="T41" i="5" s="1"/>
  <c r="U41" i="5" s="1"/>
  <c r="R43" i="5"/>
  <c r="T43" i="5" s="1"/>
  <c r="U43" i="5" s="1"/>
  <c r="R45" i="5"/>
  <c r="T45" i="5" s="1"/>
  <c r="U45" i="5" s="1"/>
  <c r="R47" i="5"/>
  <c r="T47" i="5" s="1"/>
  <c r="U47" i="5" s="1"/>
  <c r="R49" i="5"/>
  <c r="T49" i="5" s="1"/>
  <c r="U49" i="5" s="1"/>
  <c r="R51" i="5"/>
  <c r="T51" i="5" s="1"/>
  <c r="U51" i="5" s="1"/>
  <c r="R53" i="5"/>
  <c r="T53" i="5" s="1"/>
  <c r="U53" i="5" s="1"/>
  <c r="R55" i="5"/>
  <c r="T55" i="5" s="1"/>
  <c r="U55" i="5" s="1"/>
  <c r="R12" i="6"/>
  <c r="S12" i="6" s="1"/>
  <c r="O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T36" i="5"/>
  <c r="U36" i="5" s="1"/>
  <c r="T38" i="5"/>
  <c r="U38" i="5" s="1"/>
  <c r="T40" i="5"/>
  <c r="U40" i="5" s="1"/>
  <c r="T42" i="5"/>
  <c r="U42" i="5" s="1"/>
  <c r="T44" i="5"/>
  <c r="U44" i="5" s="1"/>
  <c r="T46" i="5"/>
  <c r="U46" i="5" s="1"/>
  <c r="T48" i="5"/>
  <c r="U48" i="5" s="1"/>
  <c r="T50" i="5"/>
  <c r="U50" i="5" s="1"/>
  <c r="T52" i="5"/>
  <c r="U52" i="5" s="1"/>
  <c r="T54" i="5"/>
  <c r="U54" i="5" s="1"/>
  <c r="O61" i="6"/>
  <c r="R61" i="6" s="1"/>
  <c r="S61" i="6" s="1"/>
  <c r="O26" i="6"/>
  <c r="R26" i="6" s="1"/>
  <c r="S26" i="6" s="1"/>
  <c r="O27" i="6"/>
  <c r="R27" i="6" s="1"/>
  <c r="S27" i="6" s="1"/>
  <c r="O28" i="6"/>
  <c r="R28" i="6" s="1"/>
  <c r="S28" i="6" s="1"/>
  <c r="O29" i="6"/>
  <c r="R29" i="6" s="1"/>
  <c r="S29" i="6" s="1"/>
  <c r="O30" i="6"/>
  <c r="R30" i="6" s="1"/>
  <c r="S30" i="6" s="1"/>
  <c r="O31" i="6"/>
  <c r="R31" i="6" s="1"/>
  <c r="S31" i="6" s="1"/>
  <c r="O32" i="6"/>
  <c r="R32" i="6" s="1"/>
  <c r="S32" i="6" s="1"/>
  <c r="O33" i="6"/>
  <c r="R33" i="6" s="1"/>
  <c r="S33" i="6" s="1"/>
  <c r="O34" i="6"/>
  <c r="R34" i="6" s="1"/>
  <c r="S34" i="6" s="1"/>
  <c r="O35" i="6"/>
  <c r="R35" i="6" s="1"/>
  <c r="S35" i="6" s="1"/>
  <c r="O36" i="6"/>
  <c r="R36" i="6" s="1"/>
  <c r="S36" i="6" s="1"/>
  <c r="O37" i="6"/>
  <c r="R37" i="6" s="1"/>
  <c r="S37" i="6" s="1"/>
  <c r="O38" i="6"/>
  <c r="R38" i="6" s="1"/>
  <c r="S38" i="6" s="1"/>
  <c r="O39" i="6"/>
  <c r="R39" i="6" s="1"/>
  <c r="S39" i="6" s="1"/>
  <c r="O40" i="6"/>
  <c r="R40" i="6" s="1"/>
  <c r="S40" i="6" s="1"/>
  <c r="O41" i="6"/>
  <c r="R41" i="6" s="1"/>
  <c r="S41" i="6" s="1"/>
  <c r="O42" i="6"/>
  <c r="R42" i="6" s="1"/>
  <c r="S42" i="6" s="1"/>
  <c r="O43" i="6"/>
  <c r="R43" i="6" s="1"/>
  <c r="S43" i="6" s="1"/>
  <c r="O44" i="6"/>
  <c r="R44" i="6" s="1"/>
  <c r="S44" i="6" s="1"/>
  <c r="O45" i="6"/>
  <c r="R45" i="6" s="1"/>
  <c r="S45" i="6" s="1"/>
  <c r="O46" i="6"/>
  <c r="R46" i="6" s="1"/>
  <c r="S46" i="6" s="1"/>
  <c r="O47" i="6"/>
  <c r="R47" i="6" s="1"/>
  <c r="S47" i="6" s="1"/>
  <c r="O48" i="6"/>
  <c r="R48" i="6" s="1"/>
  <c r="S48" i="6" s="1"/>
  <c r="O49" i="6"/>
  <c r="R49" i="6" s="1"/>
  <c r="S49" i="6" s="1"/>
  <c r="O50" i="6"/>
  <c r="R50" i="6" s="1"/>
  <c r="S50" i="6" s="1"/>
  <c r="O51" i="6"/>
  <c r="R51" i="6" s="1"/>
  <c r="S51" i="6" s="1"/>
  <c r="O52" i="6"/>
  <c r="R52" i="6" s="1"/>
  <c r="S52" i="6" s="1"/>
  <c r="O53" i="6"/>
  <c r="R53" i="6" s="1"/>
  <c r="S53" i="6" s="1"/>
  <c r="O54" i="6"/>
  <c r="R54" i="6" s="1"/>
  <c r="S54" i="6" s="1"/>
  <c r="O55" i="6"/>
  <c r="R55" i="6" s="1"/>
  <c r="S55" i="6" s="1"/>
  <c r="O56" i="6"/>
  <c r="R56" i="6" s="1"/>
  <c r="S56" i="6" s="1"/>
  <c r="O57" i="6"/>
  <c r="R57" i="6" s="1"/>
  <c r="S57" i="6" s="1"/>
  <c r="O58" i="6"/>
  <c r="R58" i="6" s="1"/>
  <c r="S58" i="6" s="1"/>
  <c r="O59" i="6"/>
  <c r="R59" i="6" s="1"/>
  <c r="S59" i="6" s="1"/>
  <c r="O60" i="6"/>
  <c r="R60" i="6" s="1"/>
  <c r="S60" i="6" s="1"/>
  <c r="M12" i="7"/>
  <c r="O12" i="7" s="1"/>
  <c r="P12" i="7" s="1"/>
  <c r="E4" i="8"/>
  <c r="E6" i="8"/>
  <c r="E8" i="8"/>
  <c r="M41" i="7"/>
  <c r="O41" i="7" s="1"/>
  <c r="P41" i="7" s="1"/>
  <c r="M42" i="7"/>
  <c r="O42" i="7" s="1"/>
  <c r="P42" i="7" s="1"/>
  <c r="M46" i="7"/>
  <c r="O46" i="7" s="1"/>
  <c r="P46" i="7" s="1"/>
  <c r="M50" i="7"/>
  <c r="O50" i="7" s="1"/>
  <c r="P50" i="7" s="1"/>
  <c r="M54" i="7"/>
  <c r="O54" i="7" s="1"/>
  <c r="P54" i="7" s="1"/>
  <c r="M58" i="7"/>
  <c r="O58" i="7" s="1"/>
  <c r="P58" i="7" s="1"/>
  <c r="M62" i="7"/>
  <c r="O62" i="7" s="1"/>
  <c r="P62" i="7" s="1"/>
  <c r="M63" i="7"/>
  <c r="O63" i="7" s="1"/>
  <c r="P63" i="7" s="1"/>
  <c r="M64" i="7"/>
  <c r="O64" i="7" s="1"/>
  <c r="P64" i="7" s="1"/>
  <c r="M65" i="7"/>
  <c r="O65" i="7" s="1"/>
  <c r="P65" i="7" s="1"/>
  <c r="M66" i="7"/>
  <c r="O66" i="7" s="1"/>
  <c r="P66" i="7" s="1"/>
  <c r="M67" i="7"/>
  <c r="O67" i="7" s="1"/>
  <c r="P67" i="7" s="1"/>
  <c r="M68" i="7"/>
  <c r="O68" i="7" s="1"/>
  <c r="P68" i="7" s="1"/>
  <c r="M69" i="7"/>
  <c r="O69" i="7" s="1"/>
  <c r="P69" i="7" s="1"/>
  <c r="M70" i="7"/>
  <c r="O70" i="7" s="1"/>
  <c r="P70" i="7" s="1"/>
  <c r="M71" i="7"/>
  <c r="O71" i="7" s="1"/>
  <c r="P71" i="7" s="1"/>
  <c r="M72" i="7"/>
  <c r="O72" i="7" s="1"/>
  <c r="P72" i="7" s="1"/>
  <c r="M73" i="7"/>
  <c r="O73" i="7" s="1"/>
  <c r="P73" i="7" s="1"/>
  <c r="M74" i="7"/>
  <c r="O74" i="7" s="1"/>
  <c r="P74" i="7" s="1"/>
  <c r="M75" i="7"/>
  <c r="O75" i="7" s="1"/>
  <c r="P75" i="7" s="1"/>
  <c r="M76" i="7"/>
  <c r="O76" i="7" s="1"/>
  <c r="P76" i="7" s="1"/>
  <c r="M77" i="7"/>
  <c r="O77" i="7" s="1"/>
  <c r="P77" i="7" s="1"/>
  <c r="M78" i="7"/>
  <c r="O78" i="7" s="1"/>
  <c r="P78" i="7" s="1"/>
  <c r="M79" i="7"/>
  <c r="O79" i="7" s="1"/>
  <c r="P79" i="7" s="1"/>
  <c r="M80" i="7"/>
  <c r="O80" i="7" s="1"/>
  <c r="P80" i="7" s="1"/>
  <c r="M81" i="7"/>
  <c r="O81" i="7" s="1"/>
  <c r="P81" i="7" s="1"/>
  <c r="F10" i="8"/>
  <c r="E5" i="8"/>
  <c r="E7" i="8"/>
  <c r="E9" i="8"/>
  <c r="T12" i="4" l="1"/>
  <c r="U12" i="4" s="1"/>
  <c r="O62" i="6"/>
  <c r="U59" i="6" s="1"/>
  <c r="V59" i="6" s="1"/>
  <c r="T60" i="3"/>
  <c r="U60" i="3" s="1"/>
  <c r="T58" i="3"/>
  <c r="U58" i="3" s="1"/>
  <c r="T56" i="3"/>
  <c r="U56" i="3" s="1"/>
  <c r="T54" i="3"/>
  <c r="U54" i="3" s="1"/>
  <c r="T52" i="3"/>
  <c r="U52" i="3" s="1"/>
  <c r="T50" i="3"/>
  <c r="U50" i="3" s="1"/>
  <c r="T48" i="3"/>
  <c r="U48" i="3" s="1"/>
  <c r="T46" i="3"/>
  <c r="U46" i="3" s="1"/>
  <c r="T44" i="3"/>
  <c r="U44" i="3" s="1"/>
  <c r="T40" i="3"/>
  <c r="U40" i="3" s="1"/>
  <c r="T36" i="3"/>
  <c r="U36" i="3" s="1"/>
  <c r="T12" i="3"/>
  <c r="U12" i="3" s="1"/>
  <c r="T41" i="3"/>
  <c r="U41" i="3" s="1"/>
  <c r="T37" i="3"/>
  <c r="U37" i="3" s="1"/>
  <c r="T34" i="3"/>
  <c r="U34" i="3" s="1"/>
  <c r="T32" i="3"/>
  <c r="U32" i="3" s="1"/>
  <c r="T30" i="3"/>
  <c r="U30" i="3" s="1"/>
  <c r="T28" i="3"/>
  <c r="U28" i="3" s="1"/>
  <c r="T26" i="3"/>
  <c r="U26" i="3" s="1"/>
  <c r="T24" i="3"/>
  <c r="U24" i="3" s="1"/>
  <c r="T22" i="3"/>
  <c r="U22" i="3" s="1"/>
  <c r="T20" i="3"/>
  <c r="U20" i="3" s="1"/>
  <c r="T17" i="3"/>
  <c r="U17" i="3" s="1"/>
  <c r="T13" i="3"/>
  <c r="U13" i="3" s="1"/>
  <c r="R59" i="2"/>
  <c r="T59" i="2" s="1"/>
  <c r="U59" i="2" s="1"/>
  <c r="R54" i="2"/>
  <c r="T54" i="2" s="1"/>
  <c r="U54" i="2" s="1"/>
  <c r="R50" i="2"/>
  <c r="T50" i="2" s="1"/>
  <c r="U50" i="2" s="1"/>
  <c r="R46" i="2"/>
  <c r="T46" i="2" s="1"/>
  <c r="U46" i="2" s="1"/>
  <c r="R42" i="2"/>
  <c r="T42" i="2" s="1"/>
  <c r="U42" i="2" s="1"/>
  <c r="R38" i="2"/>
  <c r="T38" i="2" s="1"/>
  <c r="U38" i="2" s="1"/>
  <c r="R34" i="2"/>
  <c r="T34" i="2" s="1"/>
  <c r="U34" i="2" s="1"/>
  <c r="R30" i="2"/>
  <c r="T30" i="2" s="1"/>
  <c r="U30" i="2" s="1"/>
  <c r="R27" i="2"/>
  <c r="T27" i="2" s="1"/>
  <c r="U27" i="2" s="1"/>
  <c r="R19" i="2"/>
  <c r="T19" i="2" s="1"/>
  <c r="U19" i="2" s="1"/>
  <c r="R35" i="2"/>
  <c r="T35" i="2" s="1"/>
  <c r="U35" i="2" s="1"/>
  <c r="R31" i="2"/>
  <c r="T31" i="2" s="1"/>
  <c r="U31" i="2" s="1"/>
  <c r="R17" i="2"/>
  <c r="T17" i="2" s="1"/>
  <c r="U17" i="2" s="1"/>
  <c r="R22" i="2"/>
  <c r="T22" i="2" s="1"/>
  <c r="U22" i="2" s="1"/>
  <c r="R28" i="2"/>
  <c r="T28" i="2" s="1"/>
  <c r="U28" i="2" s="1"/>
  <c r="R24" i="2"/>
  <c r="T24" i="2" s="1"/>
  <c r="U24" i="2" s="1"/>
  <c r="C11" i="8"/>
  <c r="B11" i="8"/>
  <c r="B10" i="8"/>
  <c r="D10" i="8" s="1"/>
  <c r="E10" i="8" s="1"/>
  <c r="U25" i="6"/>
  <c r="V25" i="6" s="1"/>
  <c r="U15" i="6"/>
  <c r="V15" i="6" s="1"/>
  <c r="T43" i="3"/>
  <c r="U43" i="3" s="1"/>
  <c r="T39" i="3"/>
  <c r="U39" i="3" s="1"/>
  <c r="T35" i="3"/>
  <c r="U35" i="3" s="1"/>
  <c r="T33" i="3"/>
  <c r="U33" i="3" s="1"/>
  <c r="T31" i="3"/>
  <c r="U31" i="3" s="1"/>
  <c r="T29" i="3"/>
  <c r="U29" i="3" s="1"/>
  <c r="T27" i="3"/>
  <c r="U27" i="3" s="1"/>
  <c r="T25" i="3"/>
  <c r="U25" i="3" s="1"/>
  <c r="T23" i="3"/>
  <c r="U23" i="3" s="1"/>
  <c r="T21" i="3"/>
  <c r="U21" i="3" s="1"/>
  <c r="T19" i="3"/>
  <c r="U19" i="3" s="1"/>
  <c r="T15" i="3"/>
  <c r="U15" i="3" s="1"/>
  <c r="U16" i="6" l="1"/>
  <c r="V16" i="6" s="1"/>
  <c r="U20" i="6"/>
  <c r="V20" i="6" s="1"/>
  <c r="U24" i="6"/>
  <c r="V24" i="6" s="1"/>
  <c r="U17" i="6"/>
  <c r="V17" i="6" s="1"/>
  <c r="U23" i="6"/>
  <c r="V23" i="6" s="1"/>
  <c r="U26" i="6"/>
  <c r="V26" i="6" s="1"/>
  <c r="U30" i="6"/>
  <c r="V30" i="6" s="1"/>
  <c r="U34" i="6"/>
  <c r="V34" i="6" s="1"/>
  <c r="U38" i="6"/>
  <c r="V38" i="6" s="1"/>
  <c r="U42" i="6"/>
  <c r="V42" i="6" s="1"/>
  <c r="U46" i="6"/>
  <c r="V46" i="6" s="1"/>
  <c r="U50" i="6"/>
  <c r="V50" i="6" s="1"/>
  <c r="U54" i="6"/>
  <c r="V54" i="6" s="1"/>
  <c r="U58" i="6"/>
  <c r="V58" i="6" s="1"/>
  <c r="U61" i="6"/>
  <c r="V61" i="6" s="1"/>
  <c r="U29" i="6"/>
  <c r="V29" i="6" s="1"/>
  <c r="U33" i="6"/>
  <c r="V33" i="6" s="1"/>
  <c r="U37" i="6"/>
  <c r="V37" i="6" s="1"/>
  <c r="U41" i="6"/>
  <c r="V41" i="6" s="1"/>
  <c r="U45" i="6"/>
  <c r="V45" i="6" s="1"/>
  <c r="U49" i="6"/>
  <c r="V49" i="6" s="1"/>
  <c r="U53" i="6"/>
  <c r="V53" i="6" s="1"/>
  <c r="U57" i="6"/>
  <c r="V57" i="6" s="1"/>
  <c r="U21" i="6"/>
  <c r="V21" i="6" s="1"/>
  <c r="D11" i="8"/>
  <c r="U14" i="6"/>
  <c r="V14" i="6" s="1"/>
  <c r="U18" i="6"/>
  <c r="V18" i="6" s="1"/>
  <c r="U22" i="6"/>
  <c r="V22" i="6" s="1"/>
  <c r="U13" i="6"/>
  <c r="V13" i="6" s="1"/>
  <c r="U19" i="6"/>
  <c r="V19" i="6" s="1"/>
  <c r="U12" i="6"/>
  <c r="V12" i="6" s="1"/>
  <c r="U28" i="6"/>
  <c r="V28" i="6" s="1"/>
  <c r="U32" i="6"/>
  <c r="V32" i="6" s="1"/>
  <c r="U36" i="6"/>
  <c r="V36" i="6" s="1"/>
  <c r="U40" i="6"/>
  <c r="V40" i="6" s="1"/>
  <c r="U44" i="6"/>
  <c r="V44" i="6" s="1"/>
  <c r="U48" i="6"/>
  <c r="V48" i="6" s="1"/>
  <c r="U52" i="6"/>
  <c r="V52" i="6" s="1"/>
  <c r="U56" i="6"/>
  <c r="V56" i="6" s="1"/>
  <c r="U60" i="6"/>
  <c r="V60" i="6" s="1"/>
  <c r="U27" i="6"/>
  <c r="V27" i="6" s="1"/>
  <c r="U31" i="6"/>
  <c r="V31" i="6" s="1"/>
  <c r="U35" i="6"/>
  <c r="V35" i="6" s="1"/>
  <c r="U39" i="6"/>
  <c r="V39" i="6" s="1"/>
  <c r="U43" i="6"/>
  <c r="V43" i="6" s="1"/>
  <c r="U47" i="6"/>
  <c r="V47" i="6" s="1"/>
  <c r="U51" i="6"/>
  <c r="V51" i="6" s="1"/>
  <c r="U55" i="6"/>
  <c r="V55" i="6" s="1"/>
  <c r="V62" i="6" l="1"/>
  <c r="E11" i="8"/>
  <c r="D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1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dưới_x000D_</t>
        </r>
      </text>
    </comment>
    <comment ref="K12" authorId="0" shapeId="0" xr:uid="{00000000-0006-0000-01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 shapeId="0" xr:uid="{00000000-0006-0000-01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2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 shapeId="0" xr:uid="{00000000-0006-0000-02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 shapeId="0" xr:uid="{00000000-0006-0000-02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3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dưới_x000D_</t>
        </r>
      </text>
    </comment>
    <comment ref="K12" authorId="0" shapeId="0" xr:uid="{00000000-0006-0000-03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 shapeId="0" xr:uid="{00000000-0006-0000-03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4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 shapeId="0" xr:uid="{00000000-0006-0000-04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 shapeId="0" xr:uid="{00000000-0006-0000-04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2" authorId="0" shapeId="0" xr:uid="{00000000-0006-0000-05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L12" authorId="0" shapeId="0" xr:uid="{00000000-0006-0000-05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M12" authorId="0" shapeId="0" xr:uid="{00000000-0006-0000-05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1" authorId="0" shapeId="0" xr:uid="{00000000-0006-0000-0600-000001000000}">
      <text>
        <r>
          <rPr>
            <sz val="8"/>
            <color indexed="81"/>
            <rFont val="Tahoma"/>
            <family val="2"/>
          </rPr>
          <t>Author:_x000D__x000D__x000D__x000D__x000D__x000D_
Điền hao phí theo Hao phí trong sheet hao phí hàng cuộn_x000D_</t>
        </r>
      </text>
    </comment>
    <comment ref="H12" authorId="0" shapeId="0" xr:uid="{00000000-0006-0000-0600-000002000000}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</t>
        </r>
      </text>
    </comment>
    <comment ref="I12" authorId="0" shapeId="0" xr:uid="{00000000-0006-0000-0600-000003000000}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J12" authorId="0" shapeId="0" xr:uid="{00000000-0006-0000-0600-000004000000}">
      <text>
        <r>
          <rPr>
            <sz val="8"/>
            <color indexed="81"/>
            <rFont val="Tahoma"/>
            <family val="2"/>
          </rPr>
          <t>Thuế xuất khẩu hàng cuộn là 0%_x000D_</t>
        </r>
      </text>
    </comment>
  </commentList>
</comments>
</file>

<file path=xl/sharedStrings.xml><?xml version="1.0" encoding="utf-8"?>
<sst xmlns="http://schemas.openxmlformats.org/spreadsheetml/2006/main" count="360" uniqueCount="118">
  <si>
    <t>TSLN</t>
  </si>
  <si>
    <t>&gt;</t>
  </si>
  <si>
    <t>Row Labels</t>
  </si>
  <si>
    <t>Giá nguyên tấm</t>
  </si>
  <si>
    <t>&lt;</t>
  </si>
  <si>
    <t>S= 2n x (Dài x Dày + Rộng x Dày)</t>
  </si>
  <si>
    <t>Giá vốn nguyên tấm</t>
  </si>
  <si>
    <t>Thép không gỉ thanh</t>
  </si>
  <si>
    <t>Phí gia công thanh</t>
  </si>
  <si>
    <t>Đồng bery</t>
  </si>
  <si>
    <t>Dày _x000D__x000D__x000D__x000D__x000D__x000D_
(mm)</t>
  </si>
  <si>
    <t>Nhôm thanh</t>
  </si>
  <si>
    <t>Đơn giá theo TSLNĐK</t>
  </si>
  <si>
    <t>GIÁ VỐN</t>
  </si>
  <si>
    <t>Nhôm ống</t>
  </si>
  <si>
    <t>Đồng</t>
  </si>
  <si>
    <t>Đồng tinh chế tấm lá</t>
  </si>
  <si>
    <t>Theo ngôn ngữ phần mềm</t>
  </si>
  <si>
    <t>Thép lá cuộn</t>
  </si>
  <si>
    <t>Loại vật liệu</t>
  </si>
  <si>
    <t>Trọng lượng riêng_x000D__x000D__x000D__x000D__x000D__x000D_
(kg/cm3)</t>
  </si>
  <si>
    <t>S = 2*(pcs) * (KT3*KT1 + KT2*KT1)</t>
  </si>
  <si>
    <t>Grand Total</t>
  </si>
  <si>
    <t>S= 2n x Dài x Dày + (n+1) x Rộng x Dày</t>
  </si>
  <si>
    <t>Thép dụng cụ</t>
  </si>
  <si>
    <t>số cuộn * khổ rộng</t>
  </si>
  <si>
    <t>Thép không gỉ tấm dày</t>
  </si>
  <si>
    <t>Số cuộn</t>
  </si>
  <si>
    <t>Khổ rộng phôi (mm)</t>
  </si>
  <si>
    <t>Sum of LNG 2022</t>
  </si>
  <si>
    <t>Đồng tấm lá</t>
  </si>
  <si>
    <t>Giá vốn nguyên khổ</t>
  </si>
  <si>
    <t>TSLNĐK</t>
  </si>
  <si>
    <t>Nhôm không hợp kim cuộn</t>
  </si>
  <si>
    <t>Hình thái</t>
  </si>
  <si>
    <t>Nhôm không hợp kim</t>
  </si>
  <si>
    <t xml:space="preserve">Khổ rộng MIN </t>
  </si>
  <si>
    <t>Tròn</t>
  </si>
  <si>
    <t>Mác</t>
  </si>
  <si>
    <t>Nhôm phản quang</t>
  </si>
  <si>
    <t>Đồng bery thanh</t>
  </si>
  <si>
    <t>Chữ nhật</t>
  </si>
  <si>
    <t>SPC6</t>
  </si>
  <si>
    <t>Thể tích (mm3)_x000D__x000D__x000D__x000D__x000D__x000D_
Tổng số sp</t>
  </si>
  <si>
    <t>S = (pcs)*KT3*KT1 + (pcs+2)*KT2*KT1</t>
  </si>
  <si>
    <t>Nhôm hợp kim mỏng</t>
  </si>
  <si>
    <t>Thép thanh</t>
  </si>
  <si>
    <t>Dày</t>
  </si>
  <si>
    <t>Hao phí mạch cắt (%)</t>
  </si>
  <si>
    <t>SPC5</t>
  </si>
  <si>
    <t>Thép tấm lá</t>
  </si>
  <si>
    <t>Sum of DS 2022</t>
  </si>
  <si>
    <t>S= n x Dài x Dày + (n+2) x Rộng x Dày</t>
  </si>
  <si>
    <t>Trọng lượng riêng</t>
  </si>
  <si>
    <t>Thép tấm dày</t>
  </si>
  <si>
    <t>Trọng lượng phôi (kg)</t>
  </si>
  <si>
    <t>Giá vốn</t>
  </si>
  <si>
    <t>Dải via min</t>
  </si>
  <si>
    <t>Khổ rộng _x000D__x000D__x000D__x000D__x000D__x000D_
(mm)</t>
  </si>
  <si>
    <t>Thép không gỉ lá cuộn</t>
  </si>
  <si>
    <t>Hao phí phế liệu (trung bình)</t>
  </si>
  <si>
    <t>Đơn giá bán</t>
  </si>
  <si>
    <t>Chiều dày_x000D__x000D__x000D__x000D__x000D__x000D_
(mm)</t>
  </si>
  <si>
    <t>Số kg</t>
  </si>
  <si>
    <t>i</t>
  </si>
  <si>
    <t>Thép dây</t>
  </si>
  <si>
    <t>Nhôm</t>
  </si>
  <si>
    <t>Vận phí</t>
  </si>
  <si>
    <t>Tính giá bán</t>
  </si>
  <si>
    <t>Kích thước 3_x000D__x000D__x000D__x000D__x000D__x000D_
(mm)</t>
  </si>
  <si>
    <t>SPP</t>
  </si>
  <si>
    <t>Hao phí phế liệu</t>
  </si>
  <si>
    <t>SPC1</t>
  </si>
  <si>
    <t>Dài _x000D__x000D__x000D__x000D__x000D__x000D_
(mm)</t>
  </si>
  <si>
    <t>Loại</t>
  </si>
  <si>
    <t>Đồng tấm dày</t>
  </si>
  <si>
    <t>Khổ</t>
  </si>
  <si>
    <t>Từ 11 - 50 tấm</t>
  </si>
  <si>
    <t>Kích thước 1_x000D__x000D__x000D__x000D__x000D__x000D_
(mm)</t>
  </si>
  <si>
    <t>Trọng lượng_x000D__x000D__x000D__x000D__x000D__x000D_
(Kg)</t>
  </si>
  <si>
    <t>SPC2</t>
  </si>
  <si>
    <t>Kích thước 2_x000D__x000D__x000D__x000D__x000D__x000D_
(mm)</t>
  </si>
  <si>
    <t>Giá phế liệu</t>
  </si>
  <si>
    <t>Nhôm hợp kim cuộn</t>
  </si>
  <si>
    <t>Thành tiền bán</t>
  </si>
  <si>
    <t>Tổng</t>
  </si>
  <si>
    <t>TSLN ĐK</t>
  </si>
  <si>
    <t>Giá vốn không gồm vc &amp; hải quan (vnd/kg)</t>
  </si>
  <si>
    <t xml:space="preserve">Dải via </t>
  </si>
  <si>
    <t>Trọng lượng</t>
  </si>
  <si>
    <t>&gt; 50 tấm</t>
  </si>
  <si>
    <t>Bỏ via 1 bên</t>
  </si>
  <si>
    <t>Đồng hợp kim tấm lá</t>
  </si>
  <si>
    <t>Đồng hợp kim thanh</t>
  </si>
  <si>
    <t>SPC4</t>
  </si>
  <si>
    <t>Đồng hợp kim tấm dày</t>
  </si>
  <si>
    <t>Trọng lượng dải 1mm (kg)</t>
  </si>
  <si>
    <t>Từ 1 - 10 tấm</t>
  </si>
  <si>
    <t>Diện tích (S)</t>
  </si>
  <si>
    <t>Thành tiền theo TSLNĐK</t>
  </si>
  <si>
    <t>Công nợ_x000D__x000D__x000D__x000D__x000D__x000D_
(ngày)</t>
  </si>
  <si>
    <t>Số tấm (n)</t>
  </si>
  <si>
    <t>Đồng thanh</t>
  </si>
  <si>
    <t>Thép</t>
  </si>
  <si>
    <t>Số pcs</t>
  </si>
  <si>
    <t>Phí hải quan</t>
  </si>
  <si>
    <t>Đơn giá (vnd/kg)</t>
  </si>
  <si>
    <t>Hao phí</t>
  </si>
  <si>
    <t>Thuế XK (%)</t>
  </si>
  <si>
    <t xml:space="preserve">     </t>
  </si>
  <si>
    <t>Thép không gỉ dây</t>
  </si>
  <si>
    <t>S = 2*(pcs)*KT3*KT1 + (pcs+1)*KT2*KT1</t>
  </si>
  <si>
    <t>Phí gia công_x000D__x000D__x000D__x000D__x000D__x000D_
(VNĐ/kg)</t>
  </si>
  <si>
    <t>Công nợ_x000D_
_x000D_
_x000D_
(ngày)</t>
  </si>
  <si>
    <t>Rộng_x000D__x000D__x000D__x000D__x000D__x000D_
 (mm)</t>
  </si>
  <si>
    <t>Nhôm hợp kim dày</t>
  </si>
  <si>
    <t>SPC3</t>
  </si>
  <si>
    <t>Tiết diện_x000D__x000D__x000D__x000D__x000D__x000D_
(cm2)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</si>
</sst>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0.0%"/>
    <numFmt numFmtId="167" formatCode="#,##0.0"/>
    <numFmt numFmtId="168" formatCode="_-* #,##0\ _₫_-;\-* #,##0\ _₫_-;_-* &quot;-&quot;??\ _₫_-;_-@_-"/>
    <numFmt numFmtId="169" formatCode="0.0"/>
  </numFmts>
  <fonts count="12" x14ac:knownFonts="1">
    <font>
      <sz val="11"/>
      <color theme="1"/>
      <name val="Calibri"/>
      <family val="2"/>
    </font>
    <font>
      <sz val="1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12"/>
      <color theme="1"/>
      <name val="Times New Roman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1"/>
    <xf numFmtId="9" fontId="10" fillId="0" borderId="1"/>
    <xf numFmtId="44" fontId="1" fillId="0" borderId="1">
      <alignment vertical="center"/>
    </xf>
    <xf numFmtId="42" fontId="1" fillId="0" borderId="1">
      <alignment vertical="center"/>
    </xf>
    <xf numFmtId="164" fontId="10" fillId="0" borderId="1"/>
    <xf numFmtId="41" fontId="1" fillId="0" borderId="1">
      <alignment vertical="center"/>
    </xf>
    <xf numFmtId="0" fontId="5" fillId="0" borderId="1"/>
  </cellStyleXfs>
  <cellXfs count="168">
    <xf numFmtId="0" fontId="0" fillId="0" borderId="1" xfId="0"/>
    <xf numFmtId="0" fontId="0" fillId="0" borderId="1" xfId="0"/>
    <xf numFmtId="0" fontId="2" fillId="0" borderId="1" xfId="0" applyFo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6" fontId="2" fillId="0" borderId="3" xfId="1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66" fontId="2" fillId="0" borderId="4" xfId="1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166" fontId="2" fillId="0" borderId="5" xfId="1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3" fontId="2" fillId="0" borderId="1" xfId="0" applyNumberFormat="1" applyFont="1"/>
    <xf numFmtId="3" fontId="3" fillId="2" borderId="2" xfId="0" applyNumberFormat="1" applyFont="1" applyFill="1" applyBorder="1" applyAlignment="1">
      <alignment horizontal="center" vertical="center" wrapText="1"/>
    </xf>
    <xf numFmtId="3" fontId="2" fillId="0" borderId="3" xfId="4" applyNumberFormat="1" applyFont="1" applyFill="1" applyBorder="1" applyAlignment="1">
      <alignment horizontal="center" vertical="center"/>
    </xf>
    <xf numFmtId="3" fontId="2" fillId="0" borderId="4" xfId="4" applyNumberFormat="1" applyFont="1" applyFill="1" applyBorder="1" applyAlignment="1">
      <alignment horizontal="center" vertical="center"/>
    </xf>
    <xf numFmtId="3" fontId="2" fillId="0" borderId="5" xfId="4" applyNumberFormat="1" applyFont="1" applyFill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7" fontId="2" fillId="0" borderId="2" xfId="4" applyNumberFormat="1" applyFont="1" applyBorder="1" applyAlignment="1">
      <alignment horizontal="center" vertical="center"/>
    </xf>
    <xf numFmtId="167" fontId="2" fillId="0" borderId="1" xfId="0" applyNumberFormat="1" applyFont="1"/>
    <xf numFmtId="167" fontId="2" fillId="0" borderId="3" xfId="4" applyNumberFormat="1" applyFont="1" applyFill="1" applyBorder="1" applyAlignment="1">
      <alignment horizontal="center" vertical="center"/>
    </xf>
    <xf numFmtId="167" fontId="2" fillId="0" borderId="4" xfId="4" applyNumberFormat="1" applyFont="1" applyFill="1" applyBorder="1" applyAlignment="1">
      <alignment horizontal="center" vertical="center"/>
    </xf>
    <xf numFmtId="167" fontId="2" fillId="0" borderId="5" xfId="4" applyNumberFormat="1" applyFont="1" applyFill="1" applyBorder="1" applyAlignment="1">
      <alignment horizontal="center" vertical="center"/>
    </xf>
    <xf numFmtId="167" fontId="4" fillId="0" borderId="7" xfId="0" applyNumberFormat="1" applyFont="1" applyBorder="1" applyAlignment="1">
      <alignment vertical="center"/>
    </xf>
    <xf numFmtId="167" fontId="4" fillId="0" borderId="8" xfId="0" applyNumberFormat="1" applyFont="1" applyBorder="1" applyAlignment="1">
      <alignment vertical="center"/>
    </xf>
    <xf numFmtId="167" fontId="2" fillId="0" borderId="2" xfId="0" applyNumberFormat="1" applyFont="1" applyBorder="1" applyAlignment="1">
      <alignment vertical="center"/>
    </xf>
    <xf numFmtId="3" fontId="3" fillId="2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166" fontId="2" fillId="0" borderId="1" xfId="0" applyNumberFormat="1" applyFont="1"/>
    <xf numFmtId="166" fontId="3" fillId="3" borderId="2" xfId="0" applyNumberFormat="1" applyFont="1" applyFill="1" applyBorder="1" applyAlignment="1">
      <alignment horizontal="center" vertical="center" wrapText="1"/>
    </xf>
    <xf numFmtId="166" fontId="2" fillId="0" borderId="2" xfId="4" applyNumberFormat="1" applyFont="1" applyBorder="1" applyAlignment="1">
      <alignment vertical="center"/>
    </xf>
    <xf numFmtId="3" fontId="3" fillId="4" borderId="2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Alignment="1">
      <alignment horizontal="right"/>
    </xf>
    <xf numFmtId="3" fontId="2" fillId="0" borderId="3" xfId="4" applyNumberFormat="1" applyFont="1" applyBorder="1" applyAlignment="1">
      <alignment horizontal="right" vertical="center"/>
    </xf>
    <xf numFmtId="3" fontId="2" fillId="0" borderId="4" xfId="4" applyNumberFormat="1" applyFont="1" applyBorder="1" applyAlignment="1">
      <alignment horizontal="right" vertical="center"/>
    </xf>
    <xf numFmtId="3" fontId="2" fillId="0" borderId="5" xfId="4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4" applyNumberFormat="1" applyFont="1" applyFill="1" applyBorder="1" applyAlignment="1">
      <alignment horizontal="right" vertical="center"/>
    </xf>
    <xf numFmtId="3" fontId="2" fillId="0" borderId="4" xfId="4" applyNumberFormat="1" applyFont="1" applyFill="1" applyBorder="1" applyAlignment="1">
      <alignment horizontal="right" vertical="center"/>
    </xf>
    <xf numFmtId="3" fontId="2" fillId="0" borderId="5" xfId="4" applyNumberFormat="1" applyFont="1" applyFill="1" applyBorder="1" applyAlignment="1">
      <alignment horizontal="right" vertical="center"/>
    </xf>
    <xf numFmtId="3" fontId="4" fillId="0" borderId="7" xfId="0" applyNumberFormat="1" applyFont="1" applyBorder="1" applyAlignment="1">
      <alignment horizontal="right" vertical="center"/>
    </xf>
    <xf numFmtId="167" fontId="3" fillId="2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vertical="center"/>
    </xf>
    <xf numFmtId="166" fontId="2" fillId="0" borderId="1" xfId="0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 vertical="center"/>
    </xf>
    <xf numFmtId="3" fontId="2" fillId="0" borderId="2" xfId="4" applyNumberFormat="1" applyFont="1" applyBorder="1" applyAlignment="1">
      <alignment horizontal="right" vertical="center"/>
    </xf>
    <xf numFmtId="3" fontId="2" fillId="0" borderId="1" xfId="4" applyNumberFormat="1" applyFont="1" applyAlignment="1">
      <alignment horizontal="right"/>
    </xf>
    <xf numFmtId="166" fontId="2" fillId="0" borderId="1" xfId="4" applyNumberFormat="1" applyFont="1"/>
    <xf numFmtId="3" fontId="2" fillId="0" borderId="4" xfId="0" applyNumberFormat="1" applyFont="1" applyBorder="1" applyAlignment="1">
      <alignment horizontal="right" vertical="center"/>
    </xf>
    <xf numFmtId="167" fontId="2" fillId="0" borderId="1" xfId="0" applyNumberFormat="1" applyFont="1" applyAlignment="1">
      <alignment horizontal="right"/>
    </xf>
    <xf numFmtId="167" fontId="3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2" fillId="0" borderId="2" xfId="4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2" fillId="0" borderId="2" xfId="0" applyFont="1" applyBorder="1"/>
    <xf numFmtId="9" fontId="2" fillId="0" borderId="2" xfId="0" applyNumberFormat="1" applyFont="1" applyBorder="1"/>
    <xf numFmtId="0" fontId="4" fillId="0" borderId="8" xfId="0" applyFont="1" applyBorder="1" applyAlignment="1">
      <alignment vertical="center"/>
    </xf>
    <xf numFmtId="164" fontId="2" fillId="0" borderId="1" xfId="4" applyFont="1"/>
    <xf numFmtId="0" fontId="2" fillId="0" borderId="3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left" vertical="center" shrinkToFit="1"/>
    </xf>
    <xf numFmtId="168" fontId="2" fillId="0" borderId="3" xfId="4" applyNumberFormat="1" applyFont="1" applyFill="1" applyBorder="1" applyAlignment="1">
      <alignment horizontal="center" vertical="center" shrinkToFit="1"/>
    </xf>
    <xf numFmtId="169" fontId="2" fillId="0" borderId="3" xfId="4" applyNumberFormat="1" applyFont="1" applyFill="1" applyBorder="1" applyAlignment="1">
      <alignment horizontal="center" vertical="center" shrinkToFit="1"/>
    </xf>
    <xf numFmtId="1" fontId="2" fillId="0" borderId="3" xfId="4" applyNumberFormat="1" applyFont="1" applyFill="1" applyBorder="1" applyAlignment="1">
      <alignment horizontal="center" vertical="center" shrinkToFit="1"/>
    </xf>
    <xf numFmtId="2" fontId="2" fillId="0" borderId="3" xfId="0" applyNumberFormat="1" applyFont="1" applyBorder="1" applyAlignment="1">
      <alignment horizontal="center" vertical="center" shrinkToFit="1"/>
    </xf>
    <xf numFmtId="164" fontId="2" fillId="0" borderId="3" xfId="4" applyNumberFormat="1" applyFont="1" applyBorder="1" applyAlignment="1">
      <alignment horizontal="center" vertical="center" shrinkToFit="1"/>
    </xf>
    <xf numFmtId="166" fontId="2" fillId="0" borderId="3" xfId="1" applyNumberFormat="1" applyFont="1" applyBorder="1" applyAlignment="1">
      <alignment horizontal="center" vertical="center" shrinkToFit="1"/>
    </xf>
    <xf numFmtId="166" fontId="2" fillId="0" borderId="3" xfId="0" applyNumberFormat="1" applyFont="1" applyBorder="1" applyAlignment="1">
      <alignment horizontal="center" vertical="center" shrinkToFit="1"/>
    </xf>
    <xf numFmtId="168" fontId="2" fillId="0" borderId="3" xfId="4" applyNumberFormat="1" applyFont="1" applyBorder="1" applyAlignment="1">
      <alignment horizontal="center" vertical="center" shrinkToFit="1"/>
    </xf>
    <xf numFmtId="165" fontId="2" fillId="0" borderId="3" xfId="0" applyNumberFormat="1" applyFont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left" vertical="center" shrinkToFit="1"/>
    </xf>
    <xf numFmtId="168" fontId="2" fillId="0" borderId="4" xfId="4" applyNumberFormat="1" applyFont="1" applyFill="1" applyBorder="1" applyAlignment="1">
      <alignment horizontal="center" vertical="center" shrinkToFit="1"/>
    </xf>
    <xf numFmtId="169" fontId="2" fillId="0" borderId="4" xfId="4" applyNumberFormat="1" applyFont="1" applyFill="1" applyBorder="1" applyAlignment="1">
      <alignment horizontal="center" vertical="center" shrinkToFit="1"/>
    </xf>
    <xf numFmtId="1" fontId="2" fillId="0" borderId="4" xfId="4" applyNumberFormat="1" applyFont="1" applyFill="1" applyBorder="1" applyAlignment="1">
      <alignment horizontal="center" vertical="center" shrinkToFit="1"/>
    </xf>
    <xf numFmtId="9" fontId="2" fillId="0" borderId="4" xfId="0" applyNumberFormat="1" applyFont="1" applyBorder="1" applyAlignment="1">
      <alignment horizontal="center" vertical="center" shrinkToFit="1"/>
    </xf>
    <xf numFmtId="168" fontId="2" fillId="0" borderId="4" xfId="4" applyNumberFormat="1" applyFont="1" applyBorder="1" applyAlignment="1">
      <alignment horizontal="center" vertical="center" shrinkToFit="1"/>
    </xf>
    <xf numFmtId="164" fontId="2" fillId="0" borderId="4" xfId="4" applyNumberFormat="1" applyFont="1" applyBorder="1" applyAlignment="1">
      <alignment horizontal="center" vertical="center" shrinkToFit="1"/>
    </xf>
    <xf numFmtId="166" fontId="2" fillId="0" borderId="4" xfId="1" applyNumberFormat="1" applyFont="1" applyBorder="1" applyAlignment="1">
      <alignment horizontal="center" vertical="center" shrinkToFit="1"/>
    </xf>
    <xf numFmtId="166" fontId="2" fillId="0" borderId="4" xfId="0" applyNumberFormat="1" applyFont="1" applyBorder="1" applyAlignment="1">
      <alignment horizontal="center" vertical="center" shrinkToFit="1"/>
    </xf>
    <xf numFmtId="165" fontId="2" fillId="0" borderId="4" xfId="0" applyNumberFormat="1" applyFont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left" vertical="center" shrinkToFit="1"/>
    </xf>
    <xf numFmtId="168" fontId="2" fillId="0" borderId="5" xfId="4" applyNumberFormat="1" applyFont="1" applyFill="1" applyBorder="1" applyAlignment="1">
      <alignment horizontal="center" vertical="center" shrinkToFit="1"/>
    </xf>
    <xf numFmtId="169" fontId="2" fillId="0" borderId="5" xfId="4" applyNumberFormat="1" applyFont="1" applyFill="1" applyBorder="1" applyAlignment="1">
      <alignment horizontal="center" vertical="center" shrinkToFit="1"/>
    </xf>
    <xf numFmtId="1" fontId="2" fillId="0" borderId="5" xfId="4" applyNumberFormat="1" applyFont="1" applyFill="1" applyBorder="1" applyAlignment="1">
      <alignment horizontal="center" vertical="center" shrinkToFit="1"/>
    </xf>
    <xf numFmtId="168" fontId="2" fillId="0" borderId="5" xfId="4" applyNumberFormat="1" applyFont="1" applyBorder="1" applyAlignment="1">
      <alignment horizontal="center" vertical="center" shrinkToFit="1"/>
    </xf>
    <xf numFmtId="164" fontId="2" fillId="0" borderId="5" xfId="4" applyNumberFormat="1" applyFont="1" applyBorder="1" applyAlignment="1">
      <alignment horizontal="center" vertical="center" shrinkToFit="1"/>
    </xf>
    <xf numFmtId="166" fontId="2" fillId="0" borderId="5" xfId="1" applyNumberFormat="1" applyFont="1" applyBorder="1" applyAlignment="1">
      <alignment horizontal="center" vertical="center" shrinkToFit="1"/>
    </xf>
    <xf numFmtId="166" fontId="2" fillId="0" borderId="5" xfId="0" applyNumberFormat="1" applyFont="1" applyBorder="1" applyAlignment="1">
      <alignment horizontal="center" vertical="center" shrinkToFit="1"/>
    </xf>
    <xf numFmtId="9" fontId="2" fillId="0" borderId="1" xfId="0" applyNumberFormat="1" applyFont="1"/>
    <xf numFmtId="0" fontId="0" fillId="0" borderId="1" xfId="0"/>
    <xf numFmtId="3" fontId="0" fillId="0" borderId="1" xfId="0" applyNumberFormat="1"/>
    <xf numFmtId="167" fontId="2" fillId="0" borderId="3" xfId="4" applyNumberFormat="1" applyFont="1" applyFill="1" applyBorder="1" applyAlignment="1">
      <alignment horizontal="right" vertical="center"/>
    </xf>
    <xf numFmtId="167" fontId="2" fillId="0" borderId="4" xfId="4" applyNumberFormat="1" applyFont="1" applyFill="1" applyBorder="1" applyAlignment="1">
      <alignment horizontal="right" vertical="center"/>
    </xf>
    <xf numFmtId="167" fontId="2" fillId="0" borderId="5" xfId="4" applyNumberFormat="1" applyFont="1" applyFill="1" applyBorder="1" applyAlignment="1">
      <alignment horizontal="right" vertical="center"/>
    </xf>
    <xf numFmtId="167" fontId="4" fillId="0" borderId="7" xfId="0" applyNumberFormat="1" applyFont="1" applyBorder="1" applyAlignment="1">
      <alignment horizontal="right" vertical="center"/>
    </xf>
    <xf numFmtId="4" fontId="2" fillId="0" borderId="1" xfId="0" applyNumberFormat="1" applyFont="1" applyAlignment="1">
      <alignment horizontal="right"/>
    </xf>
    <xf numFmtId="4" fontId="2" fillId="0" borderId="3" xfId="4" applyNumberFormat="1" applyFont="1" applyFill="1" applyBorder="1" applyAlignment="1">
      <alignment horizontal="center" vertical="center"/>
    </xf>
    <xf numFmtId="3" fontId="2" fillId="0" borderId="3" xfId="4" applyNumberFormat="1" applyFont="1" applyBorder="1" applyAlignment="1">
      <alignment horizontal="center" vertical="center" wrapText="1"/>
    </xf>
    <xf numFmtId="167" fontId="3" fillId="0" borderId="2" xfId="0" applyNumberFormat="1" applyFont="1" applyBorder="1" applyAlignment="1">
      <alignment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 shrinkToFit="1"/>
    </xf>
    <xf numFmtId="2" fontId="2" fillId="0" borderId="5" xfId="0" applyNumberFormat="1" applyFont="1" applyBorder="1" applyAlignment="1">
      <alignment horizontal="center" vertical="center" shrinkToFit="1"/>
    </xf>
    <xf numFmtId="0" fontId="3" fillId="0" borderId="1" xfId="0" applyFont="1"/>
    <xf numFmtId="0" fontId="6" fillId="0" borderId="1" xfId="0" applyFont="1"/>
    <xf numFmtId="4" fontId="2" fillId="0" borderId="4" xfId="4" applyNumberFormat="1" applyFont="1" applyBorder="1" applyAlignment="1">
      <alignment horizontal="right" vertical="center"/>
    </xf>
    <xf numFmtId="4" fontId="2" fillId="0" borderId="5" xfId="4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2" xfId="4" applyFont="1" applyBorder="1" applyAlignment="1">
      <alignment vertical="center"/>
    </xf>
    <xf numFmtId="168" fontId="3" fillId="0" borderId="2" xfId="4" applyNumberFormat="1" applyFont="1" applyBorder="1" applyAlignment="1">
      <alignment vertical="center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Protection="1">
      <protection locked="0"/>
    </xf>
    <xf numFmtId="0" fontId="3" fillId="5" borderId="2" xfId="0" applyFont="1" applyFill="1" applyBorder="1" applyAlignment="1" applyProtection="1">
      <alignment wrapText="1"/>
      <protection locked="0"/>
    </xf>
    <xf numFmtId="0" fontId="3" fillId="0" borderId="2" xfId="0" applyFont="1" applyBorder="1" applyProtection="1"/>
    <xf numFmtId="0" fontId="3" fillId="5" borderId="2" xfId="0" applyFont="1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1" xfId="0" applyFont="1" applyProtection="1">
      <protection locked="0"/>
    </xf>
    <xf numFmtId="0" fontId="6" fillId="0" borderId="2" xfId="0" applyFont="1" applyBorder="1" applyProtection="1"/>
    <xf numFmtId="0" fontId="0" fillId="0" borderId="2" xfId="0" applyBorder="1" applyProtection="1">
      <protection locked="0"/>
    </xf>
    <xf numFmtId="0" fontId="7" fillId="0" borderId="9" xfId="6" applyFont="1" applyBorder="1" applyAlignment="1" applyProtection="1">
      <alignment horizontal="center" vertical="center" wrapText="1"/>
      <protection locked="0"/>
    </xf>
    <xf numFmtId="0" fontId="8" fillId="0" borderId="9" xfId="6" applyFont="1" applyBorder="1" applyAlignment="1" applyProtection="1">
      <alignment horizontal="center" vertical="center" wrapText="1"/>
      <protection locked="0"/>
    </xf>
    <xf numFmtId="0" fontId="8" fillId="0" borderId="9" xfId="6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wrapText="1"/>
      <protection locked="0"/>
    </xf>
    <xf numFmtId="0" fontId="2" fillId="0" borderId="2" xfId="0" applyFont="1" applyBorder="1" applyProtection="1">
      <protection locked="0"/>
    </xf>
    <xf numFmtId="0" fontId="8" fillId="0" borderId="2" xfId="6" applyFont="1" applyBorder="1" applyAlignment="1" applyProtection="1">
      <alignment horizontal="center" vertical="center"/>
      <protection locked="0"/>
    </xf>
    <xf numFmtId="4" fontId="7" fillId="0" borderId="2" xfId="6" applyNumberFormat="1" applyFont="1" applyBorder="1" applyAlignment="1" applyProtection="1">
      <alignment horizontal="center" vertical="center"/>
      <protection locked="0"/>
    </xf>
    <xf numFmtId="1" fontId="7" fillId="0" borderId="2" xfId="6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Protection="1"/>
    <xf numFmtId="2" fontId="2" fillId="0" borderId="2" xfId="0" applyNumberFormat="1" applyFont="1" applyBorder="1" applyProtection="1"/>
    <xf numFmtId="4" fontId="7" fillId="0" borderId="2" xfId="6" applyNumberFormat="1" applyFont="1" applyBorder="1" applyAlignment="1" applyProtection="1">
      <alignment horizontal="center" vertical="center"/>
    </xf>
    <xf numFmtId="1" fontId="7" fillId="0" borderId="2" xfId="6" applyNumberFormat="1" applyFont="1" applyBorder="1" applyAlignment="1" applyProtection="1">
      <alignment horizontal="center" vertical="center"/>
    </xf>
    <xf numFmtId="0" fontId="8" fillId="5" borderId="2" xfId="6" applyFont="1" applyFill="1" applyBorder="1" applyAlignment="1" applyProtection="1">
      <alignment horizontal="center" vertical="center"/>
      <protection locked="0"/>
    </xf>
    <xf numFmtId="49" fontId="8" fillId="5" borderId="2" xfId="6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9" xfId="0" applyFill="1" applyBorder="1"/>
    <xf numFmtId="2" fontId="2" fillId="0" borderId="1" xfId="0" applyNumberFormat="1" applyFont="1"/>
    <xf numFmtId="43" fontId="2" fillId="0" borderId="1" xfId="0" applyNumberFormat="1" applyFont="1"/>
    <xf numFmtId="0" fontId="0" fillId="0" borderId="1" xfId="0"/>
    <xf numFmtId="3" fontId="2" fillId="0" borderId="4" xfId="4" applyNumberFormat="1" applyFont="1" applyBorder="1" applyAlignment="1">
      <alignment horizontal="center" vertical="center"/>
    </xf>
    <xf numFmtId="4" fontId="2" fillId="0" borderId="4" xfId="4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0" fillId="0" borderId="10" xfId="0" applyFill="1" applyBorder="1"/>
    <xf numFmtId="3" fontId="2" fillId="0" borderId="4" xfId="0" applyNumberFormat="1" applyFont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10" fontId="3" fillId="5" borderId="6" xfId="1" applyNumberFormat="1" applyFont="1" applyFill="1" applyBorder="1" applyAlignment="1" applyProtection="1">
      <alignment horizontal="center"/>
    </xf>
    <xf numFmtId="10" fontId="3" fillId="5" borderId="8" xfId="1" applyNumberFormat="1" applyFont="1" applyFill="1" applyBorder="1" applyAlignment="1" applyProtection="1">
      <alignment horizontal="center"/>
    </xf>
    <xf numFmtId="0" fontId="9" fillId="5" borderId="2" xfId="0" applyFont="1" applyFill="1" applyBorder="1" applyAlignment="1" applyProtection="1">
      <alignment horizontal="center"/>
      <protection locked="0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00000000-0005-0000-0000-000006000000}"/>
    <cellStyle name="Percent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11" sqref="F11"/>
    </sheetView>
  </sheetViews>
  <sheetFormatPr defaultColWidth="9.1328125" defaultRowHeight="14.25" customHeight="1" x14ac:dyDescent="0.45"/>
  <sheetData>
    <row r="1" spans="1:1" ht="14.25" customHeight="1" x14ac:dyDescent="0.45">
      <c r="A1" t="s">
        <v>64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8"/>
  <sheetViews>
    <sheetView topLeftCell="A10" workbookViewId="0">
      <pane ySplit="2" topLeftCell="A12" activePane="bottomLeft" state="frozen"/>
      <selection activeCell="A10" sqref="A10"/>
      <selection pane="bottomLeft" activeCell="U12" sqref="U12"/>
    </sheetView>
  </sheetViews>
  <sheetFormatPr defaultColWidth="8.59765625" defaultRowHeight="11.65" customHeight="1" x14ac:dyDescent="0.35"/>
  <cols>
    <col min="1" max="1" width="17" style="2" customWidth="1"/>
    <col min="2" max="2" width="18" style="2" customWidth="1"/>
    <col min="3" max="3" width="11" style="2" customWidth="1"/>
    <col min="4" max="4" width="13" style="39" customWidth="1"/>
    <col min="5" max="7" width="8" style="26" customWidth="1"/>
    <col min="8" max="8" width="6" style="19" customWidth="1"/>
    <col min="9" max="9" width="7" style="19" customWidth="1"/>
    <col min="10" max="10" width="7" style="39" customWidth="1"/>
    <col min="11" max="11" width="10" style="19" customWidth="1"/>
    <col min="12" max="12" width="7" style="35" customWidth="1"/>
    <col min="13" max="13" width="11" style="39" customWidth="1"/>
    <col min="14" max="14" width="7" style="57" customWidth="1"/>
    <col min="15" max="15" width="12" style="51" customWidth="1"/>
    <col min="16" max="16" width="10" style="35" customWidth="1"/>
    <col min="17" max="17" width="10" style="39" customWidth="1"/>
    <col min="18" max="18" width="9" style="39" customWidth="1"/>
    <col min="19" max="19" width="8" style="35" customWidth="1"/>
    <col min="20" max="20" width="10" style="39" customWidth="1"/>
    <col min="21" max="21" width="11" style="39" customWidth="1"/>
    <col min="22" max="22" width="8" style="2" customWidth="1"/>
    <col min="23" max="23" width="8.1328125" style="2" customWidth="1"/>
    <col min="24" max="24" width="8.265625" style="2" customWidth="1"/>
    <col min="25" max="25" width="8.3984375" style="2" customWidth="1"/>
    <col min="26" max="26" width="8.59765625" style="2" customWidth="1"/>
    <col min="27" max="16384" width="8.59765625" style="2"/>
  </cols>
  <sheetData>
    <row r="1" spans="1:22" ht="41.1" hidden="1" customHeight="1" x14ac:dyDescent="0.35">
      <c r="E1" s="24" t="s">
        <v>3</v>
      </c>
      <c r="F1" s="25">
        <v>140000</v>
      </c>
    </row>
    <row r="2" spans="1:22" ht="14.25" hidden="1" customHeight="1" x14ac:dyDescent="0.35">
      <c r="A2" s="2" t="s">
        <v>101</v>
      </c>
      <c r="B2" s="2" t="s">
        <v>98</v>
      </c>
      <c r="C2" s="2" t="s">
        <v>17</v>
      </c>
    </row>
    <row r="3" spans="1:22" ht="14.25" hidden="1" customHeight="1" x14ac:dyDescent="0.35">
      <c r="A3" s="2" t="s">
        <v>97</v>
      </c>
      <c r="B3" s="2" t="s">
        <v>5</v>
      </c>
      <c r="C3" s="2" t="s">
        <v>21</v>
      </c>
    </row>
    <row r="4" spans="1:22" ht="14.25" hidden="1" customHeight="1" x14ac:dyDescent="0.35">
      <c r="A4" s="2" t="s">
        <v>77</v>
      </c>
      <c r="B4" s="2" t="s">
        <v>23</v>
      </c>
      <c r="C4" s="2" t="s">
        <v>111</v>
      </c>
    </row>
    <row r="5" spans="1:22" ht="14.25" hidden="1" customHeight="1" x14ac:dyDescent="0.35">
      <c r="A5" s="2" t="s">
        <v>90</v>
      </c>
      <c r="B5" s="2" t="s">
        <v>52</v>
      </c>
      <c r="C5" s="2" t="s">
        <v>44</v>
      </c>
    </row>
    <row r="6" spans="1:22" ht="14.25" hidden="1" customHeight="1" x14ac:dyDescent="0.35"/>
    <row r="7" spans="1:22" ht="14.25" hidden="1" customHeight="1" x14ac:dyDescent="0.35"/>
    <row r="8" spans="1:22" ht="14.25" hidden="1" customHeight="1" x14ac:dyDescent="0.35"/>
    <row r="9" spans="1:22" ht="14.25" hidden="1" customHeight="1" x14ac:dyDescent="0.35"/>
    <row r="10" spans="1:22" ht="25.5" customHeight="1" x14ac:dyDescent="0.35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68</v>
      </c>
      <c r="T10" s="162"/>
      <c r="U10" s="163"/>
    </row>
    <row r="11" spans="1:22" ht="11.65" customHeight="1" x14ac:dyDescent="0.35">
      <c r="A11" s="3" t="s">
        <v>38</v>
      </c>
      <c r="B11" s="3" t="s">
        <v>19</v>
      </c>
      <c r="C11" s="4" t="s">
        <v>20</v>
      </c>
      <c r="D11" s="20" t="s">
        <v>6</v>
      </c>
      <c r="E11" s="48" t="s">
        <v>10</v>
      </c>
      <c r="F11" s="48" t="s">
        <v>114</v>
      </c>
      <c r="G11" s="48" t="s">
        <v>73</v>
      </c>
      <c r="H11" s="33" t="s">
        <v>104</v>
      </c>
      <c r="I11" s="20" t="s">
        <v>100</v>
      </c>
      <c r="J11" s="20" t="s">
        <v>67</v>
      </c>
      <c r="K11" s="20" t="s">
        <v>105</v>
      </c>
      <c r="L11" s="36" t="s">
        <v>108</v>
      </c>
      <c r="M11" s="38" t="s">
        <v>43</v>
      </c>
      <c r="N11" s="58" t="s">
        <v>63</v>
      </c>
      <c r="O11" s="49" t="s">
        <v>48</v>
      </c>
      <c r="P11" s="49" t="s">
        <v>60</v>
      </c>
      <c r="Q11" s="38" t="s">
        <v>112</v>
      </c>
      <c r="R11" s="38" t="s">
        <v>106</v>
      </c>
      <c r="S11" s="49" t="s">
        <v>86</v>
      </c>
      <c r="T11" s="38" t="s">
        <v>12</v>
      </c>
      <c r="U11" s="38" t="s">
        <v>99</v>
      </c>
    </row>
    <row r="12" spans="1:22" ht="11.65" customHeight="1" x14ac:dyDescent="0.35">
      <c r="A12" s="5"/>
      <c r="B12" s="6" t="s">
        <v>24</v>
      </c>
      <c r="C12" s="5">
        <f>IFERROR(VLOOKUP(B12,DATA!$B$12:$D$13,3,0),0)</f>
        <v>7.95</v>
      </c>
      <c r="D12" s="44">
        <v>130000</v>
      </c>
      <c r="E12" s="27">
        <v>25</v>
      </c>
      <c r="F12" s="27">
        <v>30</v>
      </c>
      <c r="G12" s="27">
        <v>19</v>
      </c>
      <c r="H12" s="21">
        <v>10</v>
      </c>
      <c r="I12" s="21"/>
      <c r="J12" s="44"/>
      <c r="K12" s="21"/>
      <c r="L12" s="8">
        <f t="shared" ref="L12:L43" si="0">IFERROR(IF(AND(OR(LEFT(B12,FIND(" ",B12,1)-1)="Đồng",LEFT(B12,FIND(" ",B12,1)-1)="Nhôm"),E12&gt;(F12/10)),5%,0),"")</f>
        <v>0</v>
      </c>
      <c r="M12" s="40">
        <f t="shared" ref="M12:M43" si="1">E12*F12*G12*H12</f>
        <v>142500</v>
      </c>
      <c r="N12" s="118">
        <f t="shared" ref="N12:N43" si="2">IFERROR((E12*F12*G12*H12/10^6),0)*C12</f>
        <v>1.1328749999999999</v>
      </c>
      <c r="O12" s="7">
        <f t="shared" ref="O12:O43" si="3">IFERROR(((E12+5)*(F12+5)*(G12+5))/(E12*F12*G12)-1,"")</f>
        <v>0.76842105263157889</v>
      </c>
      <c r="P12" s="8">
        <v>3.5000000000000003E-2</v>
      </c>
      <c r="Q12" s="40">
        <f t="shared" ref="Q12:Q43" si="4">IFERROR(IF(H12&gt;50,E12*(H12*G12+(H12+2)*F12),IF(H12&gt;10,E12*(2*H12*G12+(H12+1)*F12),2*H12*E12*(F12+G12)))*1.2/N12,0)</f>
        <v>25951.671631909969</v>
      </c>
      <c r="R12" s="40">
        <f t="shared" ref="R12:R43" si="5">IFERROR((D12*(1+O12+P12)+Q12+(($J$12+$K$12)/$N$62))/(1-L12-(I12*0.007/30)),"")</f>
        <v>260396.40847401522</v>
      </c>
      <c r="S12" s="7">
        <v>0.12</v>
      </c>
      <c r="T12" s="56">
        <f t="shared" ref="T12:T43" si="6">IFERROR(ROUND(R12/(1-S12),0),"")</f>
        <v>295905</v>
      </c>
      <c r="U12" s="40">
        <f t="shared" ref="U12:U43" si="7">IFERROR(ROUND(T12*N12,0),"")</f>
        <v>335223</v>
      </c>
      <c r="V12" s="99"/>
    </row>
    <row r="13" spans="1:22" ht="11.65" customHeight="1" x14ac:dyDescent="0.35">
      <c r="A13" s="9"/>
      <c r="B13" s="10"/>
      <c r="C13" s="9">
        <f>IFERROR(VLOOKUP(B13,DATA!$B$12:$D$13,3,0),0)</f>
        <v>0</v>
      </c>
      <c r="D13" s="45"/>
      <c r="E13" s="28"/>
      <c r="F13" s="28"/>
      <c r="G13" s="28"/>
      <c r="H13" s="22"/>
      <c r="I13" s="22"/>
      <c r="J13" s="45"/>
      <c r="K13" s="22"/>
      <c r="L13" s="12" t="str">
        <f t="shared" si="0"/>
        <v/>
      </c>
      <c r="M13" s="41">
        <f t="shared" si="1"/>
        <v>0</v>
      </c>
      <c r="N13" s="118">
        <f t="shared" si="2"/>
        <v>0</v>
      </c>
      <c r="O13" s="11" t="str">
        <f t="shared" si="3"/>
        <v/>
      </c>
      <c r="P13" s="12">
        <v>3.5000000000000003E-2</v>
      </c>
      <c r="Q13" s="41">
        <f t="shared" si="4"/>
        <v>0</v>
      </c>
      <c r="R13" s="41" t="str">
        <f t="shared" si="5"/>
        <v/>
      </c>
      <c r="S13" s="11"/>
      <c r="T13" s="56" t="str">
        <f t="shared" si="6"/>
        <v/>
      </c>
      <c r="U13" s="41" t="str">
        <f t="shared" si="7"/>
        <v/>
      </c>
      <c r="V13" s="99"/>
    </row>
    <row r="14" spans="1:22" ht="11.65" customHeight="1" x14ac:dyDescent="0.35">
      <c r="A14" s="9"/>
      <c r="B14" s="10"/>
      <c r="C14" s="9">
        <f>IFERROR(VLOOKUP(B14,DATA!$B$12:$D$13,3,0),0)</f>
        <v>0</v>
      </c>
      <c r="D14" s="45"/>
      <c r="E14" s="28"/>
      <c r="F14" s="28"/>
      <c r="G14" s="28"/>
      <c r="H14" s="22"/>
      <c r="I14" s="22"/>
      <c r="J14" s="45"/>
      <c r="K14" s="22"/>
      <c r="L14" s="12" t="str">
        <f t="shared" si="0"/>
        <v/>
      </c>
      <c r="M14" s="41">
        <f t="shared" si="1"/>
        <v>0</v>
      </c>
      <c r="N14" s="118">
        <f t="shared" si="2"/>
        <v>0</v>
      </c>
      <c r="O14" s="11" t="str">
        <f t="shared" si="3"/>
        <v/>
      </c>
      <c r="P14" s="12">
        <v>3.5000000000000003E-2</v>
      </c>
      <c r="Q14" s="41">
        <f t="shared" si="4"/>
        <v>0</v>
      </c>
      <c r="R14" s="41" t="str">
        <f t="shared" si="5"/>
        <v/>
      </c>
      <c r="S14" s="11"/>
      <c r="T14" s="56" t="str">
        <f t="shared" si="6"/>
        <v/>
      </c>
      <c r="U14" s="41" t="str">
        <f t="shared" si="7"/>
        <v/>
      </c>
      <c r="V14" s="99"/>
    </row>
    <row r="15" spans="1:22" ht="11.65" customHeight="1" x14ac:dyDescent="0.35">
      <c r="A15" s="9"/>
      <c r="B15" s="10"/>
      <c r="C15" s="9">
        <f>IFERROR(VLOOKUP(B15,DATA!$B$12:$D$13,3,0),0)</f>
        <v>0</v>
      </c>
      <c r="D15" s="45"/>
      <c r="E15" s="28"/>
      <c r="F15" s="28"/>
      <c r="G15" s="28"/>
      <c r="H15" s="22"/>
      <c r="I15" s="22"/>
      <c r="J15" s="45"/>
      <c r="K15" s="22"/>
      <c r="L15" s="12" t="str">
        <f t="shared" si="0"/>
        <v/>
      </c>
      <c r="M15" s="41">
        <f t="shared" si="1"/>
        <v>0</v>
      </c>
      <c r="N15" s="118">
        <f t="shared" si="2"/>
        <v>0</v>
      </c>
      <c r="O15" s="11" t="str">
        <f t="shared" si="3"/>
        <v/>
      </c>
      <c r="P15" s="12">
        <v>3.5000000000000003E-2</v>
      </c>
      <c r="Q15" s="41">
        <f t="shared" si="4"/>
        <v>0</v>
      </c>
      <c r="R15" s="41" t="str">
        <f t="shared" si="5"/>
        <v/>
      </c>
      <c r="S15" s="11"/>
      <c r="T15" s="56" t="str">
        <f t="shared" si="6"/>
        <v/>
      </c>
      <c r="U15" s="41" t="str">
        <f t="shared" si="7"/>
        <v/>
      </c>
      <c r="V15" s="99"/>
    </row>
    <row r="16" spans="1:22" ht="11.65" customHeight="1" x14ac:dyDescent="0.35">
      <c r="A16" s="9"/>
      <c r="B16" s="10"/>
      <c r="C16" s="9">
        <f>IFERROR(VLOOKUP(B16,DATA!$B$12:$D$13,3,0),0)</f>
        <v>0</v>
      </c>
      <c r="D16" s="45"/>
      <c r="E16" s="28"/>
      <c r="F16" s="28"/>
      <c r="G16" s="28"/>
      <c r="H16" s="22"/>
      <c r="I16" s="22"/>
      <c r="J16" s="45"/>
      <c r="K16" s="22"/>
      <c r="L16" s="12" t="str">
        <f t="shared" si="0"/>
        <v/>
      </c>
      <c r="M16" s="41">
        <f t="shared" si="1"/>
        <v>0</v>
      </c>
      <c r="N16" s="118">
        <f t="shared" si="2"/>
        <v>0</v>
      </c>
      <c r="O16" s="11" t="str">
        <f t="shared" si="3"/>
        <v/>
      </c>
      <c r="P16" s="12">
        <v>3.5000000000000003E-2</v>
      </c>
      <c r="Q16" s="41">
        <f t="shared" si="4"/>
        <v>0</v>
      </c>
      <c r="R16" s="41" t="str">
        <f t="shared" si="5"/>
        <v/>
      </c>
      <c r="S16" s="11"/>
      <c r="T16" s="56" t="str">
        <f t="shared" si="6"/>
        <v/>
      </c>
      <c r="U16" s="41" t="str">
        <f t="shared" si="7"/>
        <v/>
      </c>
      <c r="V16" s="99"/>
    </row>
    <row r="17" spans="1:22" ht="11.65" customHeight="1" x14ac:dyDescent="0.35">
      <c r="A17" s="9"/>
      <c r="B17" s="10"/>
      <c r="C17" s="9">
        <f>IFERROR(VLOOKUP(B17,DATA!$B$12:$D$13,3,0),0)</f>
        <v>0</v>
      </c>
      <c r="D17" s="45"/>
      <c r="E17" s="28"/>
      <c r="F17" s="28"/>
      <c r="G17" s="28"/>
      <c r="H17" s="22"/>
      <c r="I17" s="22"/>
      <c r="J17" s="45"/>
      <c r="K17" s="22"/>
      <c r="L17" s="12" t="str">
        <f t="shared" si="0"/>
        <v/>
      </c>
      <c r="M17" s="41">
        <f t="shared" si="1"/>
        <v>0</v>
      </c>
      <c r="N17" s="118">
        <f t="shared" si="2"/>
        <v>0</v>
      </c>
      <c r="O17" s="11" t="str">
        <f t="shared" si="3"/>
        <v/>
      </c>
      <c r="P17" s="12">
        <v>3.5000000000000003E-2</v>
      </c>
      <c r="Q17" s="41">
        <f t="shared" si="4"/>
        <v>0</v>
      </c>
      <c r="R17" s="41" t="str">
        <f t="shared" si="5"/>
        <v/>
      </c>
      <c r="S17" s="11"/>
      <c r="T17" s="56" t="str">
        <f t="shared" si="6"/>
        <v/>
      </c>
      <c r="U17" s="41" t="str">
        <f t="shared" si="7"/>
        <v/>
      </c>
      <c r="V17" s="99"/>
    </row>
    <row r="18" spans="1:22" ht="11.65" customHeight="1" x14ac:dyDescent="0.35">
      <c r="A18" s="9"/>
      <c r="B18" s="10"/>
      <c r="C18" s="9">
        <f>IFERROR(VLOOKUP(B18,DATA!$B$12:$D$13,3,0),0)</f>
        <v>0</v>
      </c>
      <c r="D18" s="45"/>
      <c r="E18" s="28"/>
      <c r="F18" s="28"/>
      <c r="G18" s="28"/>
      <c r="H18" s="22"/>
      <c r="I18" s="22"/>
      <c r="J18" s="45"/>
      <c r="K18" s="22"/>
      <c r="L18" s="12" t="str">
        <f t="shared" si="0"/>
        <v/>
      </c>
      <c r="M18" s="41">
        <f t="shared" si="1"/>
        <v>0</v>
      </c>
      <c r="N18" s="118">
        <f t="shared" si="2"/>
        <v>0</v>
      </c>
      <c r="O18" s="11" t="str">
        <f t="shared" si="3"/>
        <v/>
      </c>
      <c r="P18" s="12">
        <v>3.5000000000000003E-2</v>
      </c>
      <c r="Q18" s="41">
        <f t="shared" si="4"/>
        <v>0</v>
      </c>
      <c r="R18" s="41" t="str">
        <f t="shared" si="5"/>
        <v/>
      </c>
      <c r="S18" s="11"/>
      <c r="T18" s="56" t="str">
        <f t="shared" si="6"/>
        <v/>
      </c>
      <c r="U18" s="41" t="str">
        <f t="shared" si="7"/>
        <v/>
      </c>
      <c r="V18" s="99"/>
    </row>
    <row r="19" spans="1:22" ht="11.65" customHeight="1" x14ac:dyDescent="0.35">
      <c r="A19" s="9"/>
      <c r="B19" s="10"/>
      <c r="C19" s="9">
        <f>IFERROR(VLOOKUP(B19,DATA!$B$12:$D$13,3,0),0)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t="shared" si="0"/>
        <v/>
      </c>
      <c r="M19" s="41">
        <f t="shared" si="1"/>
        <v>0</v>
      </c>
      <c r="N19" s="118">
        <f t="shared" si="2"/>
        <v>0</v>
      </c>
      <c r="O19" s="11" t="str">
        <f t="shared" si="3"/>
        <v/>
      </c>
      <c r="P19" s="12">
        <v>3.5000000000000003E-2</v>
      </c>
      <c r="Q19" s="41">
        <f t="shared" si="4"/>
        <v>0</v>
      </c>
      <c r="R19" s="41" t="str">
        <f t="shared" si="5"/>
        <v/>
      </c>
      <c r="S19" s="11"/>
      <c r="T19" s="56" t="str">
        <f t="shared" si="6"/>
        <v/>
      </c>
      <c r="U19" s="41" t="str">
        <f t="shared" si="7"/>
        <v/>
      </c>
    </row>
    <row r="20" spans="1:22" ht="11.65" customHeight="1" x14ac:dyDescent="0.35">
      <c r="A20" s="9"/>
      <c r="B20" s="10"/>
      <c r="C20" s="9">
        <f>IFERROR(VLOOKUP(B20,DATA!$B$12:$D$13,3,0),0)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t="shared" si="0"/>
        <v/>
      </c>
      <c r="M20" s="41">
        <f t="shared" si="1"/>
        <v>0</v>
      </c>
      <c r="N20" s="118">
        <f t="shared" si="2"/>
        <v>0</v>
      </c>
      <c r="O20" s="11" t="str">
        <f t="shared" si="3"/>
        <v/>
      </c>
      <c r="P20" s="12">
        <v>3.5000000000000003E-2</v>
      </c>
      <c r="Q20" s="41">
        <f t="shared" si="4"/>
        <v>0</v>
      </c>
      <c r="R20" s="41" t="str">
        <f t="shared" si="5"/>
        <v/>
      </c>
      <c r="S20" s="11"/>
      <c r="T20" s="56" t="str">
        <f t="shared" si="6"/>
        <v/>
      </c>
      <c r="U20" s="41" t="str">
        <f t="shared" si="7"/>
        <v/>
      </c>
    </row>
    <row r="21" spans="1:22" ht="11.65" customHeight="1" x14ac:dyDescent="0.35">
      <c r="A21" s="9"/>
      <c r="B21" s="10"/>
      <c r="C21" s="9">
        <f>IFERROR(VLOOKUP(B21,DATA!$B$12:$D$13,3,0),0)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t="shared" si="0"/>
        <v/>
      </c>
      <c r="M21" s="41">
        <f t="shared" si="1"/>
        <v>0</v>
      </c>
      <c r="N21" s="118">
        <f t="shared" si="2"/>
        <v>0</v>
      </c>
      <c r="O21" s="11" t="str">
        <f t="shared" si="3"/>
        <v/>
      </c>
      <c r="P21" s="12">
        <v>3.5000000000000003E-2</v>
      </c>
      <c r="Q21" s="41">
        <f t="shared" si="4"/>
        <v>0</v>
      </c>
      <c r="R21" s="41" t="str">
        <f t="shared" si="5"/>
        <v/>
      </c>
      <c r="S21" s="11"/>
      <c r="T21" s="56" t="str">
        <f t="shared" si="6"/>
        <v/>
      </c>
      <c r="U21" s="41" t="str">
        <f t="shared" si="7"/>
        <v/>
      </c>
    </row>
    <row r="22" spans="1:22" ht="11.65" customHeight="1" x14ac:dyDescent="0.35">
      <c r="A22" s="9"/>
      <c r="B22" s="10"/>
      <c r="C22" s="9">
        <f>IFERROR(VLOOKUP(B22,DATA!$B$12:$D$13,3,0),0)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t="shared" si="0"/>
        <v/>
      </c>
      <c r="M22" s="41">
        <f t="shared" si="1"/>
        <v>0</v>
      </c>
      <c r="N22" s="118">
        <f t="shared" si="2"/>
        <v>0</v>
      </c>
      <c r="O22" s="11" t="str">
        <f t="shared" si="3"/>
        <v/>
      </c>
      <c r="P22" s="12">
        <v>3.5000000000000003E-2</v>
      </c>
      <c r="Q22" s="41">
        <f t="shared" si="4"/>
        <v>0</v>
      </c>
      <c r="R22" s="41" t="str">
        <f t="shared" si="5"/>
        <v/>
      </c>
      <c r="S22" s="11"/>
      <c r="T22" s="56" t="str">
        <f t="shared" si="6"/>
        <v/>
      </c>
      <c r="U22" s="41" t="str">
        <f t="shared" si="7"/>
        <v/>
      </c>
    </row>
    <row r="23" spans="1:22" ht="11.65" customHeight="1" x14ac:dyDescent="0.35">
      <c r="A23" s="9"/>
      <c r="B23" s="10"/>
      <c r="C23" s="9">
        <f>IFERROR(VLOOKUP(B23,DATA!$B$12:$D$13,3,0),0)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t="shared" si="0"/>
        <v/>
      </c>
      <c r="M23" s="41">
        <f t="shared" si="1"/>
        <v>0</v>
      </c>
      <c r="N23" s="118">
        <f t="shared" si="2"/>
        <v>0</v>
      </c>
      <c r="O23" s="11" t="str">
        <f t="shared" si="3"/>
        <v/>
      </c>
      <c r="P23" s="12">
        <v>3.5000000000000003E-2</v>
      </c>
      <c r="Q23" s="41">
        <f t="shared" si="4"/>
        <v>0</v>
      </c>
      <c r="R23" s="41" t="str">
        <f t="shared" si="5"/>
        <v/>
      </c>
      <c r="S23" s="11"/>
      <c r="T23" s="56" t="str">
        <f t="shared" si="6"/>
        <v/>
      </c>
      <c r="U23" s="41" t="str">
        <f t="shared" si="7"/>
        <v/>
      </c>
    </row>
    <row r="24" spans="1:22" ht="11.65" customHeight="1" x14ac:dyDescent="0.35">
      <c r="A24" s="9"/>
      <c r="B24" s="10"/>
      <c r="C24" s="9">
        <f>IFERROR(VLOOKUP(B24,DATA!$B$12:$D$13,3,0),0)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t="shared" si="0"/>
        <v/>
      </c>
      <c r="M24" s="41">
        <f t="shared" si="1"/>
        <v>0</v>
      </c>
      <c r="N24" s="118">
        <f t="shared" si="2"/>
        <v>0</v>
      </c>
      <c r="O24" s="11" t="str">
        <f t="shared" si="3"/>
        <v/>
      </c>
      <c r="P24" s="12">
        <v>3.5000000000000003E-2</v>
      </c>
      <c r="Q24" s="41">
        <f t="shared" si="4"/>
        <v>0</v>
      </c>
      <c r="R24" s="41" t="str">
        <f t="shared" si="5"/>
        <v/>
      </c>
      <c r="S24" s="11"/>
      <c r="T24" s="56" t="str">
        <f t="shared" si="6"/>
        <v/>
      </c>
      <c r="U24" s="41" t="str">
        <f t="shared" si="7"/>
        <v/>
      </c>
    </row>
    <row r="25" spans="1:22" ht="11.65" customHeight="1" x14ac:dyDescent="0.35">
      <c r="A25" s="9"/>
      <c r="B25" s="10"/>
      <c r="C25" s="9">
        <f>IFERROR(VLOOKUP(B25,DATA!$B$12:$D$13,3,0),0)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t="shared" si="0"/>
        <v/>
      </c>
      <c r="M25" s="41">
        <f t="shared" si="1"/>
        <v>0</v>
      </c>
      <c r="N25" s="118">
        <f t="shared" si="2"/>
        <v>0</v>
      </c>
      <c r="O25" s="11" t="str">
        <f t="shared" si="3"/>
        <v/>
      </c>
      <c r="P25" s="12">
        <v>3.5000000000000003E-2</v>
      </c>
      <c r="Q25" s="41">
        <f t="shared" si="4"/>
        <v>0</v>
      </c>
      <c r="R25" s="41" t="str">
        <f t="shared" si="5"/>
        <v/>
      </c>
      <c r="S25" s="11"/>
      <c r="T25" s="56" t="str">
        <f t="shared" si="6"/>
        <v/>
      </c>
      <c r="U25" s="41" t="str">
        <f t="shared" si="7"/>
        <v/>
      </c>
    </row>
    <row r="26" spans="1:22" ht="11.65" customHeight="1" x14ac:dyDescent="0.35">
      <c r="A26" s="9"/>
      <c r="B26" s="10"/>
      <c r="C26" s="9">
        <f>IFERROR(VLOOKUP(B26,DATA!$B$12:$D$13,3,0),0)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t="shared" si="0"/>
        <v/>
      </c>
      <c r="M26" s="41">
        <f t="shared" si="1"/>
        <v>0</v>
      </c>
      <c r="N26" s="118">
        <f t="shared" si="2"/>
        <v>0</v>
      </c>
      <c r="O26" s="11" t="str">
        <f t="shared" si="3"/>
        <v/>
      </c>
      <c r="P26" s="12">
        <v>3.5000000000000003E-2</v>
      </c>
      <c r="Q26" s="41">
        <f t="shared" si="4"/>
        <v>0</v>
      </c>
      <c r="R26" s="41" t="str">
        <f t="shared" si="5"/>
        <v/>
      </c>
      <c r="S26" s="11"/>
      <c r="T26" s="56" t="str">
        <f t="shared" si="6"/>
        <v/>
      </c>
      <c r="U26" s="41" t="str">
        <f t="shared" si="7"/>
        <v/>
      </c>
    </row>
    <row r="27" spans="1:22" ht="11.65" customHeight="1" x14ac:dyDescent="0.35">
      <c r="A27" s="9"/>
      <c r="B27" s="10"/>
      <c r="C27" s="9">
        <f>IFERROR(VLOOKUP(B27,DATA!$B$12:$D$13,3,0),0)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t="shared" si="0"/>
        <v/>
      </c>
      <c r="M27" s="41">
        <f t="shared" si="1"/>
        <v>0</v>
      </c>
      <c r="N27" s="118">
        <f t="shared" si="2"/>
        <v>0</v>
      </c>
      <c r="O27" s="11" t="str">
        <f t="shared" si="3"/>
        <v/>
      </c>
      <c r="P27" s="12">
        <v>3.5000000000000003E-2</v>
      </c>
      <c r="Q27" s="41">
        <f t="shared" si="4"/>
        <v>0</v>
      </c>
      <c r="R27" s="41" t="str">
        <f t="shared" si="5"/>
        <v/>
      </c>
      <c r="S27" s="11"/>
      <c r="T27" s="56" t="str">
        <f t="shared" si="6"/>
        <v/>
      </c>
      <c r="U27" s="41" t="str">
        <f t="shared" si="7"/>
        <v/>
      </c>
    </row>
    <row r="28" spans="1:22" ht="11.65" customHeight="1" x14ac:dyDescent="0.35">
      <c r="A28" s="9"/>
      <c r="B28" s="10"/>
      <c r="C28" s="9">
        <f>IFERROR(VLOOKUP(B28,DATA!$B$12:$D$13,3,0),0)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t="shared" si="0"/>
        <v/>
      </c>
      <c r="M28" s="41">
        <f t="shared" si="1"/>
        <v>0</v>
      </c>
      <c r="N28" s="118">
        <f t="shared" si="2"/>
        <v>0</v>
      </c>
      <c r="O28" s="11" t="str">
        <f t="shared" si="3"/>
        <v/>
      </c>
      <c r="P28" s="12">
        <v>3.5000000000000003E-2</v>
      </c>
      <c r="Q28" s="41">
        <f t="shared" si="4"/>
        <v>0</v>
      </c>
      <c r="R28" s="41" t="str">
        <f t="shared" si="5"/>
        <v/>
      </c>
      <c r="S28" s="11"/>
      <c r="T28" s="56" t="str">
        <f t="shared" si="6"/>
        <v/>
      </c>
      <c r="U28" s="41" t="str">
        <f t="shared" si="7"/>
        <v/>
      </c>
    </row>
    <row r="29" spans="1:22" ht="11.65" customHeight="1" x14ac:dyDescent="0.35">
      <c r="A29" s="9"/>
      <c r="B29" s="10"/>
      <c r="C29" s="9">
        <f>IFERROR(VLOOKUP(B29,DATA!$B$12:$D$13,3,0),0)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t="shared" si="0"/>
        <v/>
      </c>
      <c r="M29" s="41">
        <f t="shared" si="1"/>
        <v>0</v>
      </c>
      <c r="N29" s="118">
        <f t="shared" si="2"/>
        <v>0</v>
      </c>
      <c r="O29" s="11" t="str">
        <f t="shared" si="3"/>
        <v/>
      </c>
      <c r="P29" s="12">
        <v>3.5000000000000003E-2</v>
      </c>
      <c r="Q29" s="41">
        <f t="shared" si="4"/>
        <v>0</v>
      </c>
      <c r="R29" s="41" t="str">
        <f t="shared" si="5"/>
        <v/>
      </c>
      <c r="S29" s="11"/>
      <c r="T29" s="56" t="str">
        <f t="shared" si="6"/>
        <v/>
      </c>
      <c r="U29" s="41" t="str">
        <f t="shared" si="7"/>
        <v/>
      </c>
    </row>
    <row r="30" spans="1:22" ht="11.65" customHeight="1" x14ac:dyDescent="0.35">
      <c r="A30" s="9"/>
      <c r="B30" s="10"/>
      <c r="C30" s="9">
        <f>IFERROR(VLOOKUP(B30,DATA!$B$12:$D$13,3,0),0)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t="shared" si="0"/>
        <v/>
      </c>
      <c r="M30" s="41">
        <f t="shared" si="1"/>
        <v>0</v>
      </c>
      <c r="N30" s="118">
        <f t="shared" si="2"/>
        <v>0</v>
      </c>
      <c r="O30" s="11" t="str">
        <f t="shared" si="3"/>
        <v/>
      </c>
      <c r="P30" s="12">
        <v>3.5000000000000003E-2</v>
      </c>
      <c r="Q30" s="41">
        <f t="shared" si="4"/>
        <v>0</v>
      </c>
      <c r="R30" s="41" t="str">
        <f t="shared" si="5"/>
        <v/>
      </c>
      <c r="S30" s="11"/>
      <c r="T30" s="56" t="str">
        <f t="shared" si="6"/>
        <v/>
      </c>
      <c r="U30" s="41" t="str">
        <f t="shared" si="7"/>
        <v/>
      </c>
    </row>
    <row r="31" spans="1:22" ht="11.65" customHeight="1" x14ac:dyDescent="0.35">
      <c r="A31" s="9"/>
      <c r="B31" s="10"/>
      <c r="C31" s="9">
        <f>IFERROR(VLOOKUP(B31,DATA!$B$12:$D$13,3,0),0)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t="shared" si="0"/>
        <v/>
      </c>
      <c r="M31" s="41">
        <f t="shared" si="1"/>
        <v>0</v>
      </c>
      <c r="N31" s="118">
        <f t="shared" si="2"/>
        <v>0</v>
      </c>
      <c r="O31" s="11" t="str">
        <f t="shared" si="3"/>
        <v/>
      </c>
      <c r="P31" s="12">
        <v>3.5000000000000003E-2</v>
      </c>
      <c r="Q31" s="41">
        <f t="shared" si="4"/>
        <v>0</v>
      </c>
      <c r="R31" s="41" t="str">
        <f t="shared" si="5"/>
        <v/>
      </c>
      <c r="S31" s="11"/>
      <c r="T31" s="56" t="str">
        <f t="shared" si="6"/>
        <v/>
      </c>
      <c r="U31" s="41" t="str">
        <f t="shared" si="7"/>
        <v/>
      </c>
    </row>
    <row r="32" spans="1:22" ht="11.65" customHeight="1" x14ac:dyDescent="0.35">
      <c r="A32" s="9"/>
      <c r="B32" s="10"/>
      <c r="C32" s="9">
        <f>IFERROR(VLOOKUP(B32,DATA!$B$12:$D$13,3,0),0)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t="shared" si="0"/>
        <v/>
      </c>
      <c r="M32" s="41">
        <f t="shared" si="1"/>
        <v>0</v>
      </c>
      <c r="N32" s="118">
        <f t="shared" si="2"/>
        <v>0</v>
      </c>
      <c r="O32" s="11" t="str">
        <f t="shared" si="3"/>
        <v/>
      </c>
      <c r="P32" s="12">
        <v>3.5000000000000003E-2</v>
      </c>
      <c r="Q32" s="41">
        <f t="shared" si="4"/>
        <v>0</v>
      </c>
      <c r="R32" s="41" t="str">
        <f t="shared" si="5"/>
        <v/>
      </c>
      <c r="S32" s="11"/>
      <c r="T32" s="56" t="str">
        <f t="shared" si="6"/>
        <v/>
      </c>
      <c r="U32" s="41" t="str">
        <f t="shared" si="7"/>
        <v/>
      </c>
    </row>
    <row r="33" spans="1:21" ht="11.65" customHeight="1" x14ac:dyDescent="0.35">
      <c r="A33" s="9"/>
      <c r="B33" s="10"/>
      <c r="C33" s="9">
        <f>IFERROR(VLOOKUP(B33,DATA!$B$12:$D$13,3,0),0)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t="shared" si="0"/>
        <v/>
      </c>
      <c r="M33" s="41">
        <f t="shared" si="1"/>
        <v>0</v>
      </c>
      <c r="N33" s="118">
        <f t="shared" si="2"/>
        <v>0</v>
      </c>
      <c r="O33" s="11" t="str">
        <f t="shared" si="3"/>
        <v/>
      </c>
      <c r="P33" s="12">
        <v>3.5000000000000003E-2</v>
      </c>
      <c r="Q33" s="41">
        <f t="shared" si="4"/>
        <v>0</v>
      </c>
      <c r="R33" s="41" t="str">
        <f t="shared" si="5"/>
        <v/>
      </c>
      <c r="S33" s="11"/>
      <c r="T33" s="56" t="str">
        <f t="shared" si="6"/>
        <v/>
      </c>
      <c r="U33" s="41" t="str">
        <f t="shared" si="7"/>
        <v/>
      </c>
    </row>
    <row r="34" spans="1:21" ht="11.65" customHeight="1" x14ac:dyDescent="0.35">
      <c r="A34" s="9"/>
      <c r="B34" s="10"/>
      <c r="C34" s="9">
        <f>IFERROR(VLOOKUP(B34,DATA!$B$12:$D$13,3,0),0)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t="shared" si="0"/>
        <v/>
      </c>
      <c r="M34" s="41">
        <f t="shared" si="1"/>
        <v>0</v>
      </c>
      <c r="N34" s="118">
        <f t="shared" si="2"/>
        <v>0</v>
      </c>
      <c r="O34" s="11" t="str">
        <f t="shared" si="3"/>
        <v/>
      </c>
      <c r="P34" s="12">
        <v>3.5000000000000003E-2</v>
      </c>
      <c r="Q34" s="41">
        <f t="shared" si="4"/>
        <v>0</v>
      </c>
      <c r="R34" s="41" t="str">
        <f t="shared" si="5"/>
        <v/>
      </c>
      <c r="S34" s="11"/>
      <c r="T34" s="56" t="str">
        <f t="shared" si="6"/>
        <v/>
      </c>
      <c r="U34" s="41" t="str">
        <f t="shared" si="7"/>
        <v/>
      </c>
    </row>
    <row r="35" spans="1:21" ht="11.65" customHeight="1" x14ac:dyDescent="0.35">
      <c r="A35" s="9"/>
      <c r="B35" s="10"/>
      <c r="C35" s="9">
        <f>IFERROR(VLOOKUP(B35,DATA!$B$12:$D$13,3,0),0)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t="shared" si="0"/>
        <v/>
      </c>
      <c r="M35" s="41">
        <f t="shared" si="1"/>
        <v>0</v>
      </c>
      <c r="N35" s="118">
        <f t="shared" si="2"/>
        <v>0</v>
      </c>
      <c r="O35" s="11" t="str">
        <f t="shared" si="3"/>
        <v/>
      </c>
      <c r="P35" s="12">
        <v>3.5000000000000003E-2</v>
      </c>
      <c r="Q35" s="41">
        <f t="shared" si="4"/>
        <v>0</v>
      </c>
      <c r="R35" s="41" t="str">
        <f t="shared" si="5"/>
        <v/>
      </c>
      <c r="S35" s="11"/>
      <c r="T35" s="56" t="str">
        <f t="shared" si="6"/>
        <v/>
      </c>
      <c r="U35" s="41" t="str">
        <f t="shared" si="7"/>
        <v/>
      </c>
    </row>
    <row r="36" spans="1:21" ht="11.65" customHeight="1" x14ac:dyDescent="0.35">
      <c r="A36" s="9"/>
      <c r="B36" s="10"/>
      <c r="C36" s="9">
        <f>IFERROR(VLOOKUP(B36,DATA!$B$12:$D$13,3,0),0)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t="shared" si="0"/>
        <v/>
      </c>
      <c r="M36" s="41">
        <f t="shared" si="1"/>
        <v>0</v>
      </c>
      <c r="N36" s="118">
        <f t="shared" si="2"/>
        <v>0</v>
      </c>
      <c r="O36" s="11" t="str">
        <f t="shared" si="3"/>
        <v/>
      </c>
      <c r="P36" s="12">
        <v>3.5000000000000003E-2</v>
      </c>
      <c r="Q36" s="41">
        <f t="shared" si="4"/>
        <v>0</v>
      </c>
      <c r="R36" s="41" t="str">
        <f t="shared" si="5"/>
        <v/>
      </c>
      <c r="S36" s="11"/>
      <c r="T36" s="56" t="str">
        <f t="shared" si="6"/>
        <v/>
      </c>
      <c r="U36" s="41" t="str">
        <f t="shared" si="7"/>
        <v/>
      </c>
    </row>
    <row r="37" spans="1:21" ht="11.65" customHeight="1" x14ac:dyDescent="0.35">
      <c r="A37" s="9"/>
      <c r="B37" s="10"/>
      <c r="C37" s="9">
        <f>IFERROR(VLOOKUP(B37,DATA!$B$12:$D$13,3,0),0)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t="shared" si="0"/>
        <v/>
      </c>
      <c r="M37" s="41">
        <f t="shared" si="1"/>
        <v>0</v>
      </c>
      <c r="N37" s="118">
        <f t="shared" si="2"/>
        <v>0</v>
      </c>
      <c r="O37" s="11" t="str">
        <f t="shared" si="3"/>
        <v/>
      </c>
      <c r="P37" s="12">
        <v>3.5000000000000003E-2</v>
      </c>
      <c r="Q37" s="41">
        <f t="shared" si="4"/>
        <v>0</v>
      </c>
      <c r="R37" s="41" t="str">
        <f t="shared" si="5"/>
        <v/>
      </c>
      <c r="S37" s="11"/>
      <c r="T37" s="56" t="str">
        <f t="shared" si="6"/>
        <v/>
      </c>
      <c r="U37" s="41" t="str">
        <f t="shared" si="7"/>
        <v/>
      </c>
    </row>
    <row r="38" spans="1:21" ht="11.65" customHeight="1" x14ac:dyDescent="0.35">
      <c r="A38" s="9"/>
      <c r="B38" s="10"/>
      <c r="C38" s="9">
        <f>IFERROR(VLOOKUP(B38,DATA!$B$12:$D$13,3,0),0)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t="shared" si="0"/>
        <v/>
      </c>
      <c r="M38" s="41">
        <f t="shared" si="1"/>
        <v>0</v>
      </c>
      <c r="N38" s="118">
        <f t="shared" si="2"/>
        <v>0</v>
      </c>
      <c r="O38" s="11" t="str">
        <f t="shared" si="3"/>
        <v/>
      </c>
      <c r="P38" s="12">
        <v>3.5000000000000003E-2</v>
      </c>
      <c r="Q38" s="41">
        <f t="shared" si="4"/>
        <v>0</v>
      </c>
      <c r="R38" s="41" t="str">
        <f t="shared" si="5"/>
        <v/>
      </c>
      <c r="S38" s="11"/>
      <c r="T38" s="56" t="str">
        <f t="shared" si="6"/>
        <v/>
      </c>
      <c r="U38" s="41" t="str">
        <f t="shared" si="7"/>
        <v/>
      </c>
    </row>
    <row r="39" spans="1:21" ht="11.65" customHeight="1" x14ac:dyDescent="0.35">
      <c r="A39" s="9"/>
      <c r="B39" s="10"/>
      <c r="C39" s="9">
        <f>IFERROR(VLOOKUP(B39,DATA!$B$12:$D$13,3,0),0)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t="shared" si="0"/>
        <v/>
      </c>
      <c r="M39" s="41">
        <f t="shared" si="1"/>
        <v>0</v>
      </c>
      <c r="N39" s="118">
        <f t="shared" si="2"/>
        <v>0</v>
      </c>
      <c r="O39" s="11" t="str">
        <f t="shared" si="3"/>
        <v/>
      </c>
      <c r="P39" s="12">
        <v>3.5000000000000003E-2</v>
      </c>
      <c r="Q39" s="41">
        <f t="shared" si="4"/>
        <v>0</v>
      </c>
      <c r="R39" s="41" t="str">
        <f t="shared" si="5"/>
        <v/>
      </c>
      <c r="S39" s="11"/>
      <c r="T39" s="56" t="str">
        <f t="shared" si="6"/>
        <v/>
      </c>
      <c r="U39" s="41" t="str">
        <f t="shared" si="7"/>
        <v/>
      </c>
    </row>
    <row r="40" spans="1:21" ht="11.65" customHeight="1" x14ac:dyDescent="0.35">
      <c r="A40" s="9"/>
      <c r="B40" s="10"/>
      <c r="C40" s="9">
        <f>IFERROR(VLOOKUP(B40,DATA!$B$12:$D$13,3,0),0)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t="shared" si="0"/>
        <v/>
      </c>
      <c r="M40" s="41">
        <f t="shared" si="1"/>
        <v>0</v>
      </c>
      <c r="N40" s="118">
        <f t="shared" si="2"/>
        <v>0</v>
      </c>
      <c r="O40" s="11" t="str">
        <f t="shared" si="3"/>
        <v/>
      </c>
      <c r="P40" s="12">
        <v>3.5000000000000003E-2</v>
      </c>
      <c r="Q40" s="41">
        <f t="shared" si="4"/>
        <v>0</v>
      </c>
      <c r="R40" s="41" t="str">
        <f t="shared" si="5"/>
        <v/>
      </c>
      <c r="S40" s="11"/>
      <c r="T40" s="56" t="str">
        <f t="shared" si="6"/>
        <v/>
      </c>
      <c r="U40" s="41" t="str">
        <f t="shared" si="7"/>
        <v/>
      </c>
    </row>
    <row r="41" spans="1:21" ht="11.65" customHeight="1" x14ac:dyDescent="0.35">
      <c r="A41" s="9"/>
      <c r="B41" s="10"/>
      <c r="C41" s="9">
        <f>IFERROR(VLOOKUP(B41,DATA!$B$12:$D$13,3,0),0)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t="shared" si="0"/>
        <v/>
      </c>
      <c r="M41" s="41">
        <f t="shared" si="1"/>
        <v>0</v>
      </c>
      <c r="N41" s="118">
        <f t="shared" si="2"/>
        <v>0</v>
      </c>
      <c r="O41" s="11" t="str">
        <f t="shared" si="3"/>
        <v/>
      </c>
      <c r="P41" s="12">
        <v>3.5000000000000003E-2</v>
      </c>
      <c r="Q41" s="41">
        <f t="shared" si="4"/>
        <v>0</v>
      </c>
      <c r="R41" s="41" t="str">
        <f t="shared" si="5"/>
        <v/>
      </c>
      <c r="S41" s="11"/>
      <c r="T41" s="56" t="str">
        <f t="shared" si="6"/>
        <v/>
      </c>
      <c r="U41" s="41" t="str">
        <f t="shared" si="7"/>
        <v/>
      </c>
    </row>
    <row r="42" spans="1:21" ht="11.65" customHeight="1" x14ac:dyDescent="0.35">
      <c r="A42" s="9"/>
      <c r="B42" s="10"/>
      <c r="C42" s="9">
        <f>IFERROR(VLOOKUP(B42,DATA!$B$12:$D$13,3,0),0)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t="shared" si="0"/>
        <v/>
      </c>
      <c r="M42" s="41">
        <f t="shared" si="1"/>
        <v>0</v>
      </c>
      <c r="N42" s="118">
        <f t="shared" si="2"/>
        <v>0</v>
      </c>
      <c r="O42" s="11" t="str">
        <f t="shared" si="3"/>
        <v/>
      </c>
      <c r="P42" s="12">
        <v>3.5000000000000003E-2</v>
      </c>
      <c r="Q42" s="41">
        <f t="shared" si="4"/>
        <v>0</v>
      </c>
      <c r="R42" s="41" t="str">
        <f t="shared" si="5"/>
        <v/>
      </c>
      <c r="S42" s="11"/>
      <c r="T42" s="56" t="str">
        <f t="shared" si="6"/>
        <v/>
      </c>
      <c r="U42" s="41" t="str">
        <f t="shared" si="7"/>
        <v/>
      </c>
    </row>
    <row r="43" spans="1:21" ht="11.65" customHeight="1" x14ac:dyDescent="0.35">
      <c r="A43" s="9"/>
      <c r="B43" s="10"/>
      <c r="C43" s="9">
        <f>IFERROR(VLOOKUP(B43,DATA!$B$12:$D$13,3,0),0)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t="shared" si="0"/>
        <v/>
      </c>
      <c r="M43" s="41">
        <f t="shared" si="1"/>
        <v>0</v>
      </c>
      <c r="N43" s="118">
        <f t="shared" si="2"/>
        <v>0</v>
      </c>
      <c r="O43" s="11" t="str">
        <f t="shared" si="3"/>
        <v/>
      </c>
      <c r="P43" s="12">
        <v>3.5000000000000003E-2</v>
      </c>
      <c r="Q43" s="41">
        <f t="shared" si="4"/>
        <v>0</v>
      </c>
      <c r="R43" s="41" t="str">
        <f t="shared" si="5"/>
        <v/>
      </c>
      <c r="S43" s="11"/>
      <c r="T43" s="56" t="str">
        <f t="shared" si="6"/>
        <v/>
      </c>
      <c r="U43" s="41" t="str">
        <f t="shared" si="7"/>
        <v/>
      </c>
    </row>
    <row r="44" spans="1:21" ht="11.65" customHeight="1" x14ac:dyDescent="0.35">
      <c r="A44" s="9"/>
      <c r="B44" s="10"/>
      <c r="C44" s="9">
        <f>IFERROR(VLOOKUP(B44,DATA!$B$12:$D$13,3,0),0)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t="shared" ref="L44:L61" si="8">IFERROR(IF(AND(OR(LEFT(B44,FIND(" ",B44,1)-1)="Đồng",LEFT(B44,FIND(" ",B44,1)-1)="Nhôm"),E44&gt;(F44/10)),5%,0),"")</f>
        <v/>
      </c>
      <c r="M44" s="41">
        <f t="shared" ref="M44:M61" si="9">E44*F44*G44*H44</f>
        <v>0</v>
      </c>
      <c r="N44" s="118">
        <f t="shared" ref="N44:N61" si="10">IFERROR((E44*F44*G44*H44/10^6),0)*C44</f>
        <v>0</v>
      </c>
      <c r="O44" s="11" t="str">
        <f t="shared" ref="O44:O61" si="11">IFERROR(((E44+5)*(F44+5)*(G44+5))/(E44*F44*G44)-1,"")</f>
        <v/>
      </c>
      <c r="P44" s="12">
        <v>3.5000000000000003E-2</v>
      </c>
      <c r="Q44" s="41">
        <f t="shared" ref="Q44:Q61" si="12">IFERROR(IF(H44&gt;50,E44*(H44*G44+(H44+2)*F44),IF(H44&gt;10,E44*(2*H44*G44+(H44+1)*F44),2*H44*E44*(F44+G44)))*1.2/N44,0)</f>
        <v>0</v>
      </c>
      <c r="R44" s="41" t="str">
        <f t="shared" ref="R44:R61" si="13">IFERROR((D44*(1+O44+P44)+Q44+(($J$12+$K$12)/$N$62))/(1-L44-(I44*0.007/30)),"")</f>
        <v/>
      </c>
      <c r="S44" s="11"/>
      <c r="T44" s="56" t="str">
        <f t="shared" ref="T44:T61" si="14">IFERROR(ROUND(R44/(1-S44),0),"")</f>
        <v/>
      </c>
      <c r="U44" s="41" t="str">
        <f t="shared" ref="U44:U61" si="15">IFERROR(ROUND(T44*N44,0),"")</f>
        <v/>
      </c>
    </row>
    <row r="45" spans="1:21" ht="11.65" customHeight="1" x14ac:dyDescent="0.35">
      <c r="A45" s="9"/>
      <c r="B45" s="10"/>
      <c r="C45" s="9">
        <f>IFERROR(VLOOKUP(B45,DATA!$B$12:$D$13,3,0),0)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t="shared" si="8"/>
        <v/>
      </c>
      <c r="M45" s="41">
        <f t="shared" si="9"/>
        <v>0</v>
      </c>
      <c r="N45" s="118">
        <f t="shared" si="10"/>
        <v>0</v>
      </c>
      <c r="O45" s="11" t="str">
        <f t="shared" si="11"/>
        <v/>
      </c>
      <c r="P45" s="12">
        <v>3.5000000000000003E-2</v>
      </c>
      <c r="Q45" s="41">
        <f t="shared" si="12"/>
        <v>0</v>
      </c>
      <c r="R45" s="41" t="str">
        <f t="shared" si="13"/>
        <v/>
      </c>
      <c r="S45" s="11"/>
      <c r="T45" s="56" t="str">
        <f t="shared" si="14"/>
        <v/>
      </c>
      <c r="U45" s="41" t="str">
        <f t="shared" si="15"/>
        <v/>
      </c>
    </row>
    <row r="46" spans="1:21" ht="11.65" customHeight="1" x14ac:dyDescent="0.35">
      <c r="A46" s="9"/>
      <c r="B46" s="10"/>
      <c r="C46" s="9">
        <f>IFERROR(VLOOKUP(B46,DATA!$B$12:$D$13,3,0),0)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t="shared" si="8"/>
        <v/>
      </c>
      <c r="M46" s="41">
        <f t="shared" si="9"/>
        <v>0</v>
      </c>
      <c r="N46" s="118">
        <f t="shared" si="10"/>
        <v>0</v>
      </c>
      <c r="O46" s="11" t="str">
        <f t="shared" si="11"/>
        <v/>
      </c>
      <c r="P46" s="12">
        <v>3.5000000000000003E-2</v>
      </c>
      <c r="Q46" s="41">
        <f t="shared" si="12"/>
        <v>0</v>
      </c>
      <c r="R46" s="41" t="str">
        <f t="shared" si="13"/>
        <v/>
      </c>
      <c r="S46" s="11"/>
      <c r="T46" s="56" t="str">
        <f t="shared" si="14"/>
        <v/>
      </c>
      <c r="U46" s="41" t="str">
        <f t="shared" si="15"/>
        <v/>
      </c>
    </row>
    <row r="47" spans="1:21" ht="11.65" customHeight="1" x14ac:dyDescent="0.35">
      <c r="A47" s="9"/>
      <c r="B47" s="10"/>
      <c r="C47" s="9">
        <f>IFERROR(VLOOKUP(B47,DATA!$B$12:$D$13,3,0),0)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t="shared" si="8"/>
        <v/>
      </c>
      <c r="M47" s="41">
        <f t="shared" si="9"/>
        <v>0</v>
      </c>
      <c r="N47" s="118">
        <f t="shared" si="10"/>
        <v>0</v>
      </c>
      <c r="O47" s="11" t="str">
        <f t="shared" si="11"/>
        <v/>
      </c>
      <c r="P47" s="12">
        <v>3.5000000000000003E-2</v>
      </c>
      <c r="Q47" s="41">
        <f t="shared" si="12"/>
        <v>0</v>
      </c>
      <c r="R47" s="41" t="str">
        <f t="shared" si="13"/>
        <v/>
      </c>
      <c r="S47" s="11"/>
      <c r="T47" s="56" t="str">
        <f t="shared" si="14"/>
        <v/>
      </c>
      <c r="U47" s="41" t="str">
        <f t="shared" si="15"/>
        <v/>
      </c>
    </row>
    <row r="48" spans="1:21" ht="11.65" customHeight="1" x14ac:dyDescent="0.35">
      <c r="A48" s="9"/>
      <c r="B48" s="10"/>
      <c r="C48" s="9">
        <f>IFERROR(VLOOKUP(B48,DATA!$B$12:$D$13,3,0),0)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t="shared" si="8"/>
        <v/>
      </c>
      <c r="M48" s="41">
        <f t="shared" si="9"/>
        <v>0</v>
      </c>
      <c r="N48" s="118">
        <f t="shared" si="10"/>
        <v>0</v>
      </c>
      <c r="O48" s="11" t="str">
        <f t="shared" si="11"/>
        <v/>
      </c>
      <c r="P48" s="12">
        <v>3.5000000000000003E-2</v>
      </c>
      <c r="Q48" s="41">
        <f t="shared" si="12"/>
        <v>0</v>
      </c>
      <c r="R48" s="41" t="str">
        <f t="shared" si="13"/>
        <v/>
      </c>
      <c r="S48" s="11"/>
      <c r="T48" s="56" t="str">
        <f t="shared" si="14"/>
        <v/>
      </c>
      <c r="U48" s="41" t="str">
        <f t="shared" si="15"/>
        <v/>
      </c>
    </row>
    <row r="49" spans="1:21" ht="11.65" customHeight="1" x14ac:dyDescent="0.35">
      <c r="A49" s="9"/>
      <c r="B49" s="10"/>
      <c r="C49" s="9">
        <f>IFERROR(VLOOKUP(B49,DATA!$B$12:$D$13,3,0),0)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t="shared" si="8"/>
        <v/>
      </c>
      <c r="M49" s="41">
        <f t="shared" si="9"/>
        <v>0</v>
      </c>
      <c r="N49" s="118">
        <f t="shared" si="10"/>
        <v>0</v>
      </c>
      <c r="O49" s="11" t="str">
        <f t="shared" si="11"/>
        <v/>
      </c>
      <c r="P49" s="12">
        <v>3.5000000000000003E-2</v>
      </c>
      <c r="Q49" s="41">
        <f t="shared" si="12"/>
        <v>0</v>
      </c>
      <c r="R49" s="41" t="str">
        <f t="shared" si="13"/>
        <v/>
      </c>
      <c r="S49" s="11"/>
      <c r="T49" s="56" t="str">
        <f t="shared" si="14"/>
        <v/>
      </c>
      <c r="U49" s="41" t="str">
        <f t="shared" si="15"/>
        <v/>
      </c>
    </row>
    <row r="50" spans="1:21" ht="11.65" customHeight="1" x14ac:dyDescent="0.35">
      <c r="A50" s="9"/>
      <c r="B50" s="10"/>
      <c r="C50" s="9">
        <f>IFERROR(VLOOKUP(B50,DATA!$B$12:$D$13,3,0),0)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t="shared" si="8"/>
        <v/>
      </c>
      <c r="M50" s="41">
        <f t="shared" si="9"/>
        <v>0</v>
      </c>
      <c r="N50" s="118">
        <f t="shared" si="10"/>
        <v>0</v>
      </c>
      <c r="O50" s="11" t="str">
        <f t="shared" si="11"/>
        <v/>
      </c>
      <c r="P50" s="12">
        <v>3.5000000000000003E-2</v>
      </c>
      <c r="Q50" s="41">
        <f t="shared" si="12"/>
        <v>0</v>
      </c>
      <c r="R50" s="41" t="str">
        <f t="shared" si="13"/>
        <v/>
      </c>
      <c r="S50" s="11"/>
      <c r="T50" s="56" t="str">
        <f t="shared" si="14"/>
        <v/>
      </c>
      <c r="U50" s="41" t="str">
        <f t="shared" si="15"/>
        <v/>
      </c>
    </row>
    <row r="51" spans="1:21" ht="11.65" customHeight="1" x14ac:dyDescent="0.35">
      <c r="A51" s="9"/>
      <c r="B51" s="10"/>
      <c r="C51" s="9">
        <f>IFERROR(VLOOKUP(B51,DATA!$B$12:$D$13,3,0),0)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t="shared" si="8"/>
        <v/>
      </c>
      <c r="M51" s="41">
        <f t="shared" si="9"/>
        <v>0</v>
      </c>
      <c r="N51" s="118">
        <f t="shared" si="10"/>
        <v>0</v>
      </c>
      <c r="O51" s="11" t="str">
        <f t="shared" si="11"/>
        <v/>
      </c>
      <c r="P51" s="12">
        <v>3.5000000000000003E-2</v>
      </c>
      <c r="Q51" s="41">
        <f t="shared" si="12"/>
        <v>0</v>
      </c>
      <c r="R51" s="41" t="str">
        <f t="shared" si="13"/>
        <v/>
      </c>
      <c r="S51" s="11"/>
      <c r="T51" s="56" t="str">
        <f t="shared" si="14"/>
        <v/>
      </c>
      <c r="U51" s="41" t="str">
        <f t="shared" si="15"/>
        <v/>
      </c>
    </row>
    <row r="52" spans="1:21" ht="11.65" customHeight="1" x14ac:dyDescent="0.35">
      <c r="A52" s="9"/>
      <c r="B52" s="10"/>
      <c r="C52" s="9">
        <f>IFERROR(VLOOKUP(B52,DATA!$B$12:$D$13,3,0),0)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t="shared" si="8"/>
        <v/>
      </c>
      <c r="M52" s="41">
        <f t="shared" si="9"/>
        <v>0</v>
      </c>
      <c r="N52" s="118">
        <f t="shared" si="10"/>
        <v>0</v>
      </c>
      <c r="O52" s="11" t="str">
        <f t="shared" si="11"/>
        <v/>
      </c>
      <c r="P52" s="12">
        <v>3.5000000000000003E-2</v>
      </c>
      <c r="Q52" s="41">
        <f t="shared" si="12"/>
        <v>0</v>
      </c>
      <c r="R52" s="41" t="str">
        <f t="shared" si="13"/>
        <v/>
      </c>
      <c r="S52" s="11"/>
      <c r="T52" s="56" t="str">
        <f t="shared" si="14"/>
        <v/>
      </c>
      <c r="U52" s="41" t="str">
        <f t="shared" si="15"/>
        <v/>
      </c>
    </row>
    <row r="53" spans="1:21" ht="11.65" customHeight="1" x14ac:dyDescent="0.35">
      <c r="A53" s="9"/>
      <c r="B53" s="10"/>
      <c r="C53" s="9">
        <f>IFERROR(VLOOKUP(B53,DATA!$B$12:$D$13,3,0),0)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t="shared" si="8"/>
        <v/>
      </c>
      <c r="M53" s="41">
        <f t="shared" si="9"/>
        <v>0</v>
      </c>
      <c r="N53" s="118">
        <f t="shared" si="10"/>
        <v>0</v>
      </c>
      <c r="O53" s="11" t="str">
        <f t="shared" si="11"/>
        <v/>
      </c>
      <c r="P53" s="12">
        <v>3.5000000000000003E-2</v>
      </c>
      <c r="Q53" s="41">
        <f t="shared" si="12"/>
        <v>0</v>
      </c>
      <c r="R53" s="41" t="str">
        <f t="shared" si="13"/>
        <v/>
      </c>
      <c r="S53" s="11"/>
      <c r="T53" s="56" t="str">
        <f t="shared" si="14"/>
        <v/>
      </c>
      <c r="U53" s="41" t="str">
        <f t="shared" si="15"/>
        <v/>
      </c>
    </row>
    <row r="54" spans="1:21" ht="11.65" customHeight="1" x14ac:dyDescent="0.35">
      <c r="A54" s="9"/>
      <c r="B54" s="10"/>
      <c r="C54" s="9">
        <f>IFERROR(VLOOKUP(B54,DATA!$B$12:$D$13,3,0),0)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t="shared" si="8"/>
        <v/>
      </c>
      <c r="M54" s="41">
        <f t="shared" si="9"/>
        <v>0</v>
      </c>
      <c r="N54" s="118">
        <f t="shared" si="10"/>
        <v>0</v>
      </c>
      <c r="O54" s="11" t="str">
        <f t="shared" si="11"/>
        <v/>
      </c>
      <c r="P54" s="12">
        <v>3.5000000000000003E-2</v>
      </c>
      <c r="Q54" s="41">
        <f t="shared" si="12"/>
        <v>0</v>
      </c>
      <c r="R54" s="41" t="str">
        <f t="shared" si="13"/>
        <v/>
      </c>
      <c r="S54" s="11"/>
      <c r="T54" s="56" t="str">
        <f t="shared" si="14"/>
        <v/>
      </c>
      <c r="U54" s="41" t="str">
        <f t="shared" si="15"/>
        <v/>
      </c>
    </row>
    <row r="55" spans="1:21" ht="11.65" customHeight="1" x14ac:dyDescent="0.35">
      <c r="A55" s="9"/>
      <c r="B55" s="10"/>
      <c r="C55" s="9">
        <f>IFERROR(VLOOKUP(B55,DATA!$B$12:$D$13,3,0),0)</f>
        <v>0</v>
      </c>
      <c r="D55" s="45"/>
      <c r="E55" s="28"/>
      <c r="F55" s="28"/>
      <c r="G55" s="28"/>
      <c r="H55" s="22"/>
      <c r="I55" s="22"/>
      <c r="J55" s="45"/>
      <c r="K55" s="22"/>
      <c r="L55" s="12" t="str">
        <f t="shared" si="8"/>
        <v/>
      </c>
      <c r="M55" s="41">
        <f t="shared" si="9"/>
        <v>0</v>
      </c>
      <c r="N55" s="118">
        <f t="shared" si="10"/>
        <v>0</v>
      </c>
      <c r="O55" s="11" t="str">
        <f t="shared" si="11"/>
        <v/>
      </c>
      <c r="P55" s="12">
        <v>3.5000000000000003E-2</v>
      </c>
      <c r="Q55" s="41">
        <f t="shared" si="12"/>
        <v>0</v>
      </c>
      <c r="R55" s="41" t="str">
        <f t="shared" si="13"/>
        <v/>
      </c>
      <c r="S55" s="11"/>
      <c r="T55" s="56" t="str">
        <f t="shared" si="14"/>
        <v/>
      </c>
      <c r="U55" s="41" t="str">
        <f t="shared" si="15"/>
        <v/>
      </c>
    </row>
    <row r="56" spans="1:21" ht="11.65" customHeight="1" x14ac:dyDescent="0.35">
      <c r="A56" s="9"/>
      <c r="B56" s="10"/>
      <c r="C56" s="9">
        <f>IFERROR(VLOOKUP(B56,DATA!$B$12:$D$13,3,0),0)</f>
        <v>0</v>
      </c>
      <c r="D56" s="45"/>
      <c r="E56" s="28"/>
      <c r="F56" s="28"/>
      <c r="G56" s="28"/>
      <c r="H56" s="22"/>
      <c r="I56" s="22"/>
      <c r="J56" s="45"/>
      <c r="K56" s="22"/>
      <c r="L56" s="12" t="str">
        <f t="shared" si="8"/>
        <v/>
      </c>
      <c r="M56" s="41">
        <f t="shared" si="9"/>
        <v>0</v>
      </c>
      <c r="N56" s="118">
        <f t="shared" si="10"/>
        <v>0</v>
      </c>
      <c r="O56" s="11" t="str">
        <f t="shared" si="11"/>
        <v/>
      </c>
      <c r="P56" s="12">
        <v>3.5000000000000003E-2</v>
      </c>
      <c r="Q56" s="41">
        <f t="shared" si="12"/>
        <v>0</v>
      </c>
      <c r="R56" s="41" t="str">
        <f t="shared" si="13"/>
        <v/>
      </c>
      <c r="S56" s="11"/>
      <c r="T56" s="56" t="str">
        <f t="shared" si="14"/>
        <v/>
      </c>
      <c r="U56" s="41" t="str">
        <f t="shared" si="15"/>
        <v/>
      </c>
    </row>
    <row r="57" spans="1:21" ht="11.65" customHeight="1" x14ac:dyDescent="0.35">
      <c r="A57" s="9"/>
      <c r="B57" s="10"/>
      <c r="C57" s="9">
        <f>IFERROR(VLOOKUP(B57,DATA!$B$12:$D$13,3,0),0)</f>
        <v>0</v>
      </c>
      <c r="D57" s="45"/>
      <c r="E57" s="28"/>
      <c r="F57" s="28"/>
      <c r="G57" s="28"/>
      <c r="H57" s="22"/>
      <c r="I57" s="22"/>
      <c r="J57" s="45"/>
      <c r="K57" s="22"/>
      <c r="L57" s="12" t="str">
        <f t="shared" si="8"/>
        <v/>
      </c>
      <c r="M57" s="41">
        <f t="shared" si="9"/>
        <v>0</v>
      </c>
      <c r="N57" s="118">
        <f t="shared" si="10"/>
        <v>0</v>
      </c>
      <c r="O57" s="11" t="str">
        <f t="shared" si="11"/>
        <v/>
      </c>
      <c r="P57" s="12">
        <v>3.5000000000000003E-2</v>
      </c>
      <c r="Q57" s="41">
        <f t="shared" si="12"/>
        <v>0</v>
      </c>
      <c r="R57" s="41" t="str">
        <f t="shared" si="13"/>
        <v/>
      </c>
      <c r="S57" s="11"/>
      <c r="T57" s="56" t="str">
        <f t="shared" si="14"/>
        <v/>
      </c>
      <c r="U57" s="41" t="str">
        <f t="shared" si="15"/>
        <v/>
      </c>
    </row>
    <row r="58" spans="1:21" ht="11.65" customHeight="1" x14ac:dyDescent="0.35">
      <c r="A58" s="9"/>
      <c r="B58" s="10"/>
      <c r="C58" s="9">
        <f>IFERROR(VLOOKUP(B58,DATA!$B$12:$D$13,3,0),0)</f>
        <v>0</v>
      </c>
      <c r="D58" s="45"/>
      <c r="E58" s="28"/>
      <c r="F58" s="28"/>
      <c r="G58" s="28"/>
      <c r="H58" s="22"/>
      <c r="I58" s="22"/>
      <c r="J58" s="45"/>
      <c r="K58" s="22"/>
      <c r="L58" s="12" t="str">
        <f t="shared" si="8"/>
        <v/>
      </c>
      <c r="M58" s="41">
        <f t="shared" si="9"/>
        <v>0</v>
      </c>
      <c r="N58" s="118">
        <f t="shared" si="10"/>
        <v>0</v>
      </c>
      <c r="O58" s="11" t="str">
        <f t="shared" si="11"/>
        <v/>
      </c>
      <c r="P58" s="12">
        <v>3.5000000000000003E-2</v>
      </c>
      <c r="Q58" s="41">
        <f t="shared" si="12"/>
        <v>0</v>
      </c>
      <c r="R58" s="41" t="str">
        <f t="shared" si="13"/>
        <v/>
      </c>
      <c r="S58" s="11"/>
      <c r="T58" s="56" t="str">
        <f t="shared" si="14"/>
        <v/>
      </c>
      <c r="U58" s="41" t="str">
        <f t="shared" si="15"/>
        <v/>
      </c>
    </row>
    <row r="59" spans="1:21" ht="11.65" customHeight="1" x14ac:dyDescent="0.35">
      <c r="A59" s="9"/>
      <c r="B59" s="10"/>
      <c r="C59" s="9">
        <f>IFERROR(VLOOKUP(B59,DATA!$B$12:$D$13,3,0),0)</f>
        <v>0</v>
      </c>
      <c r="D59" s="45"/>
      <c r="E59" s="28"/>
      <c r="F59" s="28"/>
      <c r="G59" s="28"/>
      <c r="H59" s="22"/>
      <c r="I59" s="22"/>
      <c r="J59" s="45"/>
      <c r="K59" s="22"/>
      <c r="L59" s="12" t="str">
        <f t="shared" si="8"/>
        <v/>
      </c>
      <c r="M59" s="41">
        <f t="shared" si="9"/>
        <v>0</v>
      </c>
      <c r="N59" s="118">
        <f t="shared" si="10"/>
        <v>0</v>
      </c>
      <c r="O59" s="11" t="str">
        <f t="shared" si="11"/>
        <v/>
      </c>
      <c r="P59" s="12">
        <v>3.5000000000000003E-2</v>
      </c>
      <c r="Q59" s="41">
        <f t="shared" si="12"/>
        <v>0</v>
      </c>
      <c r="R59" s="41" t="str">
        <f t="shared" si="13"/>
        <v/>
      </c>
      <c r="S59" s="11"/>
      <c r="T59" s="56" t="str">
        <f t="shared" si="14"/>
        <v/>
      </c>
      <c r="U59" s="41" t="str">
        <f t="shared" si="15"/>
        <v/>
      </c>
    </row>
    <row r="60" spans="1:21" ht="11.65" customHeight="1" x14ac:dyDescent="0.35">
      <c r="A60" s="9"/>
      <c r="B60" s="10"/>
      <c r="C60" s="9">
        <f>IFERROR(VLOOKUP(B60,DATA!$B$12:$D$13,3,0),0)</f>
        <v>0</v>
      </c>
      <c r="D60" s="45"/>
      <c r="E60" s="28"/>
      <c r="F60" s="28"/>
      <c r="G60" s="28"/>
      <c r="H60" s="22"/>
      <c r="I60" s="22"/>
      <c r="J60" s="45"/>
      <c r="K60" s="22"/>
      <c r="L60" s="12" t="str">
        <f t="shared" si="8"/>
        <v/>
      </c>
      <c r="M60" s="41">
        <f t="shared" si="9"/>
        <v>0</v>
      </c>
      <c r="N60" s="118">
        <f t="shared" si="10"/>
        <v>0</v>
      </c>
      <c r="O60" s="11" t="str">
        <f t="shared" si="11"/>
        <v/>
      </c>
      <c r="P60" s="12">
        <v>3.5000000000000003E-2</v>
      </c>
      <c r="Q60" s="41">
        <f t="shared" si="12"/>
        <v>0</v>
      </c>
      <c r="R60" s="41" t="str">
        <f t="shared" si="13"/>
        <v/>
      </c>
      <c r="S60" s="11"/>
      <c r="T60" s="56" t="str">
        <f t="shared" si="14"/>
        <v/>
      </c>
      <c r="U60" s="41" t="str">
        <f t="shared" si="15"/>
        <v/>
      </c>
    </row>
    <row r="61" spans="1:21" ht="11.65" customHeight="1" x14ac:dyDescent="0.35">
      <c r="A61" s="14"/>
      <c r="B61" s="13"/>
      <c r="C61" s="14">
        <f>IFERROR(VLOOKUP(B61,DATA!$B$12:$D$13,3,0),0)</f>
        <v>0</v>
      </c>
      <c r="D61" s="46"/>
      <c r="E61" s="29"/>
      <c r="F61" s="29"/>
      <c r="G61" s="29"/>
      <c r="H61" s="23"/>
      <c r="I61" s="23"/>
      <c r="J61" s="46"/>
      <c r="K61" s="23"/>
      <c r="L61" s="16" t="str">
        <f t="shared" si="8"/>
        <v/>
      </c>
      <c r="M61" s="42">
        <f t="shared" si="9"/>
        <v>0</v>
      </c>
      <c r="N61" s="119">
        <f t="shared" si="10"/>
        <v>0</v>
      </c>
      <c r="O61" s="15" t="str">
        <f t="shared" si="11"/>
        <v/>
      </c>
      <c r="P61" s="16">
        <v>3.5000000000000003E-2</v>
      </c>
      <c r="Q61" s="42">
        <f t="shared" si="12"/>
        <v>0</v>
      </c>
      <c r="R61" s="42" t="str">
        <f t="shared" si="13"/>
        <v/>
      </c>
      <c r="S61" s="15"/>
      <c r="T61" s="56" t="str">
        <f t="shared" si="14"/>
        <v/>
      </c>
      <c r="U61" s="42" t="str">
        <f t="shared" si="15"/>
        <v/>
      </c>
    </row>
    <row r="62" spans="1:21" ht="11.65" customHeight="1" x14ac:dyDescent="0.35">
      <c r="A62" s="17" t="s">
        <v>85</v>
      </c>
      <c r="B62" s="18"/>
      <c r="C62" s="18"/>
      <c r="D62" s="47"/>
      <c r="E62" s="30"/>
      <c r="F62" s="31"/>
      <c r="G62" s="32"/>
      <c r="H62" s="34">
        <f>SUM(H12:H61)</f>
        <v>10</v>
      </c>
      <c r="I62" s="34"/>
      <c r="J62" s="43"/>
      <c r="K62" s="34"/>
      <c r="L62" s="37"/>
      <c r="M62" s="43"/>
      <c r="N62" s="120">
        <f>SUM(N12:N61)</f>
        <v>1.1328749999999999</v>
      </c>
      <c r="O62" s="52"/>
      <c r="P62" s="50"/>
      <c r="Q62" s="53"/>
      <c r="R62" s="53"/>
      <c r="S62" s="50"/>
      <c r="T62" s="43"/>
      <c r="U62" s="43"/>
    </row>
    <row r="63" spans="1:21" ht="11.65" customHeight="1" x14ac:dyDescent="0.35">
      <c r="R63" s="54"/>
      <c r="S63" s="55"/>
    </row>
    <row r="64" spans="1:21" ht="11.65" customHeight="1" x14ac:dyDescent="0.35">
      <c r="R64" s="54"/>
      <c r="S64" s="55"/>
    </row>
    <row r="65" spans="18:19" ht="11.65" customHeight="1" x14ac:dyDescent="0.35">
      <c r="R65" s="54"/>
      <c r="S65" s="55"/>
    </row>
    <row r="66" spans="18:19" ht="11.65" customHeight="1" x14ac:dyDescent="0.35">
      <c r="R66" s="54"/>
      <c r="S66" s="55"/>
    </row>
    <row r="67" spans="18:19" ht="11.65" customHeight="1" x14ac:dyDescent="0.35">
      <c r="R67" s="54"/>
      <c r="S67" s="55"/>
    </row>
    <row r="68" spans="18:19" ht="11.65" customHeight="1" x14ac:dyDescent="0.35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100-000000000000}"/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8"/>
  <sheetViews>
    <sheetView topLeftCell="A10" workbookViewId="0">
      <pane ySplit="2" topLeftCell="A12" activePane="bottomLeft" state="frozen"/>
      <selection activeCell="A10" sqref="A10"/>
      <selection pane="bottomLeft" activeCell="B12" sqref="B12"/>
    </sheetView>
  </sheetViews>
  <sheetFormatPr defaultColWidth="8.59765625" defaultRowHeight="11.65" customHeight="1" x14ac:dyDescent="0.35"/>
  <cols>
    <col min="1" max="1" width="17" style="2" customWidth="1"/>
    <col min="2" max="2" width="18" style="2" customWidth="1"/>
    <col min="3" max="3" width="11" style="2" customWidth="1"/>
    <col min="4" max="4" width="13" style="39" customWidth="1"/>
    <col min="5" max="7" width="8" style="26" customWidth="1"/>
    <col min="8" max="8" width="6" style="19" customWidth="1"/>
    <col min="9" max="9" width="7" style="19" customWidth="1"/>
    <col min="10" max="10" width="7" style="39" customWidth="1"/>
    <col min="11" max="11" width="10" style="19" customWidth="1"/>
    <col min="12" max="12" width="7" style="35" customWidth="1"/>
    <col min="13" max="13" width="11" style="39" customWidth="1"/>
    <col min="14" max="14" width="7" style="57" customWidth="1"/>
    <col min="15" max="15" width="13.59765625" style="51" customWidth="1"/>
    <col min="16" max="16" width="12.73046875" style="35" customWidth="1"/>
    <col min="17" max="17" width="10" style="39" customWidth="1"/>
    <col min="18" max="18" width="15.3984375" style="39" customWidth="1"/>
    <col min="19" max="19" width="8" style="35" customWidth="1"/>
    <col min="20" max="20" width="13.1328125" style="39" customWidth="1"/>
    <col min="21" max="21" width="12" style="39" customWidth="1"/>
    <col min="22" max="22" width="8" style="2" customWidth="1"/>
    <col min="23" max="23" width="8.1328125" style="2" customWidth="1"/>
    <col min="24" max="24" width="8.265625" style="2" customWidth="1"/>
    <col min="25" max="25" width="8.3984375" style="2" customWidth="1"/>
    <col min="26" max="26" width="8.59765625" style="2" customWidth="1"/>
    <col min="27" max="16384" width="8.59765625" style="2"/>
  </cols>
  <sheetData>
    <row r="1" spans="1:21" ht="41.1" hidden="1" customHeight="1" x14ac:dyDescent="0.35">
      <c r="E1" s="24" t="s">
        <v>3</v>
      </c>
      <c r="F1" s="25">
        <v>140000</v>
      </c>
    </row>
    <row r="2" spans="1:21" ht="14.25" hidden="1" customHeight="1" x14ac:dyDescent="0.35">
      <c r="A2" s="2" t="s">
        <v>101</v>
      </c>
      <c r="B2" s="2" t="s">
        <v>98</v>
      </c>
      <c r="C2" s="2" t="s">
        <v>17</v>
      </c>
    </row>
    <row r="3" spans="1:21" ht="14.25" hidden="1" customHeight="1" x14ac:dyDescent="0.35">
      <c r="A3" s="2" t="s">
        <v>97</v>
      </c>
      <c r="B3" s="2" t="s">
        <v>5</v>
      </c>
      <c r="C3" s="2" t="s">
        <v>21</v>
      </c>
    </row>
    <row r="4" spans="1:21" ht="14.25" hidden="1" customHeight="1" x14ac:dyDescent="0.35">
      <c r="A4" s="2" t="s">
        <v>77</v>
      </c>
      <c r="B4" s="2" t="s">
        <v>23</v>
      </c>
      <c r="C4" s="2" t="s">
        <v>111</v>
      </c>
    </row>
    <row r="5" spans="1:21" ht="14.25" hidden="1" customHeight="1" x14ac:dyDescent="0.35">
      <c r="A5" s="2" t="s">
        <v>90</v>
      </c>
      <c r="B5" s="2" t="s">
        <v>52</v>
      </c>
      <c r="C5" s="2" t="s">
        <v>44</v>
      </c>
    </row>
    <row r="6" spans="1:21" ht="14.25" hidden="1" customHeight="1" x14ac:dyDescent="0.35"/>
    <row r="7" spans="1:21" ht="14.25" hidden="1" customHeight="1" x14ac:dyDescent="0.35"/>
    <row r="8" spans="1:21" ht="14.25" hidden="1" customHeight="1" x14ac:dyDescent="0.35"/>
    <row r="9" spans="1:21" ht="14.25" hidden="1" customHeight="1" x14ac:dyDescent="0.35"/>
    <row r="10" spans="1:21" ht="25.5" customHeight="1" x14ac:dyDescent="0.35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68</v>
      </c>
      <c r="T10" s="162"/>
      <c r="U10" s="163"/>
    </row>
    <row r="11" spans="1:21" ht="11.65" customHeight="1" x14ac:dyDescent="0.35">
      <c r="A11" s="3" t="s">
        <v>38</v>
      </c>
      <c r="B11" s="3" t="s">
        <v>19</v>
      </c>
      <c r="C11" s="4" t="s">
        <v>20</v>
      </c>
      <c r="D11" s="20" t="s">
        <v>6</v>
      </c>
      <c r="E11" s="48" t="s">
        <v>10</v>
      </c>
      <c r="F11" s="48" t="s">
        <v>114</v>
      </c>
      <c r="G11" s="48" t="s">
        <v>73</v>
      </c>
      <c r="H11" s="33" t="s">
        <v>104</v>
      </c>
      <c r="I11" s="20" t="s">
        <v>100</v>
      </c>
      <c r="J11" s="20" t="s">
        <v>67</v>
      </c>
      <c r="K11" s="20" t="s">
        <v>105</v>
      </c>
      <c r="L11" s="36" t="s">
        <v>108</v>
      </c>
      <c r="M11" s="38" t="s">
        <v>43</v>
      </c>
      <c r="N11" s="58" t="s">
        <v>63</v>
      </c>
      <c r="O11" s="49" t="s">
        <v>48</v>
      </c>
      <c r="P11" s="49" t="s">
        <v>60</v>
      </c>
      <c r="Q11" s="38" t="s">
        <v>112</v>
      </c>
      <c r="R11" s="38" t="s">
        <v>106</v>
      </c>
      <c r="S11" s="49" t="s">
        <v>0</v>
      </c>
      <c r="T11" s="38" t="s">
        <v>61</v>
      </c>
      <c r="U11" s="38" t="s">
        <v>84</v>
      </c>
    </row>
    <row r="12" spans="1:21" ht="11.65" customHeight="1" x14ac:dyDescent="0.35">
      <c r="A12" s="5"/>
      <c r="B12" s="6" t="s">
        <v>54</v>
      </c>
      <c r="C12" s="5">
        <f>IFERROR(VLOOKUP(B12,DATA!$B$17:$D$18,3,0),0)</f>
        <v>7.95</v>
      </c>
      <c r="D12" s="44">
        <v>170000</v>
      </c>
      <c r="E12" s="27">
        <v>12</v>
      </c>
      <c r="F12" s="27">
        <v>285</v>
      </c>
      <c r="G12" s="27">
        <v>655</v>
      </c>
      <c r="H12" s="21">
        <v>2</v>
      </c>
      <c r="I12" s="21"/>
      <c r="J12" s="44"/>
      <c r="K12" s="21"/>
      <c r="L12" s="8">
        <f t="shared" ref="L12:L43" si="0">IFERROR(IF(AND(OR(LEFT(B12,FIND(" ",B12,1)-1)="Đồng",LEFT(B12,FIND(" ",B12,1)-1)="Nhôm"),E12&gt;(F12/10)),5%,0),"")</f>
        <v>0</v>
      </c>
      <c r="M12" s="40">
        <f t="shared" ref="M12:M43" si="1">E12*F12*G12*H12</f>
        <v>4480200</v>
      </c>
      <c r="N12" s="118">
        <f t="shared" ref="N12:N43" si="2">IFERROR((E12*F12*G12*H12/10^6),0)*C12</f>
        <v>35.61759</v>
      </c>
      <c r="O12" s="7">
        <f t="shared" ref="O12:O43" si="3">IFERROR(IF(H12&gt;50,E12*(H12*G12+(H12+2)*F12),IF(H12&gt;10,E12*(2*H12*G12+(H12+1)*F12),2*H12*E12*(F12+G12)))*6/M12,"")</f>
        <v>6.0425873844917641E-2</v>
      </c>
      <c r="P12" s="8">
        <v>3.5000000000000003E-2</v>
      </c>
      <c r="Q12" s="40">
        <f t="shared" ref="Q12:Q43" si="4">IFERROR(IF(H12&gt;50,E12*(H12*G12+(H12+2)*F12),IF(H12&gt;10,E12*(2*H12*G12+(H12+1)*F12),2*H12*E12*(F12+G12)))*3/N12,0)</f>
        <v>3800.3694242086563</v>
      </c>
      <c r="R12" s="41">
        <f t="shared" ref="R12:R43" si="5">IFERROR((D12*(1+O12+P12)+Q12)/(1-(I12*0.007/30)),"")</f>
        <v>190022.76797784463</v>
      </c>
      <c r="S12" s="7">
        <v>0.17</v>
      </c>
      <c r="T12" s="56">
        <f t="shared" ref="T12:T43" si="6">IFERROR(ROUND(R12/(1-S12)+($J$12+$K$12)/($N$62*(1-L12)),-3),"")</f>
        <v>229000</v>
      </c>
      <c r="U12" s="40">
        <f t="shared" ref="U12:U43" si="7">IFERROR(ROUND(T12*N12,0),"")</f>
        <v>8156428</v>
      </c>
    </row>
    <row r="13" spans="1:21" ht="11.65" customHeight="1" x14ac:dyDescent="0.35">
      <c r="A13" s="9"/>
      <c r="B13" s="6" t="s">
        <v>54</v>
      </c>
      <c r="C13" s="9">
        <f>IFERROR(VLOOKUP(B13,DATA!$B$17:$D$18,3,0),0)</f>
        <v>7.95</v>
      </c>
      <c r="D13" s="44"/>
      <c r="E13" s="28"/>
      <c r="F13" s="28"/>
      <c r="G13" s="28"/>
      <c r="H13" s="22"/>
      <c r="I13" s="22"/>
      <c r="J13" s="45"/>
      <c r="K13" s="22"/>
      <c r="L13" s="12">
        <f t="shared" si="0"/>
        <v>0</v>
      </c>
      <c r="M13" s="41">
        <f t="shared" si="1"/>
        <v>0</v>
      </c>
      <c r="N13" s="118">
        <f t="shared" si="2"/>
        <v>0</v>
      </c>
      <c r="O13" s="11" t="str">
        <f t="shared" si="3"/>
        <v/>
      </c>
      <c r="P13" s="12">
        <v>3.5000000000000003E-2</v>
      </c>
      <c r="Q13" s="41">
        <f t="shared" si="4"/>
        <v>0</v>
      </c>
      <c r="R13" s="41" t="str">
        <f t="shared" si="5"/>
        <v/>
      </c>
      <c r="S13" s="11">
        <f>IFERROR(VLOOKUP(B13,DATA!$B$17:$D$18,2,0),"")</f>
        <v>0.25</v>
      </c>
      <c r="T13" s="56" t="str">
        <f t="shared" si="6"/>
        <v/>
      </c>
      <c r="U13" s="41" t="str">
        <f t="shared" si="7"/>
        <v/>
      </c>
    </row>
    <row r="14" spans="1:21" ht="11.65" customHeight="1" x14ac:dyDescent="0.35">
      <c r="A14" s="9"/>
      <c r="B14" s="6" t="s">
        <v>54</v>
      </c>
      <c r="C14" s="9">
        <f>IFERROR(VLOOKUP(B14,DATA!$B$17:$D$18,3,0),0)</f>
        <v>7.95</v>
      </c>
      <c r="D14" s="44"/>
      <c r="E14" s="28"/>
      <c r="F14" s="28"/>
      <c r="G14" s="28"/>
      <c r="H14" s="22"/>
      <c r="I14" s="22"/>
      <c r="J14" s="45"/>
      <c r="K14" s="22"/>
      <c r="L14" s="12">
        <f t="shared" si="0"/>
        <v>0</v>
      </c>
      <c r="M14" s="41">
        <f t="shared" si="1"/>
        <v>0</v>
      </c>
      <c r="N14" s="118">
        <f t="shared" si="2"/>
        <v>0</v>
      </c>
      <c r="O14" s="11" t="str">
        <f t="shared" si="3"/>
        <v/>
      </c>
      <c r="P14" s="12">
        <v>3.5000000000000003E-2</v>
      </c>
      <c r="Q14" s="41">
        <f t="shared" si="4"/>
        <v>0</v>
      </c>
      <c r="R14" s="41" t="str">
        <f t="shared" si="5"/>
        <v/>
      </c>
      <c r="S14" s="11">
        <f>IFERROR(VLOOKUP(B14,DATA!$B$17:$D$18,2,0),"")</f>
        <v>0.25</v>
      </c>
      <c r="T14" s="56" t="str">
        <f t="shared" si="6"/>
        <v/>
      </c>
      <c r="U14" s="41" t="str">
        <f t="shared" si="7"/>
        <v/>
      </c>
    </row>
    <row r="15" spans="1:21" ht="11.65" customHeight="1" x14ac:dyDescent="0.35">
      <c r="A15" s="9"/>
      <c r="B15" s="6" t="s">
        <v>54</v>
      </c>
      <c r="C15" s="9">
        <f>IFERROR(VLOOKUP(B15,DATA!$B$17:$D$18,3,0),0)</f>
        <v>7.95</v>
      </c>
      <c r="D15" s="44"/>
      <c r="E15" s="28"/>
      <c r="F15" s="28"/>
      <c r="G15" s="28"/>
      <c r="H15" s="22"/>
      <c r="I15" s="22"/>
      <c r="J15" s="45"/>
      <c r="K15" s="22"/>
      <c r="L15" s="12">
        <f t="shared" si="0"/>
        <v>0</v>
      </c>
      <c r="M15" s="41">
        <f t="shared" si="1"/>
        <v>0</v>
      </c>
      <c r="N15" s="118">
        <f t="shared" si="2"/>
        <v>0</v>
      </c>
      <c r="O15" s="11" t="str">
        <f t="shared" si="3"/>
        <v/>
      </c>
      <c r="P15" s="12">
        <v>3.5000000000000003E-2</v>
      </c>
      <c r="Q15" s="41">
        <f t="shared" si="4"/>
        <v>0</v>
      </c>
      <c r="R15" s="41" t="str">
        <f t="shared" si="5"/>
        <v/>
      </c>
      <c r="S15" s="11">
        <f>IFERROR(VLOOKUP(B15,DATA!$B$17:$D$18,2,0),"")</f>
        <v>0.25</v>
      </c>
      <c r="T15" s="56" t="str">
        <f t="shared" si="6"/>
        <v/>
      </c>
      <c r="U15" s="41" t="str">
        <f t="shared" si="7"/>
        <v/>
      </c>
    </row>
    <row r="16" spans="1:21" ht="11.65" customHeight="1" x14ac:dyDescent="0.35">
      <c r="A16" s="9"/>
      <c r="B16" s="6" t="s">
        <v>54</v>
      </c>
      <c r="C16" s="9">
        <f>IFERROR(VLOOKUP(B16,DATA!$B$17:$D$18,3,0),0)</f>
        <v>7.95</v>
      </c>
      <c r="D16" s="44"/>
      <c r="E16" s="28"/>
      <c r="F16" s="28"/>
      <c r="G16" s="28"/>
      <c r="H16" s="22"/>
      <c r="I16" s="22"/>
      <c r="J16" s="45"/>
      <c r="K16" s="22"/>
      <c r="L16" s="12">
        <f t="shared" si="0"/>
        <v>0</v>
      </c>
      <c r="M16" s="41">
        <f t="shared" si="1"/>
        <v>0</v>
      </c>
      <c r="N16" s="118">
        <f t="shared" si="2"/>
        <v>0</v>
      </c>
      <c r="O16" s="11" t="str">
        <f t="shared" si="3"/>
        <v/>
      </c>
      <c r="P16" s="12">
        <v>3.5000000000000003E-2</v>
      </c>
      <c r="Q16" s="41">
        <f t="shared" si="4"/>
        <v>0</v>
      </c>
      <c r="R16" s="41" t="str">
        <f t="shared" si="5"/>
        <v/>
      </c>
      <c r="S16" s="11">
        <f>IFERROR(VLOOKUP(B16,DATA!$B$17:$D$18,2,0),"")</f>
        <v>0.25</v>
      </c>
      <c r="T16" s="56" t="str">
        <f t="shared" si="6"/>
        <v/>
      </c>
      <c r="U16" s="41" t="str">
        <f t="shared" si="7"/>
        <v/>
      </c>
    </row>
    <row r="17" spans="1:21" ht="11.65" customHeight="1" x14ac:dyDescent="0.35">
      <c r="A17" s="9"/>
      <c r="B17" s="6" t="s">
        <v>54</v>
      </c>
      <c r="C17" s="9">
        <f>IFERROR(VLOOKUP(B17,DATA!$B$17:$D$18,3,0),0)</f>
        <v>7.95</v>
      </c>
      <c r="D17" s="44"/>
      <c r="E17" s="28"/>
      <c r="F17" s="28"/>
      <c r="G17" s="28"/>
      <c r="H17" s="22"/>
      <c r="I17" s="22"/>
      <c r="J17" s="45"/>
      <c r="K17" s="22"/>
      <c r="L17" s="12">
        <f t="shared" si="0"/>
        <v>0</v>
      </c>
      <c r="M17" s="41">
        <f t="shared" si="1"/>
        <v>0</v>
      </c>
      <c r="N17" s="118">
        <f t="shared" si="2"/>
        <v>0</v>
      </c>
      <c r="O17" s="11" t="str">
        <f t="shared" si="3"/>
        <v/>
      </c>
      <c r="P17" s="12">
        <v>3.5000000000000003E-2</v>
      </c>
      <c r="Q17" s="41">
        <f t="shared" si="4"/>
        <v>0</v>
      </c>
      <c r="R17" s="41" t="str">
        <f t="shared" si="5"/>
        <v/>
      </c>
      <c r="S17" s="11">
        <f>IFERROR(VLOOKUP(B17,DATA!$B$17:$D$18,2,0),"")</f>
        <v>0.25</v>
      </c>
      <c r="T17" s="56" t="str">
        <f t="shared" si="6"/>
        <v/>
      </c>
      <c r="U17" s="41" t="str">
        <f t="shared" si="7"/>
        <v/>
      </c>
    </row>
    <row r="18" spans="1:21" ht="11.65" customHeight="1" x14ac:dyDescent="0.35">
      <c r="A18" s="9"/>
      <c r="B18" s="6" t="s">
        <v>54</v>
      </c>
      <c r="C18" s="9">
        <f>IFERROR(VLOOKUP(B18,DATA!$B$17:$D$18,3,0),0)</f>
        <v>7.95</v>
      </c>
      <c r="D18" s="44"/>
      <c r="E18" s="28"/>
      <c r="F18" s="28"/>
      <c r="G18" s="28"/>
      <c r="H18" s="22"/>
      <c r="I18" s="22"/>
      <c r="J18" s="45"/>
      <c r="K18" s="22"/>
      <c r="L18" s="12">
        <f t="shared" si="0"/>
        <v>0</v>
      </c>
      <c r="M18" s="41">
        <f t="shared" si="1"/>
        <v>0</v>
      </c>
      <c r="N18" s="118">
        <f t="shared" si="2"/>
        <v>0</v>
      </c>
      <c r="O18" s="11" t="str">
        <f t="shared" si="3"/>
        <v/>
      </c>
      <c r="P18" s="12">
        <v>3.5000000000000003E-2</v>
      </c>
      <c r="Q18" s="41">
        <f t="shared" si="4"/>
        <v>0</v>
      </c>
      <c r="R18" s="41" t="str">
        <f t="shared" si="5"/>
        <v/>
      </c>
      <c r="S18" s="11">
        <f>IFERROR(VLOOKUP(B18,DATA!$B$17:$D$18,2,0),"")</f>
        <v>0.25</v>
      </c>
      <c r="T18" s="56" t="str">
        <f t="shared" si="6"/>
        <v/>
      </c>
      <c r="U18" s="41" t="str">
        <f t="shared" si="7"/>
        <v/>
      </c>
    </row>
    <row r="19" spans="1:21" ht="11.65" customHeight="1" x14ac:dyDescent="0.35">
      <c r="A19" s="9"/>
      <c r="B19" s="6" t="s">
        <v>54</v>
      </c>
      <c r="C19" s="9">
        <f>IFERROR(VLOOKUP(B19,DATA!$B$17:$D$18,3,0),0)</f>
        <v>7.95</v>
      </c>
      <c r="D19" s="44"/>
      <c r="E19" s="28"/>
      <c r="F19" s="28"/>
      <c r="G19" s="28"/>
      <c r="H19" s="22"/>
      <c r="I19" s="22"/>
      <c r="J19" s="45"/>
      <c r="K19" s="22"/>
      <c r="L19" s="12">
        <f t="shared" si="0"/>
        <v>0</v>
      </c>
      <c r="M19" s="41">
        <f t="shared" si="1"/>
        <v>0</v>
      </c>
      <c r="N19" s="118">
        <f t="shared" si="2"/>
        <v>0</v>
      </c>
      <c r="O19" s="11" t="str">
        <f t="shared" si="3"/>
        <v/>
      </c>
      <c r="P19" s="12">
        <v>3.5000000000000003E-2</v>
      </c>
      <c r="Q19" s="41">
        <f t="shared" si="4"/>
        <v>0</v>
      </c>
      <c r="R19" s="41" t="str">
        <f t="shared" si="5"/>
        <v/>
      </c>
      <c r="S19" s="11">
        <f>IFERROR(VLOOKUP(B19,DATA!$B$17:$D$18,2,0),"")</f>
        <v>0.25</v>
      </c>
      <c r="T19" s="56" t="str">
        <f t="shared" si="6"/>
        <v/>
      </c>
      <c r="U19" s="41" t="str">
        <f t="shared" si="7"/>
        <v/>
      </c>
    </row>
    <row r="20" spans="1:21" ht="11.65" customHeight="1" x14ac:dyDescent="0.35">
      <c r="A20" s="9"/>
      <c r="B20" s="6" t="s">
        <v>54</v>
      </c>
      <c r="C20" s="9">
        <f>IFERROR(VLOOKUP(B20,DATA!$B$17:$D$18,3,0),0)</f>
        <v>7.95</v>
      </c>
      <c r="D20" s="44"/>
      <c r="E20" s="28"/>
      <c r="F20" s="28"/>
      <c r="G20" s="28"/>
      <c r="H20" s="22"/>
      <c r="I20" s="22"/>
      <c r="J20" s="45"/>
      <c r="K20" s="22"/>
      <c r="L20" s="12">
        <f t="shared" si="0"/>
        <v>0</v>
      </c>
      <c r="M20" s="41">
        <f t="shared" si="1"/>
        <v>0</v>
      </c>
      <c r="N20" s="118">
        <f t="shared" si="2"/>
        <v>0</v>
      </c>
      <c r="O20" s="11" t="str">
        <f t="shared" si="3"/>
        <v/>
      </c>
      <c r="P20" s="12">
        <v>3.5000000000000003E-2</v>
      </c>
      <c r="Q20" s="41">
        <f t="shared" si="4"/>
        <v>0</v>
      </c>
      <c r="R20" s="41" t="str">
        <f t="shared" si="5"/>
        <v/>
      </c>
      <c r="S20" s="11">
        <f>IFERROR(VLOOKUP(B20,DATA!$B$17:$D$18,2,0),"")</f>
        <v>0.25</v>
      </c>
      <c r="T20" s="56" t="str">
        <f t="shared" si="6"/>
        <v/>
      </c>
      <c r="U20" s="41" t="str">
        <f t="shared" si="7"/>
        <v/>
      </c>
    </row>
    <row r="21" spans="1:21" ht="11.65" customHeight="1" x14ac:dyDescent="0.35">
      <c r="A21" s="9"/>
      <c r="B21" s="10" t="s">
        <v>50</v>
      </c>
      <c r="C21" s="9">
        <f>IFERROR(VLOOKUP(B21,DATA!$B$17:$D$18,3,0),0)</f>
        <v>7.95</v>
      </c>
      <c r="D21" s="45"/>
      <c r="E21" s="28"/>
      <c r="F21" s="28"/>
      <c r="G21" s="28"/>
      <c r="H21" s="22"/>
      <c r="I21" s="22"/>
      <c r="J21" s="45"/>
      <c r="K21" s="22"/>
      <c r="L21" s="12">
        <f t="shared" si="0"/>
        <v>0</v>
      </c>
      <c r="M21" s="41">
        <f t="shared" si="1"/>
        <v>0</v>
      </c>
      <c r="N21" s="118">
        <f t="shared" si="2"/>
        <v>0</v>
      </c>
      <c r="O21" s="11" t="str">
        <f t="shared" si="3"/>
        <v/>
      </c>
      <c r="P21" s="12">
        <v>3.5000000000000003E-2</v>
      </c>
      <c r="Q21" s="41">
        <f t="shared" si="4"/>
        <v>0</v>
      </c>
      <c r="R21" s="41" t="str">
        <f t="shared" si="5"/>
        <v/>
      </c>
      <c r="S21" s="11">
        <f>IFERROR(VLOOKUP(B21,DATA!$B$17:$D$18,2,0),"")</f>
        <v>0.12</v>
      </c>
      <c r="T21" s="56" t="str">
        <f t="shared" si="6"/>
        <v/>
      </c>
      <c r="U21" s="41" t="str">
        <f t="shared" si="7"/>
        <v/>
      </c>
    </row>
    <row r="22" spans="1:21" ht="11.65" customHeight="1" x14ac:dyDescent="0.35">
      <c r="A22" s="9"/>
      <c r="B22" s="10" t="s">
        <v>50</v>
      </c>
      <c r="C22" s="9">
        <f>IFERROR(VLOOKUP(B22,DATA!$B$17:$D$18,3,0),0)</f>
        <v>7.95</v>
      </c>
      <c r="D22" s="45"/>
      <c r="E22" s="28"/>
      <c r="F22" s="28"/>
      <c r="G22" s="28"/>
      <c r="H22" s="22"/>
      <c r="I22" s="22"/>
      <c r="J22" s="45"/>
      <c r="K22" s="22"/>
      <c r="L22" s="12">
        <f t="shared" si="0"/>
        <v>0</v>
      </c>
      <c r="M22" s="41">
        <f t="shared" si="1"/>
        <v>0</v>
      </c>
      <c r="N22" s="118">
        <f t="shared" si="2"/>
        <v>0</v>
      </c>
      <c r="O22" s="11" t="str">
        <f t="shared" si="3"/>
        <v/>
      </c>
      <c r="P22" s="12">
        <v>3.5000000000000003E-2</v>
      </c>
      <c r="Q22" s="41">
        <f t="shared" si="4"/>
        <v>0</v>
      </c>
      <c r="R22" s="41" t="str">
        <f t="shared" si="5"/>
        <v/>
      </c>
      <c r="S22" s="11">
        <f>IFERROR(VLOOKUP(B22,DATA!$B$17:$D$18,2,0),"")</f>
        <v>0.12</v>
      </c>
      <c r="T22" s="56" t="str">
        <f t="shared" si="6"/>
        <v/>
      </c>
      <c r="U22" s="41" t="str">
        <f t="shared" si="7"/>
        <v/>
      </c>
    </row>
    <row r="23" spans="1:21" ht="11.65" customHeight="1" x14ac:dyDescent="0.35">
      <c r="A23" s="9"/>
      <c r="B23" s="10" t="s">
        <v>50</v>
      </c>
      <c r="C23" s="9">
        <f>IFERROR(VLOOKUP(B23,DATA!$B$17:$D$18,3,0),0)</f>
        <v>7.95</v>
      </c>
      <c r="D23" s="45"/>
      <c r="E23" s="28"/>
      <c r="F23" s="28"/>
      <c r="G23" s="28"/>
      <c r="H23" s="22"/>
      <c r="I23" s="22"/>
      <c r="J23" s="45"/>
      <c r="K23" s="22"/>
      <c r="L23" s="12">
        <f t="shared" si="0"/>
        <v>0</v>
      </c>
      <c r="M23" s="41">
        <f t="shared" si="1"/>
        <v>0</v>
      </c>
      <c r="N23" s="118">
        <f t="shared" si="2"/>
        <v>0</v>
      </c>
      <c r="O23" s="11" t="str">
        <f t="shared" si="3"/>
        <v/>
      </c>
      <c r="P23" s="12">
        <v>3.5000000000000003E-2</v>
      </c>
      <c r="Q23" s="41">
        <f t="shared" si="4"/>
        <v>0</v>
      </c>
      <c r="R23" s="41" t="str">
        <f t="shared" si="5"/>
        <v/>
      </c>
      <c r="S23" s="11">
        <f>IFERROR(VLOOKUP(B23,DATA!$B$17:$D$18,2,0),"")</f>
        <v>0.12</v>
      </c>
      <c r="T23" s="56" t="str">
        <f t="shared" si="6"/>
        <v/>
      </c>
      <c r="U23" s="41" t="str">
        <f t="shared" si="7"/>
        <v/>
      </c>
    </row>
    <row r="24" spans="1:21" ht="11.65" customHeight="1" x14ac:dyDescent="0.35">
      <c r="A24" s="9"/>
      <c r="B24" s="10" t="s">
        <v>50</v>
      </c>
      <c r="C24" s="9">
        <f>IFERROR(VLOOKUP(B24,DATA!$B$17:$D$18,3,0),0)</f>
        <v>7.95</v>
      </c>
      <c r="D24" s="45"/>
      <c r="E24" s="28"/>
      <c r="F24" s="28"/>
      <c r="G24" s="28"/>
      <c r="H24" s="22"/>
      <c r="I24" s="22"/>
      <c r="J24" s="45"/>
      <c r="K24" s="22"/>
      <c r="L24" s="12">
        <f t="shared" si="0"/>
        <v>0</v>
      </c>
      <c r="M24" s="41">
        <f t="shared" si="1"/>
        <v>0</v>
      </c>
      <c r="N24" s="118">
        <f t="shared" si="2"/>
        <v>0</v>
      </c>
      <c r="O24" s="11" t="str">
        <f t="shared" si="3"/>
        <v/>
      </c>
      <c r="P24" s="12">
        <v>3.5000000000000003E-2</v>
      </c>
      <c r="Q24" s="41">
        <f t="shared" si="4"/>
        <v>0</v>
      </c>
      <c r="R24" s="41" t="str">
        <f t="shared" si="5"/>
        <v/>
      </c>
      <c r="S24" s="11">
        <f>IFERROR(VLOOKUP(B24,DATA!$B$17:$D$18,2,0),"")</f>
        <v>0.12</v>
      </c>
      <c r="T24" s="56" t="str">
        <f t="shared" si="6"/>
        <v/>
      </c>
      <c r="U24" s="41" t="str">
        <f t="shared" si="7"/>
        <v/>
      </c>
    </row>
    <row r="25" spans="1:21" ht="11.65" customHeight="1" x14ac:dyDescent="0.35">
      <c r="A25" s="9"/>
      <c r="B25" s="10" t="s">
        <v>50</v>
      </c>
      <c r="C25" s="9">
        <f>IFERROR(VLOOKUP(B25,DATA!$B$17:$D$18,3,0),0)</f>
        <v>7.95</v>
      </c>
      <c r="D25" s="45"/>
      <c r="E25" s="28"/>
      <c r="F25" s="28"/>
      <c r="G25" s="28"/>
      <c r="H25" s="22"/>
      <c r="I25" s="22"/>
      <c r="J25" s="45"/>
      <c r="K25" s="22"/>
      <c r="L25" s="12">
        <f t="shared" si="0"/>
        <v>0</v>
      </c>
      <c r="M25" s="41">
        <f t="shared" si="1"/>
        <v>0</v>
      </c>
      <c r="N25" s="118">
        <f t="shared" si="2"/>
        <v>0</v>
      </c>
      <c r="O25" s="11" t="str">
        <f t="shared" si="3"/>
        <v/>
      </c>
      <c r="P25" s="12">
        <v>3.5000000000000003E-2</v>
      </c>
      <c r="Q25" s="41">
        <f t="shared" si="4"/>
        <v>0</v>
      </c>
      <c r="R25" s="41" t="str">
        <f t="shared" si="5"/>
        <v/>
      </c>
      <c r="S25" s="11">
        <f>IFERROR(VLOOKUP(B25,DATA!$B$17:$D$18,2,0),"")</f>
        <v>0.12</v>
      </c>
      <c r="T25" s="56" t="str">
        <f t="shared" si="6"/>
        <v/>
      </c>
      <c r="U25" s="41" t="str">
        <f t="shared" si="7"/>
        <v/>
      </c>
    </row>
    <row r="26" spans="1:21" ht="11.65" customHeight="1" x14ac:dyDescent="0.35">
      <c r="A26" s="9"/>
      <c r="B26" s="10" t="s">
        <v>50</v>
      </c>
      <c r="C26" s="9">
        <f>IFERROR(VLOOKUP(B26,DATA!$B$17:$D$18,3,0),0)</f>
        <v>7.95</v>
      </c>
      <c r="D26" s="45"/>
      <c r="E26" s="28"/>
      <c r="F26" s="28"/>
      <c r="G26" s="28"/>
      <c r="H26" s="22"/>
      <c r="I26" s="22"/>
      <c r="J26" s="45"/>
      <c r="K26" s="22"/>
      <c r="L26" s="12">
        <f t="shared" si="0"/>
        <v>0</v>
      </c>
      <c r="M26" s="41">
        <f t="shared" si="1"/>
        <v>0</v>
      </c>
      <c r="N26" s="118">
        <f t="shared" si="2"/>
        <v>0</v>
      </c>
      <c r="O26" s="11" t="str">
        <f t="shared" si="3"/>
        <v/>
      </c>
      <c r="P26" s="12">
        <v>3.5000000000000003E-2</v>
      </c>
      <c r="Q26" s="41">
        <f t="shared" si="4"/>
        <v>0</v>
      </c>
      <c r="R26" s="41" t="str">
        <f t="shared" si="5"/>
        <v/>
      </c>
      <c r="S26" s="11">
        <f>IFERROR(VLOOKUP(B26,DATA!$B$17:$D$18,2,0),"")</f>
        <v>0.12</v>
      </c>
      <c r="T26" s="56" t="str">
        <f t="shared" si="6"/>
        <v/>
      </c>
      <c r="U26" s="41" t="str">
        <f t="shared" si="7"/>
        <v/>
      </c>
    </row>
    <row r="27" spans="1:21" ht="11.65" customHeight="1" x14ac:dyDescent="0.35">
      <c r="A27" s="9"/>
      <c r="B27" s="10" t="s">
        <v>50</v>
      </c>
      <c r="C27" s="9">
        <f>IFERROR(VLOOKUP(B27,DATA!$B$17:$D$18,3,0),0)</f>
        <v>7.95</v>
      </c>
      <c r="D27" s="45"/>
      <c r="E27" s="28"/>
      <c r="F27" s="28"/>
      <c r="G27" s="28"/>
      <c r="H27" s="22"/>
      <c r="I27" s="22"/>
      <c r="J27" s="45"/>
      <c r="K27" s="22"/>
      <c r="L27" s="12">
        <f t="shared" si="0"/>
        <v>0</v>
      </c>
      <c r="M27" s="41">
        <f t="shared" si="1"/>
        <v>0</v>
      </c>
      <c r="N27" s="118">
        <f t="shared" si="2"/>
        <v>0</v>
      </c>
      <c r="O27" s="11" t="str">
        <f t="shared" si="3"/>
        <v/>
      </c>
      <c r="P27" s="12">
        <v>3.5000000000000003E-2</v>
      </c>
      <c r="Q27" s="41">
        <f t="shared" si="4"/>
        <v>0</v>
      </c>
      <c r="R27" s="41" t="str">
        <f t="shared" si="5"/>
        <v/>
      </c>
      <c r="S27" s="11">
        <f>IFERROR(VLOOKUP(B27,DATA!$B$17:$D$18,2,0),"")</f>
        <v>0.12</v>
      </c>
      <c r="T27" s="56" t="str">
        <f t="shared" si="6"/>
        <v/>
      </c>
      <c r="U27" s="41" t="str">
        <f t="shared" si="7"/>
        <v/>
      </c>
    </row>
    <row r="28" spans="1:21" ht="11.65" customHeight="1" x14ac:dyDescent="0.35">
      <c r="A28" s="9"/>
      <c r="B28" s="10" t="s">
        <v>50</v>
      </c>
      <c r="C28" s="9">
        <f>IFERROR(VLOOKUP(B28,DATA!$B$17:$D$18,3,0),0)</f>
        <v>7.95</v>
      </c>
      <c r="D28" s="45"/>
      <c r="E28" s="28"/>
      <c r="F28" s="28"/>
      <c r="G28" s="28"/>
      <c r="H28" s="22"/>
      <c r="I28" s="22"/>
      <c r="J28" s="45"/>
      <c r="K28" s="22"/>
      <c r="L28" s="12">
        <f t="shared" si="0"/>
        <v>0</v>
      </c>
      <c r="M28" s="41">
        <f t="shared" si="1"/>
        <v>0</v>
      </c>
      <c r="N28" s="118">
        <f t="shared" si="2"/>
        <v>0</v>
      </c>
      <c r="O28" s="11" t="str">
        <f t="shared" si="3"/>
        <v/>
      </c>
      <c r="P28" s="12">
        <v>3.5000000000000003E-2</v>
      </c>
      <c r="Q28" s="41">
        <f t="shared" si="4"/>
        <v>0</v>
      </c>
      <c r="R28" s="41" t="str">
        <f t="shared" si="5"/>
        <v/>
      </c>
      <c r="S28" s="11">
        <f>IFERROR(VLOOKUP(B28,DATA!$B$17:$D$18,2,0),"")</f>
        <v>0.12</v>
      </c>
      <c r="T28" s="56" t="str">
        <f t="shared" si="6"/>
        <v/>
      </c>
      <c r="U28" s="41" t="str">
        <f t="shared" si="7"/>
        <v/>
      </c>
    </row>
    <row r="29" spans="1:21" ht="11.65" customHeight="1" x14ac:dyDescent="0.35">
      <c r="A29" s="9"/>
      <c r="B29" s="10" t="s">
        <v>50</v>
      </c>
      <c r="C29" s="9">
        <f>IFERROR(VLOOKUP(B29,DATA!$B$17:$D$18,3,0),0)</f>
        <v>7.95</v>
      </c>
      <c r="D29" s="45"/>
      <c r="E29" s="28"/>
      <c r="F29" s="28"/>
      <c r="G29" s="28"/>
      <c r="H29" s="22"/>
      <c r="I29" s="22"/>
      <c r="J29" s="45"/>
      <c r="K29" s="22"/>
      <c r="L29" s="12">
        <f t="shared" si="0"/>
        <v>0</v>
      </c>
      <c r="M29" s="41">
        <f t="shared" si="1"/>
        <v>0</v>
      </c>
      <c r="N29" s="118">
        <f t="shared" si="2"/>
        <v>0</v>
      </c>
      <c r="O29" s="11" t="str">
        <f t="shared" si="3"/>
        <v/>
      </c>
      <c r="P29" s="12">
        <v>3.5000000000000003E-2</v>
      </c>
      <c r="Q29" s="41">
        <f t="shared" si="4"/>
        <v>0</v>
      </c>
      <c r="R29" s="41" t="str">
        <f t="shared" si="5"/>
        <v/>
      </c>
      <c r="S29" s="11">
        <f>IFERROR(VLOOKUP(B29,DATA!$B$17:$D$18,2,0),"")</f>
        <v>0.12</v>
      </c>
      <c r="T29" s="56" t="str">
        <f t="shared" si="6"/>
        <v/>
      </c>
      <c r="U29" s="41" t="str">
        <f t="shared" si="7"/>
        <v/>
      </c>
    </row>
    <row r="30" spans="1:21" ht="11.65" customHeight="1" x14ac:dyDescent="0.35">
      <c r="A30" s="9"/>
      <c r="B30" s="10" t="s">
        <v>50</v>
      </c>
      <c r="C30" s="9">
        <f>IFERROR(VLOOKUP(B30,DATA!$B$17:$D$18,3,0),0)</f>
        <v>7.95</v>
      </c>
      <c r="D30" s="45"/>
      <c r="E30" s="28"/>
      <c r="F30" s="28"/>
      <c r="G30" s="28"/>
      <c r="H30" s="22"/>
      <c r="I30" s="22"/>
      <c r="J30" s="45"/>
      <c r="K30" s="22"/>
      <c r="L30" s="12">
        <f t="shared" si="0"/>
        <v>0</v>
      </c>
      <c r="M30" s="41">
        <f t="shared" si="1"/>
        <v>0</v>
      </c>
      <c r="N30" s="118">
        <f t="shared" si="2"/>
        <v>0</v>
      </c>
      <c r="O30" s="11" t="str">
        <f t="shared" si="3"/>
        <v/>
      </c>
      <c r="P30" s="12">
        <v>3.5000000000000003E-2</v>
      </c>
      <c r="Q30" s="41">
        <f t="shared" si="4"/>
        <v>0</v>
      </c>
      <c r="R30" s="41" t="str">
        <f t="shared" si="5"/>
        <v/>
      </c>
      <c r="S30" s="11">
        <f>IFERROR(VLOOKUP(B30,DATA!$B$17:$D$18,2,0),"")</f>
        <v>0.12</v>
      </c>
      <c r="T30" s="56" t="str">
        <f t="shared" si="6"/>
        <v/>
      </c>
      <c r="U30" s="41" t="str">
        <f t="shared" si="7"/>
        <v/>
      </c>
    </row>
    <row r="31" spans="1:21" ht="11.65" customHeight="1" x14ac:dyDescent="0.35">
      <c r="A31" s="9"/>
      <c r="B31" s="10" t="s">
        <v>50</v>
      </c>
      <c r="C31" s="9">
        <f>IFERROR(VLOOKUP(B31,DATA!$B$17:$D$18,3,0),0)</f>
        <v>7.95</v>
      </c>
      <c r="D31" s="45"/>
      <c r="E31" s="28"/>
      <c r="F31" s="28"/>
      <c r="G31" s="28"/>
      <c r="H31" s="22"/>
      <c r="I31" s="22"/>
      <c r="J31" s="45"/>
      <c r="K31" s="22"/>
      <c r="L31" s="12">
        <f t="shared" si="0"/>
        <v>0</v>
      </c>
      <c r="M31" s="41">
        <f t="shared" si="1"/>
        <v>0</v>
      </c>
      <c r="N31" s="118">
        <f t="shared" si="2"/>
        <v>0</v>
      </c>
      <c r="O31" s="11" t="str">
        <f t="shared" si="3"/>
        <v/>
      </c>
      <c r="P31" s="12">
        <v>3.5000000000000003E-2</v>
      </c>
      <c r="Q31" s="41">
        <f t="shared" si="4"/>
        <v>0</v>
      </c>
      <c r="R31" s="41" t="str">
        <f t="shared" si="5"/>
        <v/>
      </c>
      <c r="S31" s="11">
        <f>IFERROR(VLOOKUP(B31,DATA!$B$17:$D$18,2,0),"")</f>
        <v>0.12</v>
      </c>
      <c r="T31" s="56" t="str">
        <f t="shared" si="6"/>
        <v/>
      </c>
      <c r="U31" s="41" t="str">
        <f t="shared" si="7"/>
        <v/>
      </c>
    </row>
    <row r="32" spans="1:21" ht="11.65" customHeight="1" x14ac:dyDescent="0.35">
      <c r="A32" s="9"/>
      <c r="B32" s="10" t="s">
        <v>50</v>
      </c>
      <c r="C32" s="9">
        <f>IFERROR(VLOOKUP(B32,DATA!$B$17:$D$18,3,0),0)</f>
        <v>7.95</v>
      </c>
      <c r="D32" s="45"/>
      <c r="E32" s="28"/>
      <c r="F32" s="28"/>
      <c r="G32" s="28"/>
      <c r="H32" s="22"/>
      <c r="I32" s="22"/>
      <c r="J32" s="45"/>
      <c r="K32" s="22"/>
      <c r="L32" s="12">
        <f t="shared" si="0"/>
        <v>0</v>
      </c>
      <c r="M32" s="41">
        <f t="shared" si="1"/>
        <v>0</v>
      </c>
      <c r="N32" s="118">
        <f t="shared" si="2"/>
        <v>0</v>
      </c>
      <c r="O32" s="11" t="str">
        <f t="shared" si="3"/>
        <v/>
      </c>
      <c r="P32" s="12">
        <v>3.5000000000000003E-2</v>
      </c>
      <c r="Q32" s="41">
        <f t="shared" si="4"/>
        <v>0</v>
      </c>
      <c r="R32" s="41" t="str">
        <f t="shared" si="5"/>
        <v/>
      </c>
      <c r="S32" s="11">
        <f>IFERROR(VLOOKUP(B32,DATA!$B$17:$D$18,2,0),"")</f>
        <v>0.12</v>
      </c>
      <c r="T32" s="56" t="str">
        <f t="shared" si="6"/>
        <v/>
      </c>
      <c r="U32" s="41" t="str">
        <f t="shared" si="7"/>
        <v/>
      </c>
    </row>
    <row r="33" spans="1:21" ht="11.65" customHeight="1" x14ac:dyDescent="0.35">
      <c r="A33" s="9"/>
      <c r="B33" s="10" t="s">
        <v>50</v>
      </c>
      <c r="C33" s="9">
        <f>IFERROR(VLOOKUP(B33,DATA!$B$17:$D$18,3,0),0)</f>
        <v>7.95</v>
      </c>
      <c r="D33" s="45"/>
      <c r="E33" s="28"/>
      <c r="F33" s="28"/>
      <c r="G33" s="28"/>
      <c r="H33" s="22"/>
      <c r="I33" s="22"/>
      <c r="J33" s="45"/>
      <c r="K33" s="22"/>
      <c r="L33" s="12">
        <f t="shared" si="0"/>
        <v>0</v>
      </c>
      <c r="M33" s="41">
        <f t="shared" si="1"/>
        <v>0</v>
      </c>
      <c r="N33" s="118">
        <f t="shared" si="2"/>
        <v>0</v>
      </c>
      <c r="O33" s="11" t="str">
        <f t="shared" si="3"/>
        <v/>
      </c>
      <c r="P33" s="12">
        <v>3.5000000000000003E-2</v>
      </c>
      <c r="Q33" s="41">
        <f t="shared" si="4"/>
        <v>0</v>
      </c>
      <c r="R33" s="41" t="str">
        <f t="shared" si="5"/>
        <v/>
      </c>
      <c r="S33" s="11">
        <f>IFERROR(VLOOKUP(B33,DATA!$B$17:$D$18,2,0),"")</f>
        <v>0.12</v>
      </c>
      <c r="T33" s="56" t="str">
        <f t="shared" si="6"/>
        <v/>
      </c>
      <c r="U33" s="41" t="str">
        <f t="shared" si="7"/>
        <v/>
      </c>
    </row>
    <row r="34" spans="1:21" ht="11.65" customHeight="1" x14ac:dyDescent="0.35">
      <c r="A34" s="9"/>
      <c r="B34" s="10" t="s">
        <v>50</v>
      </c>
      <c r="C34" s="9">
        <f>IFERROR(VLOOKUP(B34,DATA!$B$17:$D$18,3,0),0)</f>
        <v>7.95</v>
      </c>
      <c r="D34" s="45"/>
      <c r="E34" s="28"/>
      <c r="F34" s="28"/>
      <c r="G34" s="28"/>
      <c r="H34" s="22"/>
      <c r="I34" s="22"/>
      <c r="J34" s="45"/>
      <c r="K34" s="22"/>
      <c r="L34" s="12">
        <f t="shared" si="0"/>
        <v>0</v>
      </c>
      <c r="M34" s="41">
        <f t="shared" si="1"/>
        <v>0</v>
      </c>
      <c r="N34" s="118">
        <f t="shared" si="2"/>
        <v>0</v>
      </c>
      <c r="O34" s="11" t="str">
        <f t="shared" si="3"/>
        <v/>
      </c>
      <c r="P34" s="12">
        <v>3.5000000000000003E-2</v>
      </c>
      <c r="Q34" s="41">
        <f t="shared" si="4"/>
        <v>0</v>
      </c>
      <c r="R34" s="41" t="str">
        <f t="shared" si="5"/>
        <v/>
      </c>
      <c r="S34" s="11">
        <f>IFERROR(VLOOKUP(B34,DATA!$B$17:$D$18,2,0),"")</f>
        <v>0.12</v>
      </c>
      <c r="T34" s="56" t="str">
        <f t="shared" si="6"/>
        <v/>
      </c>
      <c r="U34" s="41" t="str">
        <f t="shared" si="7"/>
        <v/>
      </c>
    </row>
    <row r="35" spans="1:21" ht="11.65" customHeight="1" x14ac:dyDescent="0.35">
      <c r="A35" s="9"/>
      <c r="B35" s="10" t="s">
        <v>50</v>
      </c>
      <c r="C35" s="9">
        <f>IFERROR(VLOOKUP(B35,DATA!$B$17:$D$18,3,0),0)</f>
        <v>7.95</v>
      </c>
      <c r="D35" s="45"/>
      <c r="E35" s="28"/>
      <c r="F35" s="28"/>
      <c r="G35" s="28"/>
      <c r="H35" s="22"/>
      <c r="I35" s="22"/>
      <c r="J35" s="45"/>
      <c r="K35" s="22"/>
      <c r="L35" s="12">
        <f t="shared" si="0"/>
        <v>0</v>
      </c>
      <c r="M35" s="41">
        <f t="shared" si="1"/>
        <v>0</v>
      </c>
      <c r="N35" s="118">
        <f t="shared" si="2"/>
        <v>0</v>
      </c>
      <c r="O35" s="11" t="str">
        <f t="shared" si="3"/>
        <v/>
      </c>
      <c r="P35" s="12">
        <v>3.5000000000000003E-2</v>
      </c>
      <c r="Q35" s="41">
        <f t="shared" si="4"/>
        <v>0</v>
      </c>
      <c r="R35" s="41" t="str">
        <f t="shared" si="5"/>
        <v/>
      </c>
      <c r="S35" s="11">
        <f>IFERROR(VLOOKUP(B35,DATA!$B$17:$D$18,2,0),"")</f>
        <v>0.12</v>
      </c>
      <c r="T35" s="56" t="str">
        <f t="shared" si="6"/>
        <v/>
      </c>
      <c r="U35" s="41" t="str">
        <f t="shared" si="7"/>
        <v/>
      </c>
    </row>
    <row r="36" spans="1:21" ht="11.65" customHeight="1" x14ac:dyDescent="0.35">
      <c r="A36" s="9"/>
      <c r="B36" s="10" t="s">
        <v>50</v>
      </c>
      <c r="C36" s="9">
        <f>IFERROR(VLOOKUP(B36,DATA!$B$17:$D$18,3,0),0)</f>
        <v>7.95</v>
      </c>
      <c r="D36" s="45"/>
      <c r="E36" s="28"/>
      <c r="F36" s="28"/>
      <c r="G36" s="28"/>
      <c r="H36" s="22"/>
      <c r="I36" s="22"/>
      <c r="J36" s="45"/>
      <c r="K36" s="22"/>
      <c r="L36" s="12">
        <f t="shared" si="0"/>
        <v>0</v>
      </c>
      <c r="M36" s="41">
        <f t="shared" si="1"/>
        <v>0</v>
      </c>
      <c r="N36" s="118">
        <f t="shared" si="2"/>
        <v>0</v>
      </c>
      <c r="O36" s="11" t="str">
        <f t="shared" si="3"/>
        <v/>
      </c>
      <c r="P36" s="12">
        <v>3.5000000000000003E-2</v>
      </c>
      <c r="Q36" s="41">
        <f t="shared" si="4"/>
        <v>0</v>
      </c>
      <c r="R36" s="41" t="str">
        <f t="shared" si="5"/>
        <v/>
      </c>
      <c r="S36" s="11">
        <f>IFERROR(VLOOKUP(B36,DATA!$B$17:$D$18,2,0),"")</f>
        <v>0.12</v>
      </c>
      <c r="T36" s="56" t="str">
        <f t="shared" si="6"/>
        <v/>
      </c>
      <c r="U36" s="41" t="str">
        <f t="shared" si="7"/>
        <v/>
      </c>
    </row>
    <row r="37" spans="1:21" ht="11.65" customHeight="1" x14ac:dyDescent="0.35">
      <c r="A37" s="9"/>
      <c r="B37" s="10" t="s">
        <v>50</v>
      </c>
      <c r="C37" s="9">
        <f>IFERROR(VLOOKUP(B37,DATA!$B$17:$D$18,3,0),0)</f>
        <v>7.95</v>
      </c>
      <c r="D37" s="45"/>
      <c r="E37" s="28"/>
      <c r="F37" s="28"/>
      <c r="G37" s="28"/>
      <c r="H37" s="22"/>
      <c r="I37" s="22"/>
      <c r="J37" s="45"/>
      <c r="K37" s="22"/>
      <c r="L37" s="12">
        <f t="shared" si="0"/>
        <v>0</v>
      </c>
      <c r="M37" s="41">
        <f t="shared" si="1"/>
        <v>0</v>
      </c>
      <c r="N37" s="118">
        <f t="shared" si="2"/>
        <v>0</v>
      </c>
      <c r="O37" s="11" t="str">
        <f t="shared" si="3"/>
        <v/>
      </c>
      <c r="P37" s="12">
        <v>3.5000000000000003E-2</v>
      </c>
      <c r="Q37" s="41">
        <f t="shared" si="4"/>
        <v>0</v>
      </c>
      <c r="R37" s="41" t="str">
        <f t="shared" si="5"/>
        <v/>
      </c>
      <c r="S37" s="11">
        <f>IFERROR(VLOOKUP(B37,DATA!$B$17:$D$18,2,0),"")</f>
        <v>0.12</v>
      </c>
      <c r="T37" s="56" t="str">
        <f t="shared" si="6"/>
        <v/>
      </c>
      <c r="U37" s="41" t="str">
        <f t="shared" si="7"/>
        <v/>
      </c>
    </row>
    <row r="38" spans="1:21" ht="11.65" customHeight="1" x14ac:dyDescent="0.35">
      <c r="A38" s="9"/>
      <c r="B38" s="10" t="s">
        <v>50</v>
      </c>
      <c r="C38" s="9">
        <f>IFERROR(VLOOKUP(B38,DATA!$B$17:$D$18,3,0),0)</f>
        <v>7.95</v>
      </c>
      <c r="D38" s="45"/>
      <c r="E38" s="28"/>
      <c r="F38" s="28"/>
      <c r="G38" s="28"/>
      <c r="H38" s="22"/>
      <c r="I38" s="22"/>
      <c r="J38" s="45"/>
      <c r="K38" s="22"/>
      <c r="L38" s="12">
        <f t="shared" si="0"/>
        <v>0</v>
      </c>
      <c r="M38" s="41">
        <f t="shared" si="1"/>
        <v>0</v>
      </c>
      <c r="N38" s="118">
        <f t="shared" si="2"/>
        <v>0</v>
      </c>
      <c r="O38" s="11" t="str">
        <f t="shared" si="3"/>
        <v/>
      </c>
      <c r="P38" s="12">
        <v>3.5000000000000003E-2</v>
      </c>
      <c r="Q38" s="41">
        <f t="shared" si="4"/>
        <v>0</v>
      </c>
      <c r="R38" s="41" t="str">
        <f t="shared" si="5"/>
        <v/>
      </c>
      <c r="S38" s="11">
        <f>IFERROR(VLOOKUP(B38,DATA!$B$17:$D$18,2,0),"")</f>
        <v>0.12</v>
      </c>
      <c r="T38" s="56" t="str">
        <f t="shared" si="6"/>
        <v/>
      </c>
      <c r="U38" s="41" t="str">
        <f t="shared" si="7"/>
        <v/>
      </c>
    </row>
    <row r="39" spans="1:21" ht="11.65" customHeight="1" x14ac:dyDescent="0.35">
      <c r="A39" s="9"/>
      <c r="B39" s="10" t="s">
        <v>50</v>
      </c>
      <c r="C39" s="9">
        <f>IFERROR(VLOOKUP(B39,DATA!$B$17:$D$18,3,0),0)</f>
        <v>7.95</v>
      </c>
      <c r="D39" s="45"/>
      <c r="E39" s="28"/>
      <c r="F39" s="28"/>
      <c r="G39" s="28"/>
      <c r="H39" s="22"/>
      <c r="I39" s="22"/>
      <c r="J39" s="45"/>
      <c r="K39" s="22"/>
      <c r="L39" s="12">
        <f t="shared" si="0"/>
        <v>0</v>
      </c>
      <c r="M39" s="41">
        <f t="shared" si="1"/>
        <v>0</v>
      </c>
      <c r="N39" s="118">
        <f t="shared" si="2"/>
        <v>0</v>
      </c>
      <c r="O39" s="11" t="str">
        <f t="shared" si="3"/>
        <v/>
      </c>
      <c r="P39" s="12">
        <v>3.5000000000000003E-2</v>
      </c>
      <c r="Q39" s="41">
        <f t="shared" si="4"/>
        <v>0</v>
      </c>
      <c r="R39" s="41" t="str">
        <f t="shared" si="5"/>
        <v/>
      </c>
      <c r="S39" s="11">
        <f>IFERROR(VLOOKUP(B39,DATA!$B$17:$D$18,2,0),"")</f>
        <v>0.12</v>
      </c>
      <c r="T39" s="56" t="str">
        <f t="shared" si="6"/>
        <v/>
      </c>
      <c r="U39" s="41" t="str">
        <f t="shared" si="7"/>
        <v/>
      </c>
    </row>
    <row r="40" spans="1:21" ht="11.65" customHeight="1" x14ac:dyDescent="0.35">
      <c r="A40" s="9"/>
      <c r="B40" s="10" t="s">
        <v>50</v>
      </c>
      <c r="C40" s="9">
        <f>IFERROR(VLOOKUP(B40,DATA!$B$17:$D$18,3,0),0)</f>
        <v>7.95</v>
      </c>
      <c r="D40" s="45"/>
      <c r="E40" s="28"/>
      <c r="F40" s="28"/>
      <c r="G40" s="28"/>
      <c r="H40" s="22"/>
      <c r="I40" s="22"/>
      <c r="J40" s="45"/>
      <c r="K40" s="22"/>
      <c r="L40" s="12">
        <f t="shared" si="0"/>
        <v>0</v>
      </c>
      <c r="M40" s="41">
        <f t="shared" si="1"/>
        <v>0</v>
      </c>
      <c r="N40" s="118">
        <f t="shared" si="2"/>
        <v>0</v>
      </c>
      <c r="O40" s="11" t="str">
        <f t="shared" si="3"/>
        <v/>
      </c>
      <c r="P40" s="12">
        <v>3.5000000000000003E-2</v>
      </c>
      <c r="Q40" s="41">
        <f t="shared" si="4"/>
        <v>0</v>
      </c>
      <c r="R40" s="41" t="str">
        <f t="shared" si="5"/>
        <v/>
      </c>
      <c r="S40" s="11">
        <f>IFERROR(VLOOKUP(B40,DATA!$B$17:$D$18,2,0),"")</f>
        <v>0.12</v>
      </c>
      <c r="T40" s="56" t="str">
        <f t="shared" si="6"/>
        <v/>
      </c>
      <c r="U40" s="41" t="str">
        <f t="shared" si="7"/>
        <v/>
      </c>
    </row>
    <row r="41" spans="1:21" ht="11.65" customHeight="1" x14ac:dyDescent="0.35">
      <c r="A41" s="9"/>
      <c r="B41" s="10" t="s">
        <v>50</v>
      </c>
      <c r="C41" s="9">
        <f>IFERROR(VLOOKUP(B41,DATA!$B$17:$D$18,3,0),0)</f>
        <v>7.95</v>
      </c>
      <c r="D41" s="45"/>
      <c r="E41" s="28"/>
      <c r="F41" s="28"/>
      <c r="G41" s="28"/>
      <c r="H41" s="22"/>
      <c r="I41" s="22"/>
      <c r="J41" s="45"/>
      <c r="K41" s="22"/>
      <c r="L41" s="12">
        <f t="shared" si="0"/>
        <v>0</v>
      </c>
      <c r="M41" s="41">
        <f t="shared" si="1"/>
        <v>0</v>
      </c>
      <c r="N41" s="118">
        <f t="shared" si="2"/>
        <v>0</v>
      </c>
      <c r="O41" s="11" t="str">
        <f t="shared" si="3"/>
        <v/>
      </c>
      <c r="P41" s="12">
        <v>3.5000000000000003E-2</v>
      </c>
      <c r="Q41" s="41">
        <f t="shared" si="4"/>
        <v>0</v>
      </c>
      <c r="R41" s="41" t="str">
        <f t="shared" si="5"/>
        <v/>
      </c>
      <c r="S41" s="11">
        <f>IFERROR(VLOOKUP(B41,DATA!$B$17:$D$18,2,0),"")</f>
        <v>0.12</v>
      </c>
      <c r="T41" s="56" t="str">
        <f t="shared" si="6"/>
        <v/>
      </c>
      <c r="U41" s="41" t="str">
        <f t="shared" si="7"/>
        <v/>
      </c>
    </row>
    <row r="42" spans="1:21" ht="11.65" customHeight="1" x14ac:dyDescent="0.35">
      <c r="A42" s="9"/>
      <c r="B42" s="10" t="s">
        <v>50</v>
      </c>
      <c r="C42" s="9">
        <f>IFERROR(VLOOKUP(B42,DATA!$B$17:$D$18,3,0),0)</f>
        <v>7.95</v>
      </c>
      <c r="D42" s="45"/>
      <c r="E42" s="28"/>
      <c r="F42" s="28"/>
      <c r="G42" s="28"/>
      <c r="H42" s="22"/>
      <c r="I42" s="22"/>
      <c r="J42" s="45"/>
      <c r="K42" s="22"/>
      <c r="L42" s="12">
        <f t="shared" si="0"/>
        <v>0</v>
      </c>
      <c r="M42" s="41">
        <f t="shared" si="1"/>
        <v>0</v>
      </c>
      <c r="N42" s="118">
        <f t="shared" si="2"/>
        <v>0</v>
      </c>
      <c r="O42" s="11" t="str">
        <f t="shared" si="3"/>
        <v/>
      </c>
      <c r="P42" s="12">
        <v>3.5000000000000003E-2</v>
      </c>
      <c r="Q42" s="41">
        <f t="shared" si="4"/>
        <v>0</v>
      </c>
      <c r="R42" s="41" t="str">
        <f t="shared" si="5"/>
        <v/>
      </c>
      <c r="S42" s="11">
        <f>IFERROR(VLOOKUP(B42,DATA!$B$17:$D$18,2,0),"")</f>
        <v>0.12</v>
      </c>
      <c r="T42" s="56" t="str">
        <f t="shared" si="6"/>
        <v/>
      </c>
      <c r="U42" s="41" t="str">
        <f t="shared" si="7"/>
        <v/>
      </c>
    </row>
    <row r="43" spans="1:21" ht="11.65" customHeight="1" x14ac:dyDescent="0.35">
      <c r="A43" s="9"/>
      <c r="B43" s="10" t="s">
        <v>50</v>
      </c>
      <c r="C43" s="9">
        <f>IFERROR(VLOOKUP(B43,DATA!$B$17:$D$18,3,0),0)</f>
        <v>7.95</v>
      </c>
      <c r="D43" s="45"/>
      <c r="E43" s="28"/>
      <c r="F43" s="28"/>
      <c r="G43" s="28"/>
      <c r="H43" s="22"/>
      <c r="I43" s="22"/>
      <c r="J43" s="45"/>
      <c r="K43" s="22"/>
      <c r="L43" s="12">
        <f t="shared" si="0"/>
        <v>0</v>
      </c>
      <c r="M43" s="41">
        <f t="shared" si="1"/>
        <v>0</v>
      </c>
      <c r="N43" s="118">
        <f t="shared" si="2"/>
        <v>0</v>
      </c>
      <c r="O43" s="11" t="str">
        <f t="shared" si="3"/>
        <v/>
      </c>
      <c r="P43" s="12">
        <v>3.5000000000000003E-2</v>
      </c>
      <c r="Q43" s="41">
        <f t="shared" si="4"/>
        <v>0</v>
      </c>
      <c r="R43" s="41" t="str">
        <f t="shared" si="5"/>
        <v/>
      </c>
      <c r="S43" s="11">
        <f>IFERROR(VLOOKUP(B43,DATA!$B$17:$D$18,2,0),"")</f>
        <v>0.12</v>
      </c>
      <c r="T43" s="56" t="str">
        <f t="shared" si="6"/>
        <v/>
      </c>
      <c r="U43" s="41" t="str">
        <f t="shared" si="7"/>
        <v/>
      </c>
    </row>
    <row r="44" spans="1:21" ht="11.65" customHeight="1" x14ac:dyDescent="0.35">
      <c r="A44" s="9"/>
      <c r="B44" s="10" t="s">
        <v>50</v>
      </c>
      <c r="C44" s="9">
        <f>IFERROR(VLOOKUP(B44,DATA!$B$17:$D$18,3,0),0)</f>
        <v>7.95</v>
      </c>
      <c r="D44" s="45"/>
      <c r="E44" s="28"/>
      <c r="F44" s="28"/>
      <c r="G44" s="28"/>
      <c r="H44" s="22"/>
      <c r="I44" s="22"/>
      <c r="J44" s="45"/>
      <c r="K44" s="22"/>
      <c r="L44" s="12">
        <f t="shared" ref="L44:L61" si="8">IFERROR(IF(AND(OR(LEFT(B44,FIND(" ",B44,1)-1)="Đồng",LEFT(B44,FIND(" ",B44,1)-1)="Nhôm"),E44&gt;(F44/10)),5%,0),"")</f>
        <v>0</v>
      </c>
      <c r="M44" s="41">
        <f t="shared" ref="M44:M61" si="9">E44*F44*G44*H44</f>
        <v>0</v>
      </c>
      <c r="N44" s="118">
        <f t="shared" ref="N44:N61" si="10">IFERROR((E44*F44*G44*H44/10^6),0)*C44</f>
        <v>0</v>
      </c>
      <c r="O44" s="11" t="str">
        <f t="shared" ref="O44:O61" si="11">IFERROR(IF(H44&gt;50,E44*(H44*G44+(H44+2)*F44),IF(H44&gt;10,E44*(2*H44*G44+(H44+1)*F44),2*H44*E44*(F44+G44)))*6/M44,"")</f>
        <v/>
      </c>
      <c r="P44" s="12">
        <v>3.5000000000000003E-2</v>
      </c>
      <c r="Q44" s="41">
        <f t="shared" ref="Q44:Q61" si="12">IFERROR(IF(H44&gt;50,E44*(H44*G44+(H44+2)*F44),IF(H44&gt;10,E44*(2*H44*G44+(H44+1)*F44),2*H44*E44*(F44+G44)))*3/N44,0)</f>
        <v>0</v>
      </c>
      <c r="R44" s="41" t="str">
        <f t="shared" ref="R44:R61" si="13">IFERROR((D44*(1+O44+P44)+Q44)/(1-(I44*0.007/30)),"")</f>
        <v/>
      </c>
      <c r="S44" s="11">
        <f>IFERROR(VLOOKUP(B44,DATA!$B$17:$D$18,2,0),"")</f>
        <v>0.12</v>
      </c>
      <c r="T44" s="56" t="str">
        <f t="shared" ref="T44:T61" si="14">IFERROR(ROUND(R44/(1-S44)+($J$12+$K$12)/($N$62*(1-L44)),-3),"")</f>
        <v/>
      </c>
      <c r="U44" s="41" t="str">
        <f t="shared" ref="U44:U61" si="15">IFERROR(ROUND(T44*N44,0),"")</f>
        <v/>
      </c>
    </row>
    <row r="45" spans="1:21" ht="11.65" customHeight="1" x14ac:dyDescent="0.35">
      <c r="A45" s="9"/>
      <c r="B45" s="10" t="s">
        <v>50</v>
      </c>
      <c r="C45" s="9">
        <f>IFERROR(VLOOKUP(B45,DATA!$B$17:$D$18,3,0),0)</f>
        <v>7.95</v>
      </c>
      <c r="D45" s="45"/>
      <c r="E45" s="28"/>
      <c r="F45" s="28"/>
      <c r="G45" s="28"/>
      <c r="H45" s="22"/>
      <c r="I45" s="22"/>
      <c r="J45" s="45"/>
      <c r="K45" s="22"/>
      <c r="L45" s="12">
        <f t="shared" si="8"/>
        <v>0</v>
      </c>
      <c r="M45" s="41">
        <f t="shared" si="9"/>
        <v>0</v>
      </c>
      <c r="N45" s="118">
        <f t="shared" si="10"/>
        <v>0</v>
      </c>
      <c r="O45" s="11" t="str">
        <f t="shared" si="11"/>
        <v/>
      </c>
      <c r="P45" s="12">
        <v>3.5000000000000003E-2</v>
      </c>
      <c r="Q45" s="41">
        <f t="shared" si="12"/>
        <v>0</v>
      </c>
      <c r="R45" s="41" t="str">
        <f t="shared" si="13"/>
        <v/>
      </c>
      <c r="S45" s="11">
        <f>IFERROR(VLOOKUP(B45,DATA!$B$17:$D$18,2,0),"")</f>
        <v>0.12</v>
      </c>
      <c r="T45" s="56" t="str">
        <f t="shared" si="14"/>
        <v/>
      </c>
      <c r="U45" s="41" t="str">
        <f t="shared" si="15"/>
        <v/>
      </c>
    </row>
    <row r="46" spans="1:21" ht="11.65" customHeight="1" x14ac:dyDescent="0.35">
      <c r="A46" s="9"/>
      <c r="B46" s="10" t="s">
        <v>50</v>
      </c>
      <c r="C46" s="9">
        <f>IFERROR(VLOOKUP(B46,DATA!$B$17:$D$18,3,0),0)</f>
        <v>7.95</v>
      </c>
      <c r="D46" s="45"/>
      <c r="E46" s="28"/>
      <c r="F46" s="28"/>
      <c r="G46" s="28"/>
      <c r="H46" s="22"/>
      <c r="I46" s="22"/>
      <c r="J46" s="45"/>
      <c r="K46" s="22"/>
      <c r="L46" s="12">
        <f t="shared" si="8"/>
        <v>0</v>
      </c>
      <c r="M46" s="41">
        <f t="shared" si="9"/>
        <v>0</v>
      </c>
      <c r="N46" s="118">
        <f t="shared" si="10"/>
        <v>0</v>
      </c>
      <c r="O46" s="11" t="str">
        <f t="shared" si="11"/>
        <v/>
      </c>
      <c r="P46" s="12">
        <v>3.5000000000000003E-2</v>
      </c>
      <c r="Q46" s="41">
        <f t="shared" si="12"/>
        <v>0</v>
      </c>
      <c r="R46" s="41" t="str">
        <f t="shared" si="13"/>
        <v/>
      </c>
      <c r="S46" s="11">
        <f>IFERROR(VLOOKUP(B46,DATA!$B$17:$D$18,2,0),"")</f>
        <v>0.12</v>
      </c>
      <c r="T46" s="56" t="str">
        <f t="shared" si="14"/>
        <v/>
      </c>
      <c r="U46" s="41" t="str">
        <f t="shared" si="15"/>
        <v/>
      </c>
    </row>
    <row r="47" spans="1:21" ht="11.65" customHeight="1" x14ac:dyDescent="0.35">
      <c r="A47" s="9"/>
      <c r="B47" s="10" t="s">
        <v>50</v>
      </c>
      <c r="C47" s="9">
        <f>IFERROR(VLOOKUP(B47,DATA!$B$17:$D$18,3,0),0)</f>
        <v>7.95</v>
      </c>
      <c r="D47" s="45"/>
      <c r="E47" s="28"/>
      <c r="F47" s="28"/>
      <c r="G47" s="28"/>
      <c r="H47" s="22"/>
      <c r="I47" s="22"/>
      <c r="J47" s="45"/>
      <c r="K47" s="22"/>
      <c r="L47" s="12">
        <f t="shared" si="8"/>
        <v>0</v>
      </c>
      <c r="M47" s="41">
        <f t="shared" si="9"/>
        <v>0</v>
      </c>
      <c r="N47" s="118">
        <f t="shared" si="10"/>
        <v>0</v>
      </c>
      <c r="O47" s="11" t="str">
        <f t="shared" si="11"/>
        <v/>
      </c>
      <c r="P47" s="12">
        <v>3.5000000000000003E-2</v>
      </c>
      <c r="Q47" s="41">
        <f t="shared" si="12"/>
        <v>0</v>
      </c>
      <c r="R47" s="41" t="str">
        <f t="shared" si="13"/>
        <v/>
      </c>
      <c r="S47" s="11">
        <f>IFERROR(VLOOKUP(B47,DATA!$B$17:$D$18,2,0),"")</f>
        <v>0.12</v>
      </c>
      <c r="T47" s="56" t="str">
        <f t="shared" si="14"/>
        <v/>
      </c>
      <c r="U47" s="41" t="str">
        <f t="shared" si="15"/>
        <v/>
      </c>
    </row>
    <row r="48" spans="1:21" ht="11.65" customHeight="1" x14ac:dyDescent="0.35">
      <c r="A48" s="9"/>
      <c r="B48" s="10" t="s">
        <v>50</v>
      </c>
      <c r="C48" s="9">
        <f>IFERROR(VLOOKUP(B48,DATA!$B$17:$D$18,3,0),0)</f>
        <v>7.95</v>
      </c>
      <c r="D48" s="45"/>
      <c r="E48" s="28"/>
      <c r="F48" s="28"/>
      <c r="G48" s="28"/>
      <c r="H48" s="22"/>
      <c r="I48" s="22"/>
      <c r="J48" s="45"/>
      <c r="K48" s="22"/>
      <c r="L48" s="12">
        <f t="shared" si="8"/>
        <v>0</v>
      </c>
      <c r="M48" s="41">
        <f t="shared" si="9"/>
        <v>0</v>
      </c>
      <c r="N48" s="118">
        <f t="shared" si="10"/>
        <v>0</v>
      </c>
      <c r="O48" s="11" t="str">
        <f t="shared" si="11"/>
        <v/>
      </c>
      <c r="P48" s="12">
        <v>3.5000000000000003E-2</v>
      </c>
      <c r="Q48" s="41">
        <f t="shared" si="12"/>
        <v>0</v>
      </c>
      <c r="R48" s="41" t="str">
        <f t="shared" si="13"/>
        <v/>
      </c>
      <c r="S48" s="11">
        <f>IFERROR(VLOOKUP(B48,DATA!$B$17:$D$18,2,0),"")</f>
        <v>0.12</v>
      </c>
      <c r="T48" s="56" t="str">
        <f t="shared" si="14"/>
        <v/>
      </c>
      <c r="U48" s="41" t="str">
        <f t="shared" si="15"/>
        <v/>
      </c>
    </row>
    <row r="49" spans="1:21" ht="11.65" customHeight="1" x14ac:dyDescent="0.35">
      <c r="A49" s="9"/>
      <c r="B49" s="10" t="s">
        <v>50</v>
      </c>
      <c r="C49" s="9">
        <f>IFERROR(VLOOKUP(B49,DATA!$B$17:$D$18,3,0),0)</f>
        <v>7.95</v>
      </c>
      <c r="D49" s="45"/>
      <c r="E49" s="28"/>
      <c r="F49" s="28"/>
      <c r="G49" s="28"/>
      <c r="H49" s="22"/>
      <c r="I49" s="22"/>
      <c r="J49" s="45"/>
      <c r="K49" s="22"/>
      <c r="L49" s="12">
        <f t="shared" si="8"/>
        <v>0</v>
      </c>
      <c r="M49" s="41">
        <f t="shared" si="9"/>
        <v>0</v>
      </c>
      <c r="N49" s="118">
        <f t="shared" si="10"/>
        <v>0</v>
      </c>
      <c r="O49" s="11" t="str">
        <f t="shared" si="11"/>
        <v/>
      </c>
      <c r="P49" s="12">
        <v>3.5000000000000003E-2</v>
      </c>
      <c r="Q49" s="41">
        <f t="shared" si="12"/>
        <v>0</v>
      </c>
      <c r="R49" s="41" t="str">
        <f t="shared" si="13"/>
        <v/>
      </c>
      <c r="S49" s="11">
        <f>IFERROR(VLOOKUP(B49,DATA!$B$17:$D$18,2,0),"")</f>
        <v>0.12</v>
      </c>
      <c r="T49" s="56" t="str">
        <f t="shared" si="14"/>
        <v/>
      </c>
      <c r="U49" s="41" t="str">
        <f t="shared" si="15"/>
        <v/>
      </c>
    </row>
    <row r="50" spans="1:21" ht="11.65" customHeight="1" x14ac:dyDescent="0.35">
      <c r="A50" s="9"/>
      <c r="B50" s="10" t="s">
        <v>50</v>
      </c>
      <c r="C50" s="9">
        <f>IFERROR(VLOOKUP(B50,DATA!$B$17:$D$18,3,0),0)</f>
        <v>7.95</v>
      </c>
      <c r="D50" s="45"/>
      <c r="E50" s="28"/>
      <c r="F50" s="28"/>
      <c r="G50" s="28"/>
      <c r="H50" s="22"/>
      <c r="I50" s="22"/>
      <c r="J50" s="45"/>
      <c r="K50" s="22"/>
      <c r="L50" s="12">
        <f t="shared" si="8"/>
        <v>0</v>
      </c>
      <c r="M50" s="41">
        <f t="shared" si="9"/>
        <v>0</v>
      </c>
      <c r="N50" s="118">
        <f t="shared" si="10"/>
        <v>0</v>
      </c>
      <c r="O50" s="11" t="str">
        <f t="shared" si="11"/>
        <v/>
      </c>
      <c r="P50" s="12">
        <v>3.5000000000000003E-2</v>
      </c>
      <c r="Q50" s="41">
        <f t="shared" si="12"/>
        <v>0</v>
      </c>
      <c r="R50" s="41" t="str">
        <f t="shared" si="13"/>
        <v/>
      </c>
      <c r="S50" s="11">
        <f>IFERROR(VLOOKUP(B50,DATA!$B$17:$D$18,2,0),"")</f>
        <v>0.12</v>
      </c>
      <c r="T50" s="56" t="str">
        <f t="shared" si="14"/>
        <v/>
      </c>
      <c r="U50" s="41" t="str">
        <f t="shared" si="15"/>
        <v/>
      </c>
    </row>
    <row r="51" spans="1:21" ht="11.65" customHeight="1" x14ac:dyDescent="0.35">
      <c r="A51" s="9"/>
      <c r="B51" s="10" t="s">
        <v>50</v>
      </c>
      <c r="C51" s="9">
        <f>IFERROR(VLOOKUP(B51,DATA!$B$17:$D$18,3,0),0)</f>
        <v>7.95</v>
      </c>
      <c r="D51" s="45"/>
      <c r="E51" s="28"/>
      <c r="F51" s="28"/>
      <c r="G51" s="28"/>
      <c r="H51" s="22"/>
      <c r="I51" s="22"/>
      <c r="J51" s="45"/>
      <c r="K51" s="22"/>
      <c r="L51" s="12">
        <f t="shared" si="8"/>
        <v>0</v>
      </c>
      <c r="M51" s="41">
        <f t="shared" si="9"/>
        <v>0</v>
      </c>
      <c r="N51" s="118">
        <f t="shared" si="10"/>
        <v>0</v>
      </c>
      <c r="O51" s="11" t="str">
        <f t="shared" si="11"/>
        <v/>
      </c>
      <c r="P51" s="12">
        <v>3.5000000000000003E-2</v>
      </c>
      <c r="Q51" s="41">
        <f t="shared" si="12"/>
        <v>0</v>
      </c>
      <c r="R51" s="41" t="str">
        <f t="shared" si="13"/>
        <v/>
      </c>
      <c r="S51" s="11">
        <f>IFERROR(VLOOKUP(B51,DATA!$B$17:$D$18,2,0),"")</f>
        <v>0.12</v>
      </c>
      <c r="T51" s="56" t="str">
        <f t="shared" si="14"/>
        <v/>
      </c>
      <c r="U51" s="41" t="str">
        <f t="shared" si="15"/>
        <v/>
      </c>
    </row>
    <row r="52" spans="1:21" ht="11.65" customHeight="1" x14ac:dyDescent="0.35">
      <c r="A52" s="9"/>
      <c r="B52" s="10" t="s">
        <v>50</v>
      </c>
      <c r="C52" s="9">
        <f>IFERROR(VLOOKUP(B52,DATA!$B$17:$D$18,3,0),0)</f>
        <v>7.95</v>
      </c>
      <c r="D52" s="45"/>
      <c r="E52" s="28"/>
      <c r="F52" s="28"/>
      <c r="G52" s="28"/>
      <c r="H52" s="22"/>
      <c r="I52" s="22"/>
      <c r="J52" s="45"/>
      <c r="K52" s="22"/>
      <c r="L52" s="12">
        <f t="shared" si="8"/>
        <v>0</v>
      </c>
      <c r="M52" s="41">
        <f t="shared" si="9"/>
        <v>0</v>
      </c>
      <c r="N52" s="118">
        <f t="shared" si="10"/>
        <v>0</v>
      </c>
      <c r="O52" s="11" t="str">
        <f t="shared" si="11"/>
        <v/>
      </c>
      <c r="P52" s="12">
        <v>3.5000000000000003E-2</v>
      </c>
      <c r="Q52" s="41">
        <f t="shared" si="12"/>
        <v>0</v>
      </c>
      <c r="R52" s="41" t="str">
        <f t="shared" si="13"/>
        <v/>
      </c>
      <c r="S52" s="11">
        <f>IFERROR(VLOOKUP(B52,DATA!$B$17:$D$18,2,0),"")</f>
        <v>0.12</v>
      </c>
      <c r="T52" s="56" t="str">
        <f t="shared" si="14"/>
        <v/>
      </c>
      <c r="U52" s="41" t="str">
        <f t="shared" si="15"/>
        <v/>
      </c>
    </row>
    <row r="53" spans="1:21" ht="11.65" customHeight="1" x14ac:dyDescent="0.35">
      <c r="A53" s="9"/>
      <c r="B53" s="10" t="s">
        <v>50</v>
      </c>
      <c r="C53" s="9">
        <f>IFERROR(VLOOKUP(B53,DATA!$B$17:$D$18,3,0),0)</f>
        <v>7.95</v>
      </c>
      <c r="D53" s="45"/>
      <c r="E53" s="28"/>
      <c r="F53" s="28"/>
      <c r="G53" s="28"/>
      <c r="H53" s="22"/>
      <c r="I53" s="22"/>
      <c r="J53" s="45"/>
      <c r="K53" s="22"/>
      <c r="L53" s="12">
        <f t="shared" si="8"/>
        <v>0</v>
      </c>
      <c r="M53" s="41">
        <f t="shared" si="9"/>
        <v>0</v>
      </c>
      <c r="N53" s="118">
        <f t="shared" si="10"/>
        <v>0</v>
      </c>
      <c r="O53" s="11" t="str">
        <f t="shared" si="11"/>
        <v/>
      </c>
      <c r="P53" s="12">
        <v>3.5000000000000003E-2</v>
      </c>
      <c r="Q53" s="41">
        <f t="shared" si="12"/>
        <v>0</v>
      </c>
      <c r="R53" s="41" t="str">
        <f t="shared" si="13"/>
        <v/>
      </c>
      <c r="S53" s="11">
        <f>IFERROR(VLOOKUP(B53,DATA!$B$17:$D$18,2,0),"")</f>
        <v>0.12</v>
      </c>
      <c r="T53" s="56" t="str">
        <f t="shared" si="14"/>
        <v/>
      </c>
      <c r="U53" s="41" t="str">
        <f t="shared" si="15"/>
        <v/>
      </c>
    </row>
    <row r="54" spans="1:21" ht="11.65" customHeight="1" x14ac:dyDescent="0.35">
      <c r="A54" s="9"/>
      <c r="B54" s="10" t="s">
        <v>50</v>
      </c>
      <c r="C54" s="9">
        <f>IFERROR(VLOOKUP(B54,DATA!$B$17:$D$18,3,0),0)</f>
        <v>7.95</v>
      </c>
      <c r="D54" s="45"/>
      <c r="E54" s="28"/>
      <c r="F54" s="28"/>
      <c r="G54" s="28"/>
      <c r="H54" s="22"/>
      <c r="I54" s="22"/>
      <c r="J54" s="45"/>
      <c r="K54" s="22"/>
      <c r="L54" s="12">
        <f t="shared" si="8"/>
        <v>0</v>
      </c>
      <c r="M54" s="41">
        <f t="shared" si="9"/>
        <v>0</v>
      </c>
      <c r="N54" s="118">
        <f t="shared" si="10"/>
        <v>0</v>
      </c>
      <c r="O54" s="11" t="str">
        <f t="shared" si="11"/>
        <v/>
      </c>
      <c r="P54" s="12">
        <v>3.5000000000000003E-2</v>
      </c>
      <c r="Q54" s="41">
        <f t="shared" si="12"/>
        <v>0</v>
      </c>
      <c r="R54" s="41" t="str">
        <f t="shared" si="13"/>
        <v/>
      </c>
      <c r="S54" s="11">
        <f>IFERROR(VLOOKUP(B54,DATA!$B$17:$D$18,2,0),"")</f>
        <v>0.12</v>
      </c>
      <c r="T54" s="56" t="str">
        <f t="shared" si="14"/>
        <v/>
      </c>
      <c r="U54" s="41" t="str">
        <f t="shared" si="15"/>
        <v/>
      </c>
    </row>
    <row r="55" spans="1:21" ht="11.65" customHeight="1" x14ac:dyDescent="0.35">
      <c r="A55" s="9"/>
      <c r="B55" s="10" t="s">
        <v>50</v>
      </c>
      <c r="C55" s="9">
        <f>IFERROR(VLOOKUP(B55,DATA!$B$17:$D$18,3,0),0)</f>
        <v>7.95</v>
      </c>
      <c r="D55" s="45"/>
      <c r="E55" s="28"/>
      <c r="F55" s="28"/>
      <c r="G55" s="28"/>
      <c r="H55" s="22"/>
      <c r="I55" s="22"/>
      <c r="J55" s="45"/>
      <c r="K55" s="22"/>
      <c r="L55" s="12">
        <f t="shared" si="8"/>
        <v>0</v>
      </c>
      <c r="M55" s="41">
        <f t="shared" si="9"/>
        <v>0</v>
      </c>
      <c r="N55" s="118">
        <f t="shared" si="10"/>
        <v>0</v>
      </c>
      <c r="O55" s="11" t="str">
        <f t="shared" si="11"/>
        <v/>
      </c>
      <c r="P55" s="12">
        <v>3.5000000000000003E-2</v>
      </c>
      <c r="Q55" s="41">
        <f t="shared" si="12"/>
        <v>0</v>
      </c>
      <c r="R55" s="41" t="str">
        <f t="shared" si="13"/>
        <v/>
      </c>
      <c r="S55" s="11">
        <f>IFERROR(VLOOKUP(B55,DATA!$B$17:$D$18,2,0),"")</f>
        <v>0.12</v>
      </c>
      <c r="T55" s="56" t="str">
        <f t="shared" si="14"/>
        <v/>
      </c>
      <c r="U55" s="41" t="str">
        <f t="shared" si="15"/>
        <v/>
      </c>
    </row>
    <row r="56" spans="1:21" ht="11.65" customHeight="1" x14ac:dyDescent="0.35">
      <c r="A56" s="9"/>
      <c r="B56" s="10" t="s">
        <v>50</v>
      </c>
      <c r="C56" s="9">
        <f>IFERROR(VLOOKUP(B56,DATA!$B$17:$D$18,3,0),0)</f>
        <v>7.95</v>
      </c>
      <c r="D56" s="45"/>
      <c r="E56" s="28"/>
      <c r="F56" s="28"/>
      <c r="G56" s="28"/>
      <c r="H56" s="22"/>
      <c r="I56" s="22"/>
      <c r="J56" s="45"/>
      <c r="K56" s="22"/>
      <c r="L56" s="12">
        <f t="shared" si="8"/>
        <v>0</v>
      </c>
      <c r="M56" s="41">
        <f t="shared" si="9"/>
        <v>0</v>
      </c>
      <c r="N56" s="118">
        <f t="shared" si="10"/>
        <v>0</v>
      </c>
      <c r="O56" s="11" t="str">
        <f t="shared" si="11"/>
        <v/>
      </c>
      <c r="P56" s="12">
        <v>3.5000000000000003E-2</v>
      </c>
      <c r="Q56" s="41">
        <f t="shared" si="12"/>
        <v>0</v>
      </c>
      <c r="R56" s="41" t="str">
        <f t="shared" si="13"/>
        <v/>
      </c>
      <c r="S56" s="11">
        <f>IFERROR(VLOOKUP(B56,DATA!$B$17:$D$18,2,0),"")</f>
        <v>0.12</v>
      </c>
      <c r="T56" s="56" t="str">
        <f t="shared" si="14"/>
        <v/>
      </c>
      <c r="U56" s="41" t="str">
        <f t="shared" si="15"/>
        <v/>
      </c>
    </row>
    <row r="57" spans="1:21" ht="11.65" customHeight="1" x14ac:dyDescent="0.35">
      <c r="A57" s="9"/>
      <c r="B57" s="10" t="s">
        <v>50</v>
      </c>
      <c r="C57" s="9">
        <f>IFERROR(VLOOKUP(B57,DATA!$B$17:$D$18,3,0),0)</f>
        <v>7.95</v>
      </c>
      <c r="D57" s="45"/>
      <c r="E57" s="28"/>
      <c r="F57" s="28"/>
      <c r="G57" s="28"/>
      <c r="H57" s="22"/>
      <c r="I57" s="22"/>
      <c r="J57" s="45"/>
      <c r="K57" s="22"/>
      <c r="L57" s="12">
        <f t="shared" si="8"/>
        <v>0</v>
      </c>
      <c r="M57" s="41">
        <f t="shared" si="9"/>
        <v>0</v>
      </c>
      <c r="N57" s="118">
        <f t="shared" si="10"/>
        <v>0</v>
      </c>
      <c r="O57" s="11" t="str">
        <f t="shared" si="11"/>
        <v/>
      </c>
      <c r="P57" s="12">
        <v>3.5000000000000003E-2</v>
      </c>
      <c r="Q57" s="41">
        <f t="shared" si="12"/>
        <v>0</v>
      </c>
      <c r="R57" s="41" t="str">
        <f t="shared" si="13"/>
        <v/>
      </c>
      <c r="S57" s="11">
        <f>IFERROR(VLOOKUP(B57,DATA!$B$17:$D$18,2,0),"")</f>
        <v>0.12</v>
      </c>
      <c r="T57" s="56" t="str">
        <f t="shared" si="14"/>
        <v/>
      </c>
      <c r="U57" s="41" t="str">
        <f t="shared" si="15"/>
        <v/>
      </c>
    </row>
    <row r="58" spans="1:21" ht="11.65" customHeight="1" x14ac:dyDescent="0.35">
      <c r="A58" s="9"/>
      <c r="B58" s="10" t="s">
        <v>50</v>
      </c>
      <c r="C58" s="9">
        <f>IFERROR(VLOOKUP(B58,DATA!$B$17:$D$18,3,0),0)</f>
        <v>7.95</v>
      </c>
      <c r="D58" s="45"/>
      <c r="E58" s="28"/>
      <c r="F58" s="28"/>
      <c r="G58" s="28"/>
      <c r="H58" s="22"/>
      <c r="I58" s="22"/>
      <c r="J58" s="45"/>
      <c r="K58" s="22"/>
      <c r="L58" s="12">
        <f t="shared" si="8"/>
        <v>0</v>
      </c>
      <c r="M58" s="41">
        <f t="shared" si="9"/>
        <v>0</v>
      </c>
      <c r="N58" s="118">
        <f t="shared" si="10"/>
        <v>0</v>
      </c>
      <c r="O58" s="11" t="str">
        <f t="shared" si="11"/>
        <v/>
      </c>
      <c r="P58" s="12">
        <v>3.5000000000000003E-2</v>
      </c>
      <c r="Q58" s="41">
        <f t="shared" si="12"/>
        <v>0</v>
      </c>
      <c r="R58" s="41" t="str">
        <f t="shared" si="13"/>
        <v/>
      </c>
      <c r="S58" s="11">
        <f>IFERROR(VLOOKUP(B58,DATA!$B$17:$D$18,2,0),"")</f>
        <v>0.12</v>
      </c>
      <c r="T58" s="56" t="str">
        <f t="shared" si="14"/>
        <v/>
      </c>
      <c r="U58" s="41" t="str">
        <f t="shared" si="15"/>
        <v/>
      </c>
    </row>
    <row r="59" spans="1:21" ht="11.65" customHeight="1" x14ac:dyDescent="0.35">
      <c r="A59" s="9"/>
      <c r="B59" s="10" t="s">
        <v>50</v>
      </c>
      <c r="C59" s="9">
        <f>IFERROR(VLOOKUP(B59,DATA!$B$17:$D$18,3,0),0)</f>
        <v>7.95</v>
      </c>
      <c r="D59" s="45"/>
      <c r="E59" s="28"/>
      <c r="F59" s="28"/>
      <c r="G59" s="28"/>
      <c r="H59" s="22"/>
      <c r="I59" s="22"/>
      <c r="J59" s="45"/>
      <c r="K59" s="22"/>
      <c r="L59" s="12">
        <f t="shared" si="8"/>
        <v>0</v>
      </c>
      <c r="M59" s="41">
        <f t="shared" si="9"/>
        <v>0</v>
      </c>
      <c r="N59" s="118">
        <f t="shared" si="10"/>
        <v>0</v>
      </c>
      <c r="O59" s="11" t="str">
        <f t="shared" si="11"/>
        <v/>
      </c>
      <c r="P59" s="12">
        <v>3.5000000000000003E-2</v>
      </c>
      <c r="Q59" s="41">
        <f t="shared" si="12"/>
        <v>0</v>
      </c>
      <c r="R59" s="41" t="str">
        <f t="shared" si="13"/>
        <v/>
      </c>
      <c r="S59" s="11">
        <f>IFERROR(VLOOKUP(B59,DATA!$B$17:$D$18,2,0),"")</f>
        <v>0.12</v>
      </c>
      <c r="T59" s="56" t="str">
        <f t="shared" si="14"/>
        <v/>
      </c>
      <c r="U59" s="41" t="str">
        <f t="shared" si="15"/>
        <v/>
      </c>
    </row>
    <row r="60" spans="1:21" ht="11.65" customHeight="1" x14ac:dyDescent="0.35">
      <c r="A60" s="9"/>
      <c r="B60" s="10" t="s">
        <v>50</v>
      </c>
      <c r="C60" s="9">
        <f>IFERROR(VLOOKUP(B60,DATA!$B$17:$D$18,3,0),0)</f>
        <v>7.95</v>
      </c>
      <c r="D60" s="45"/>
      <c r="E60" s="28"/>
      <c r="F60" s="28"/>
      <c r="G60" s="28"/>
      <c r="H60" s="22"/>
      <c r="I60" s="22"/>
      <c r="J60" s="45"/>
      <c r="K60" s="22"/>
      <c r="L60" s="12">
        <f t="shared" si="8"/>
        <v>0</v>
      </c>
      <c r="M60" s="41">
        <f t="shared" si="9"/>
        <v>0</v>
      </c>
      <c r="N60" s="118">
        <f t="shared" si="10"/>
        <v>0</v>
      </c>
      <c r="O60" s="11" t="str">
        <f t="shared" si="11"/>
        <v/>
      </c>
      <c r="P60" s="12">
        <v>3.5000000000000003E-2</v>
      </c>
      <c r="Q60" s="41">
        <f t="shared" si="12"/>
        <v>0</v>
      </c>
      <c r="R60" s="41" t="str">
        <f t="shared" si="13"/>
        <v/>
      </c>
      <c r="S60" s="11">
        <f>IFERROR(VLOOKUP(B60,DATA!$B$17:$D$18,2,0),"")</f>
        <v>0.12</v>
      </c>
      <c r="T60" s="56" t="str">
        <f t="shared" si="14"/>
        <v/>
      </c>
      <c r="U60" s="41" t="str">
        <f t="shared" si="15"/>
        <v/>
      </c>
    </row>
    <row r="61" spans="1:21" ht="11.65" customHeight="1" x14ac:dyDescent="0.35">
      <c r="A61" s="14"/>
      <c r="B61" s="13" t="s">
        <v>50</v>
      </c>
      <c r="C61" s="14">
        <f>IFERROR(VLOOKUP(B61,DATA!$B$17:$D$18,3,0),0)</f>
        <v>7.95</v>
      </c>
      <c r="D61" s="46"/>
      <c r="E61" s="29"/>
      <c r="F61" s="29"/>
      <c r="G61" s="29"/>
      <c r="H61" s="23"/>
      <c r="I61" s="23"/>
      <c r="J61" s="46"/>
      <c r="K61" s="23"/>
      <c r="L61" s="16">
        <f t="shared" si="8"/>
        <v>0</v>
      </c>
      <c r="M61" s="42">
        <f t="shared" si="9"/>
        <v>0</v>
      </c>
      <c r="N61" s="119">
        <f t="shared" si="10"/>
        <v>0</v>
      </c>
      <c r="O61" s="15" t="str">
        <f t="shared" si="11"/>
        <v/>
      </c>
      <c r="P61" s="16">
        <v>3.5000000000000003E-2</v>
      </c>
      <c r="Q61" s="42">
        <f t="shared" si="12"/>
        <v>0</v>
      </c>
      <c r="R61" s="42" t="str">
        <f t="shared" si="13"/>
        <v/>
      </c>
      <c r="S61" s="15">
        <f>IFERROR(VLOOKUP(B61,DATA!$B$17:$D$18,2,0),"")</f>
        <v>0.12</v>
      </c>
      <c r="T61" s="56" t="str">
        <f t="shared" si="14"/>
        <v/>
      </c>
      <c r="U61" s="42" t="str">
        <f t="shared" si="15"/>
        <v/>
      </c>
    </row>
    <row r="62" spans="1:21" ht="11.65" customHeight="1" x14ac:dyDescent="0.35">
      <c r="A62" s="17" t="s">
        <v>85</v>
      </c>
      <c r="B62" s="18"/>
      <c r="C62" s="18"/>
      <c r="D62" s="47"/>
      <c r="E62" s="30"/>
      <c r="F62" s="31"/>
      <c r="G62" s="32"/>
      <c r="H62" s="34">
        <f>SUM(H12:H61)</f>
        <v>2</v>
      </c>
      <c r="I62" s="34"/>
      <c r="J62" s="43"/>
      <c r="K62" s="34"/>
      <c r="L62" s="37"/>
      <c r="M62" s="43"/>
      <c r="N62" s="120">
        <f>SUM(N12:N61)</f>
        <v>35.61759</v>
      </c>
      <c r="O62" s="52"/>
      <c r="P62" s="50"/>
      <c r="Q62" s="53"/>
      <c r="R62" s="53"/>
      <c r="S62" s="50"/>
      <c r="T62" s="43"/>
      <c r="U62" s="43"/>
    </row>
    <row r="63" spans="1:21" ht="11.65" customHeight="1" x14ac:dyDescent="0.35">
      <c r="R63" s="54"/>
      <c r="S63" s="55"/>
    </row>
    <row r="64" spans="1:21" ht="11.65" customHeight="1" x14ac:dyDescent="0.35">
      <c r="R64" s="54"/>
      <c r="S64" s="55"/>
    </row>
    <row r="65" spans="18:19" ht="11.65" customHeight="1" x14ac:dyDescent="0.35">
      <c r="R65" s="54"/>
      <c r="S65" s="55"/>
    </row>
    <row r="66" spans="18:19" ht="11.65" customHeight="1" x14ac:dyDescent="0.35">
      <c r="R66" s="54"/>
      <c r="S66" s="55"/>
    </row>
    <row r="67" spans="18:19" ht="11.65" customHeight="1" x14ac:dyDescent="0.35">
      <c r="R67" s="54"/>
      <c r="S67" s="55"/>
    </row>
    <row r="68" spans="18:19" ht="11.65" customHeight="1" x14ac:dyDescent="0.35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200-000000000000}"/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8"/>
  <sheetViews>
    <sheetView tabSelected="1" topLeftCell="A10" workbookViewId="0">
      <pane ySplit="2" topLeftCell="A12" activePane="bottomLeft" state="frozen"/>
      <selection activeCell="A10" sqref="A10"/>
      <selection pane="bottomLeft" activeCell="B61" sqref="B61"/>
    </sheetView>
  </sheetViews>
  <sheetFormatPr defaultColWidth="8.59765625" defaultRowHeight="11.65" customHeight="1" x14ac:dyDescent="0.35"/>
  <cols>
    <col min="1" max="1" width="17" style="2" customWidth="1"/>
    <col min="2" max="2" width="18" style="2" customWidth="1"/>
    <col min="3" max="3" width="11" style="2" customWidth="1"/>
    <col min="4" max="4" width="13" style="39" customWidth="1"/>
    <col min="5" max="7" width="8" style="26" customWidth="1"/>
    <col min="8" max="8" width="6" style="19" customWidth="1"/>
    <col min="9" max="9" width="7" style="19" customWidth="1"/>
    <col min="10" max="10" width="7" style="39" customWidth="1"/>
    <col min="11" max="11" width="10" style="19" customWidth="1"/>
    <col min="12" max="12" width="7" style="35" customWidth="1"/>
    <col min="13" max="13" width="11" style="39" customWidth="1"/>
    <col min="14" max="14" width="7" style="57" customWidth="1"/>
    <col min="15" max="15" width="12" style="51" customWidth="1"/>
    <col min="16" max="16" width="12.1328125" style="35" customWidth="1"/>
    <col min="17" max="17" width="10" style="39" customWidth="1"/>
    <col min="18" max="18" width="9" style="39" customWidth="1"/>
    <col min="19" max="19" width="8" style="35" customWidth="1"/>
    <col min="20" max="20" width="10" style="39" customWidth="1"/>
    <col min="21" max="21" width="11" style="39" customWidth="1"/>
    <col min="22" max="22" width="8" style="2" customWidth="1"/>
    <col min="23" max="23" width="8.1328125" style="2" customWidth="1"/>
    <col min="24" max="24" width="8.265625" style="2" customWidth="1"/>
    <col min="25" max="25" width="8.3984375" style="2" customWidth="1"/>
    <col min="26" max="26" width="8.59765625" style="2" customWidth="1"/>
    <col min="27" max="16384" width="8.59765625" style="2"/>
  </cols>
  <sheetData>
    <row r="1" spans="1:22" ht="41.1" hidden="1" customHeight="1" x14ac:dyDescent="0.35">
      <c r="E1" s="24" t="s">
        <v>3</v>
      </c>
      <c r="F1" s="25">
        <v>140000</v>
      </c>
    </row>
    <row r="2" spans="1:22" ht="14.25" hidden="1" customHeight="1" x14ac:dyDescent="0.35">
      <c r="A2" s="2" t="s">
        <v>101</v>
      </c>
      <c r="B2" s="2" t="s">
        <v>98</v>
      </c>
      <c r="C2" s="2" t="s">
        <v>17</v>
      </c>
    </row>
    <row r="3" spans="1:22" ht="14.25" hidden="1" customHeight="1" x14ac:dyDescent="0.35">
      <c r="A3" s="2" t="s">
        <v>97</v>
      </c>
      <c r="B3" s="2" t="s">
        <v>5</v>
      </c>
      <c r="C3" s="2" t="s">
        <v>21</v>
      </c>
    </row>
    <row r="4" spans="1:22" ht="14.25" hidden="1" customHeight="1" x14ac:dyDescent="0.35">
      <c r="A4" s="2" t="s">
        <v>77</v>
      </c>
      <c r="B4" s="2" t="s">
        <v>23</v>
      </c>
      <c r="C4" s="2" t="s">
        <v>111</v>
      </c>
    </row>
    <row r="5" spans="1:22" ht="14.25" hidden="1" customHeight="1" x14ac:dyDescent="0.35">
      <c r="A5" s="2" t="s">
        <v>90</v>
      </c>
      <c r="B5" s="2" t="s">
        <v>52</v>
      </c>
      <c r="C5" s="2" t="s">
        <v>44</v>
      </c>
    </row>
    <row r="6" spans="1:22" ht="14.25" hidden="1" customHeight="1" x14ac:dyDescent="0.35"/>
    <row r="7" spans="1:22" ht="14.25" hidden="1" customHeight="1" x14ac:dyDescent="0.35"/>
    <row r="8" spans="1:22" ht="14.25" hidden="1" customHeight="1" x14ac:dyDescent="0.35"/>
    <row r="9" spans="1:22" ht="14.25" hidden="1" customHeight="1" x14ac:dyDescent="0.35"/>
    <row r="10" spans="1:22" ht="25.5" customHeight="1" x14ac:dyDescent="0.35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68</v>
      </c>
      <c r="T10" s="162"/>
      <c r="U10" s="163"/>
    </row>
    <row r="11" spans="1:22" ht="11.65" customHeight="1" x14ac:dyDescent="0.35">
      <c r="A11" s="3" t="s">
        <v>38</v>
      </c>
      <c r="B11" s="3" t="s">
        <v>19</v>
      </c>
      <c r="C11" s="4" t="s">
        <v>20</v>
      </c>
      <c r="D11" s="20" t="s">
        <v>6</v>
      </c>
      <c r="E11" s="48" t="s">
        <v>10</v>
      </c>
      <c r="F11" s="48" t="s">
        <v>114</v>
      </c>
      <c r="G11" s="48" t="s">
        <v>73</v>
      </c>
      <c r="H11" s="33" t="s">
        <v>104</v>
      </c>
      <c r="I11" s="20" t="s">
        <v>100</v>
      </c>
      <c r="J11" s="20" t="s">
        <v>67</v>
      </c>
      <c r="K11" s="20" t="s">
        <v>105</v>
      </c>
      <c r="L11" s="36" t="s">
        <v>108</v>
      </c>
      <c r="M11" s="38" t="s">
        <v>43</v>
      </c>
      <c r="N11" s="58" t="s">
        <v>63</v>
      </c>
      <c r="O11" s="49" t="s">
        <v>48</v>
      </c>
      <c r="P11" s="49" t="s">
        <v>60</v>
      </c>
      <c r="Q11" s="38" t="s">
        <v>112</v>
      </c>
      <c r="R11" s="38" t="s">
        <v>87</v>
      </c>
      <c r="S11" s="49" t="s">
        <v>0</v>
      </c>
      <c r="T11" s="38" t="s">
        <v>61</v>
      </c>
      <c r="U11" s="38" t="s">
        <v>84</v>
      </c>
    </row>
    <row r="12" spans="1:22" ht="11.65" customHeight="1" x14ac:dyDescent="0.35">
      <c r="A12" s="5"/>
      <c r="B12" s="6" t="s">
        <v>24</v>
      </c>
      <c r="C12" s="5">
        <f>IFERROR(VLOOKUP(B12,DATA!$B$12:$D$13,3,0),0)</f>
        <v>7.95</v>
      </c>
      <c r="D12" s="44">
        <v>130000</v>
      </c>
      <c r="E12" s="27">
        <v>25</v>
      </c>
      <c r="F12" s="27">
        <v>30</v>
      </c>
      <c r="G12" s="27">
        <v>19</v>
      </c>
      <c r="H12" s="21">
        <v>10</v>
      </c>
      <c r="I12" s="21"/>
      <c r="J12" s="44"/>
      <c r="K12" s="21"/>
      <c r="L12" s="8">
        <f t="shared" ref="L12:L43" si="0">IFERROR(IF(AND(OR(LEFT(B12,FIND(" ",B12,1)-1)="Đồng",LEFT(B12,FIND(" ",B12,1)-1)="Nhôm"),E12&gt;(F12/10)),5%,0),"")</f>
        <v>0</v>
      </c>
      <c r="M12" s="40">
        <f t="shared" ref="M12:M43" si="1">E12*F12*G12*H12</f>
        <v>142500</v>
      </c>
      <c r="N12" s="118">
        <f t="shared" ref="N12:N43" si="2">IFERROR((E12*F12*G12*H12/10^6),0)*C12</f>
        <v>1.1328749999999999</v>
      </c>
      <c r="O12" s="7">
        <f t="shared" ref="O12:O43" si="3">IFERROR(((E12+5)*(F12+5)*(G12+5))/(E12*F12*G12)-1,"")</f>
        <v>0.76842105263157889</v>
      </c>
      <c r="P12" s="8">
        <v>3.5000000000000003E-2</v>
      </c>
      <c r="Q12" s="40">
        <f t="shared" ref="Q12:Q43" si="4">IFERROR(IF(H12&gt;50,E12*(H12*G12+(H12+2)*F12),IF(H12&gt;10,E12*(2*H12*G12+(H12+1)*F12),2*H12*E12*(F12+G12)))*13/N12,0)</f>
        <v>281143.10934569134</v>
      </c>
      <c r="R12" s="153">
        <f>IFERROR((D12*(1+O12+P12)+Q12)/(1-(I12*0.007/30)),"")</f>
        <v>515587.84618779656</v>
      </c>
      <c r="S12" s="7">
        <v>0.12</v>
      </c>
      <c r="T12" s="155">
        <f t="shared" ref="T12:T43" si="5">IFERROR(ROUND((R12/(1-S12)+($J$12+$K$12)/$N$62)/(1-L12),-3),"")</f>
        <v>586000</v>
      </c>
      <c r="U12" s="40">
        <f t="shared" ref="U12:U43" si="6">IFERROR(ROUND(T12*N12,0),"")</f>
        <v>663865</v>
      </c>
      <c r="V12" s="99"/>
    </row>
    <row r="13" spans="1:22" ht="11.65" customHeight="1" x14ac:dyDescent="0.35">
      <c r="A13" s="9"/>
      <c r="B13" s="10" t="s">
        <v>9</v>
      </c>
      <c r="C13" s="9">
        <f>IFERROR(VLOOKUP(B13,DATA!$B$12:$D$13,3,0),0)</f>
        <v>8.9</v>
      </c>
      <c r="D13" s="45">
        <v>130000</v>
      </c>
      <c r="E13" s="28">
        <v>12</v>
      </c>
      <c r="F13" s="28">
        <v>285</v>
      </c>
      <c r="G13" s="28">
        <v>655</v>
      </c>
      <c r="H13" s="22">
        <v>2</v>
      </c>
      <c r="I13" s="22"/>
      <c r="J13" s="45"/>
      <c r="K13" s="22"/>
      <c r="L13" s="12">
        <f t="shared" si="0"/>
        <v>0</v>
      </c>
      <c r="M13" s="41">
        <f t="shared" si="1"/>
        <v>4480200</v>
      </c>
      <c r="N13" s="118">
        <f t="shared" si="2"/>
        <v>39.873780000000004</v>
      </c>
      <c r="O13" s="11">
        <f t="shared" si="3"/>
        <v>0.45252444087317523</v>
      </c>
      <c r="P13" s="12">
        <v>3.5000000000000003E-2</v>
      </c>
      <c r="Q13" s="41">
        <f t="shared" si="4"/>
        <v>14710.418726290809</v>
      </c>
      <c r="R13" s="41">
        <f t="shared" ref="R13:R44" si="7">IFERROR((D13*(1+O13+P13)+Q13+(($J$12+$K$12)/$N$62))/(1-L13-(I13*0.007/30)),"")</f>
        <v>208088.59603980358</v>
      </c>
      <c r="S13" s="11">
        <f>IFERROR(VLOOKUP(B13,DATA!$B$12:$D$13,2,0),"")</f>
        <v>0.18</v>
      </c>
      <c r="T13" s="56">
        <f t="shared" si="5"/>
        <v>254000</v>
      </c>
      <c r="U13" s="41">
        <f t="shared" si="6"/>
        <v>10127940</v>
      </c>
      <c r="V13" s="99"/>
    </row>
    <row r="14" spans="1:22" ht="11.65" customHeight="1" x14ac:dyDescent="0.35">
      <c r="A14" s="9"/>
      <c r="B14" s="10" t="s">
        <v>9</v>
      </c>
      <c r="C14" s="9">
        <f>IFERROR(VLOOKUP(B14,DATA!$B$12:$D$13,3,0),0)</f>
        <v>8.9</v>
      </c>
      <c r="D14" s="45">
        <v>130000</v>
      </c>
      <c r="E14" s="28">
        <v>12</v>
      </c>
      <c r="F14" s="28">
        <v>285</v>
      </c>
      <c r="G14" s="28">
        <v>655</v>
      </c>
      <c r="H14" s="22">
        <v>2</v>
      </c>
      <c r="I14" s="22"/>
      <c r="J14" s="45"/>
      <c r="K14" s="22"/>
      <c r="L14" s="12">
        <f t="shared" si="0"/>
        <v>0</v>
      </c>
      <c r="M14" s="41">
        <f t="shared" si="1"/>
        <v>4480200</v>
      </c>
      <c r="N14" s="118">
        <f t="shared" si="2"/>
        <v>39.873780000000004</v>
      </c>
      <c r="O14" s="11">
        <f t="shared" si="3"/>
        <v>0.45252444087317523</v>
      </c>
      <c r="P14" s="12">
        <v>3.5000000000000003E-2</v>
      </c>
      <c r="Q14" s="41">
        <f t="shared" si="4"/>
        <v>14710.418726290809</v>
      </c>
      <c r="R14" s="41">
        <f t="shared" si="7"/>
        <v>208088.59603980358</v>
      </c>
      <c r="S14" s="11">
        <f>IFERROR(VLOOKUP(B14,DATA!$B$12:$D$13,2,0),"")</f>
        <v>0.18</v>
      </c>
      <c r="T14" s="56">
        <f t="shared" si="5"/>
        <v>254000</v>
      </c>
      <c r="U14" s="41">
        <f t="shared" si="6"/>
        <v>10127940</v>
      </c>
      <c r="V14" s="99"/>
    </row>
    <row r="15" spans="1:22" ht="11.65" customHeight="1" x14ac:dyDescent="0.35">
      <c r="A15" s="9"/>
      <c r="B15" s="10"/>
      <c r="C15" s="9">
        <f>IFERROR(VLOOKUP(B15,DATA!$B$12:$D$13,3,0),0)</f>
        <v>0</v>
      </c>
      <c r="D15" s="45"/>
      <c r="E15" s="28"/>
      <c r="F15" s="28"/>
      <c r="G15" s="28"/>
      <c r="H15" s="22"/>
      <c r="I15" s="22"/>
      <c r="J15" s="45"/>
      <c r="K15" s="22"/>
      <c r="L15" s="12" t="str">
        <f t="shared" si="0"/>
        <v/>
      </c>
      <c r="M15" s="41">
        <f t="shared" si="1"/>
        <v>0</v>
      </c>
      <c r="N15" s="118">
        <f t="shared" si="2"/>
        <v>0</v>
      </c>
      <c r="O15" s="11" t="str">
        <f t="shared" si="3"/>
        <v/>
      </c>
      <c r="P15" s="12">
        <v>3.5000000000000003E-2</v>
      </c>
      <c r="Q15" s="41">
        <f t="shared" si="4"/>
        <v>0</v>
      </c>
      <c r="R15" s="41" t="str">
        <f t="shared" si="7"/>
        <v/>
      </c>
      <c r="S15" s="11" t="str">
        <f>IFERROR(VLOOKUP(B15,DATA!$B$12:$D$13,2,0),"")</f>
        <v/>
      </c>
      <c r="T15" s="56" t="str">
        <f t="shared" si="5"/>
        <v/>
      </c>
      <c r="U15" s="41" t="str">
        <f t="shared" si="6"/>
        <v/>
      </c>
      <c r="V15" s="99"/>
    </row>
    <row r="16" spans="1:22" ht="11.65" customHeight="1" x14ac:dyDescent="0.35">
      <c r="A16" s="9"/>
      <c r="B16" s="10"/>
      <c r="C16" s="9">
        <f>IFERROR(VLOOKUP(B16,DATA!$B$12:$D$13,3,0),0)</f>
        <v>0</v>
      </c>
      <c r="D16" s="45"/>
      <c r="E16" s="28"/>
      <c r="F16" s="28"/>
      <c r="G16" s="28"/>
      <c r="H16" s="22"/>
      <c r="I16" s="22"/>
      <c r="J16" s="45"/>
      <c r="K16" s="22"/>
      <c r="L16" s="12" t="str">
        <f t="shared" si="0"/>
        <v/>
      </c>
      <c r="M16" s="41">
        <f t="shared" si="1"/>
        <v>0</v>
      </c>
      <c r="N16" s="118">
        <f t="shared" si="2"/>
        <v>0</v>
      </c>
      <c r="O16" s="11" t="str">
        <f t="shared" si="3"/>
        <v/>
      </c>
      <c r="P16" s="12">
        <v>3.5000000000000003E-2</v>
      </c>
      <c r="Q16" s="41">
        <f t="shared" si="4"/>
        <v>0</v>
      </c>
      <c r="R16" s="41" t="str">
        <f t="shared" si="7"/>
        <v/>
      </c>
      <c r="S16" s="11" t="str">
        <f>IFERROR(VLOOKUP(B16,DATA!$B$12:$D$13,2,0),"")</f>
        <v/>
      </c>
      <c r="T16" s="56" t="str">
        <f t="shared" si="5"/>
        <v/>
      </c>
      <c r="U16" s="41" t="str">
        <f t="shared" si="6"/>
        <v/>
      </c>
      <c r="V16" s="99"/>
    </row>
    <row r="17" spans="1:22" ht="11.65" customHeight="1" x14ac:dyDescent="0.35">
      <c r="A17" s="9"/>
      <c r="B17" s="10"/>
      <c r="C17" s="9">
        <f>IFERROR(VLOOKUP(B17,DATA!$B$12:$D$13,3,0),0)</f>
        <v>0</v>
      </c>
      <c r="D17" s="45"/>
      <c r="E17" s="28"/>
      <c r="F17" s="28"/>
      <c r="G17" s="28"/>
      <c r="H17" s="22"/>
      <c r="I17" s="22"/>
      <c r="J17" s="45"/>
      <c r="K17" s="22"/>
      <c r="L17" s="12" t="str">
        <f t="shared" si="0"/>
        <v/>
      </c>
      <c r="M17" s="41">
        <f t="shared" si="1"/>
        <v>0</v>
      </c>
      <c r="N17" s="118">
        <f t="shared" si="2"/>
        <v>0</v>
      </c>
      <c r="O17" s="11" t="str">
        <f t="shared" si="3"/>
        <v/>
      </c>
      <c r="P17" s="12">
        <v>3.5000000000000003E-2</v>
      </c>
      <c r="Q17" s="41">
        <f t="shared" si="4"/>
        <v>0</v>
      </c>
      <c r="R17" s="41" t="str">
        <f t="shared" si="7"/>
        <v/>
      </c>
      <c r="S17" s="11" t="str">
        <f>IFERROR(VLOOKUP(B17,DATA!$B$12:$D$13,2,0),"")</f>
        <v/>
      </c>
      <c r="T17" s="56" t="str">
        <f t="shared" si="5"/>
        <v/>
      </c>
      <c r="U17" s="41" t="str">
        <f t="shared" si="6"/>
        <v/>
      </c>
      <c r="V17" s="99"/>
    </row>
    <row r="18" spans="1:22" ht="11.65" customHeight="1" x14ac:dyDescent="0.35">
      <c r="A18" s="9"/>
      <c r="B18" s="10"/>
      <c r="C18" s="9">
        <f>IFERROR(VLOOKUP(B18,DATA!$B$12:$D$13,3,0),0)</f>
        <v>0</v>
      </c>
      <c r="D18" s="45"/>
      <c r="E18" s="28"/>
      <c r="F18" s="28"/>
      <c r="G18" s="28"/>
      <c r="H18" s="22"/>
      <c r="I18" s="22"/>
      <c r="J18" s="45"/>
      <c r="K18" s="22"/>
      <c r="L18" s="12" t="str">
        <f t="shared" si="0"/>
        <v/>
      </c>
      <c r="M18" s="41">
        <f t="shared" si="1"/>
        <v>0</v>
      </c>
      <c r="N18" s="118">
        <f t="shared" si="2"/>
        <v>0</v>
      </c>
      <c r="O18" s="11" t="str">
        <f t="shared" si="3"/>
        <v/>
      </c>
      <c r="P18" s="12">
        <v>3.5000000000000003E-2</v>
      </c>
      <c r="Q18" s="41">
        <f t="shared" si="4"/>
        <v>0</v>
      </c>
      <c r="R18" s="41" t="str">
        <f t="shared" si="7"/>
        <v/>
      </c>
      <c r="S18" s="11" t="str">
        <f>IFERROR(VLOOKUP(B18,DATA!$B$12:$D$13,2,0),"")</f>
        <v/>
      </c>
      <c r="T18" s="56" t="str">
        <f t="shared" si="5"/>
        <v/>
      </c>
      <c r="U18" s="41" t="str">
        <f t="shared" si="6"/>
        <v/>
      </c>
      <c r="V18" s="99"/>
    </row>
    <row r="19" spans="1:22" ht="11.65" customHeight="1" x14ac:dyDescent="0.35">
      <c r="A19" s="9"/>
      <c r="B19" s="10"/>
      <c r="C19" s="9">
        <f>IFERROR(VLOOKUP(B19,DATA!$B$12:$D$13,3,0),0)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t="shared" si="0"/>
        <v/>
      </c>
      <c r="M19" s="41">
        <f t="shared" si="1"/>
        <v>0</v>
      </c>
      <c r="N19" s="118">
        <f t="shared" si="2"/>
        <v>0</v>
      </c>
      <c r="O19" s="11" t="str">
        <f t="shared" si="3"/>
        <v/>
      </c>
      <c r="P19" s="12">
        <v>3.5000000000000003E-2</v>
      </c>
      <c r="Q19" s="41">
        <f t="shared" si="4"/>
        <v>0</v>
      </c>
      <c r="R19" s="41" t="str">
        <f t="shared" si="7"/>
        <v/>
      </c>
      <c r="S19" s="11" t="str">
        <f>IFERROR(VLOOKUP(B19,DATA!$B$12:$D$13,2,0),"")</f>
        <v/>
      </c>
      <c r="T19" s="56" t="str">
        <f t="shared" si="5"/>
        <v/>
      </c>
      <c r="U19" s="41" t="str">
        <f t="shared" si="6"/>
        <v/>
      </c>
    </row>
    <row r="20" spans="1:22" ht="11.65" customHeight="1" x14ac:dyDescent="0.35">
      <c r="A20" s="9"/>
      <c r="B20" s="10"/>
      <c r="C20" s="9">
        <f>IFERROR(VLOOKUP(B20,DATA!$B$12:$D$13,3,0),0)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t="shared" si="0"/>
        <v/>
      </c>
      <c r="M20" s="41">
        <f t="shared" si="1"/>
        <v>0</v>
      </c>
      <c r="N20" s="118">
        <f t="shared" si="2"/>
        <v>0</v>
      </c>
      <c r="O20" s="11" t="str">
        <f t="shared" si="3"/>
        <v/>
      </c>
      <c r="P20" s="12">
        <v>3.5000000000000003E-2</v>
      </c>
      <c r="Q20" s="41">
        <f t="shared" si="4"/>
        <v>0</v>
      </c>
      <c r="R20" s="41" t="str">
        <f t="shared" si="7"/>
        <v/>
      </c>
      <c r="S20" s="11" t="str">
        <f>IFERROR(VLOOKUP(B20,DATA!$B$12:$D$13,2,0),"")</f>
        <v/>
      </c>
      <c r="T20" s="56" t="str">
        <f t="shared" si="5"/>
        <v/>
      </c>
      <c r="U20" s="41" t="str">
        <f t="shared" si="6"/>
        <v/>
      </c>
    </row>
    <row r="21" spans="1:22" ht="11.65" customHeight="1" x14ac:dyDescent="0.35">
      <c r="A21" s="9"/>
      <c r="B21" s="10"/>
      <c r="C21" s="9">
        <f>IFERROR(VLOOKUP(B21,DATA!$B$12:$D$13,3,0),0)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t="shared" si="0"/>
        <v/>
      </c>
      <c r="M21" s="41">
        <f t="shared" si="1"/>
        <v>0</v>
      </c>
      <c r="N21" s="118">
        <f t="shared" si="2"/>
        <v>0</v>
      </c>
      <c r="O21" s="11" t="str">
        <f t="shared" si="3"/>
        <v/>
      </c>
      <c r="P21" s="12">
        <v>3.5000000000000003E-2</v>
      </c>
      <c r="Q21" s="41">
        <f t="shared" si="4"/>
        <v>0</v>
      </c>
      <c r="R21" s="41" t="str">
        <f t="shared" si="7"/>
        <v/>
      </c>
      <c r="S21" s="11" t="str">
        <f>IFERROR(VLOOKUP(B21,DATA!$B$12:$D$13,2,0),"")</f>
        <v/>
      </c>
      <c r="T21" s="56" t="str">
        <f t="shared" si="5"/>
        <v/>
      </c>
      <c r="U21" s="41" t="str">
        <f t="shared" si="6"/>
        <v/>
      </c>
    </row>
    <row r="22" spans="1:22" ht="11.65" customHeight="1" x14ac:dyDescent="0.35">
      <c r="A22" s="9"/>
      <c r="B22" s="10"/>
      <c r="C22" s="9">
        <f>IFERROR(VLOOKUP(B22,DATA!$B$12:$D$13,3,0),0)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t="shared" si="0"/>
        <v/>
      </c>
      <c r="M22" s="41">
        <f t="shared" si="1"/>
        <v>0</v>
      </c>
      <c r="N22" s="118">
        <f t="shared" si="2"/>
        <v>0</v>
      </c>
      <c r="O22" s="11" t="str">
        <f t="shared" si="3"/>
        <v/>
      </c>
      <c r="P22" s="12">
        <v>3.5000000000000003E-2</v>
      </c>
      <c r="Q22" s="41">
        <f t="shared" si="4"/>
        <v>0</v>
      </c>
      <c r="R22" s="41" t="str">
        <f t="shared" si="7"/>
        <v/>
      </c>
      <c r="S22" s="11" t="str">
        <f>IFERROR(VLOOKUP(B22,DATA!$B$12:$D$13,2,0),"")</f>
        <v/>
      </c>
      <c r="T22" s="56" t="str">
        <f t="shared" si="5"/>
        <v/>
      </c>
      <c r="U22" s="41" t="str">
        <f t="shared" si="6"/>
        <v/>
      </c>
    </row>
    <row r="23" spans="1:22" ht="11.65" customHeight="1" x14ac:dyDescent="0.35">
      <c r="A23" s="9"/>
      <c r="B23" s="10"/>
      <c r="C23" s="9">
        <f>IFERROR(VLOOKUP(B23,DATA!$B$12:$D$13,3,0),0)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t="shared" si="0"/>
        <v/>
      </c>
      <c r="M23" s="41">
        <f t="shared" si="1"/>
        <v>0</v>
      </c>
      <c r="N23" s="118">
        <f t="shared" si="2"/>
        <v>0</v>
      </c>
      <c r="O23" s="11" t="str">
        <f t="shared" si="3"/>
        <v/>
      </c>
      <c r="P23" s="12">
        <v>3.5000000000000003E-2</v>
      </c>
      <c r="Q23" s="41">
        <f t="shared" si="4"/>
        <v>0</v>
      </c>
      <c r="R23" s="41" t="str">
        <f t="shared" si="7"/>
        <v/>
      </c>
      <c r="S23" s="11" t="str">
        <f>IFERROR(VLOOKUP(B23,DATA!$B$12:$D$13,2,0),"")</f>
        <v/>
      </c>
      <c r="T23" s="56" t="str">
        <f t="shared" si="5"/>
        <v/>
      </c>
      <c r="U23" s="41" t="str">
        <f t="shared" si="6"/>
        <v/>
      </c>
    </row>
    <row r="24" spans="1:22" ht="11.65" customHeight="1" x14ac:dyDescent="0.35">
      <c r="A24" s="9"/>
      <c r="B24" s="10"/>
      <c r="C24" s="9">
        <f>IFERROR(VLOOKUP(B24,DATA!$B$12:$D$13,3,0),0)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t="shared" si="0"/>
        <v/>
      </c>
      <c r="M24" s="41">
        <f t="shared" si="1"/>
        <v>0</v>
      </c>
      <c r="N24" s="118">
        <f t="shared" si="2"/>
        <v>0</v>
      </c>
      <c r="O24" s="11" t="str">
        <f t="shared" si="3"/>
        <v/>
      </c>
      <c r="P24" s="12">
        <v>3.5000000000000003E-2</v>
      </c>
      <c r="Q24" s="41">
        <f t="shared" si="4"/>
        <v>0</v>
      </c>
      <c r="R24" s="41" t="str">
        <f t="shared" si="7"/>
        <v/>
      </c>
      <c r="S24" s="11" t="str">
        <f>IFERROR(VLOOKUP(B24,DATA!$B$12:$D$13,2,0),"")</f>
        <v/>
      </c>
      <c r="T24" s="56" t="str">
        <f t="shared" si="5"/>
        <v/>
      </c>
      <c r="U24" s="41" t="str">
        <f t="shared" si="6"/>
        <v/>
      </c>
    </row>
    <row r="25" spans="1:22" ht="11.65" customHeight="1" x14ac:dyDescent="0.35">
      <c r="A25" s="9"/>
      <c r="B25" s="10"/>
      <c r="C25" s="9">
        <f>IFERROR(VLOOKUP(B25,DATA!$B$12:$D$13,3,0),0)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t="shared" si="0"/>
        <v/>
      </c>
      <c r="M25" s="41">
        <f t="shared" si="1"/>
        <v>0</v>
      </c>
      <c r="N25" s="118">
        <f t="shared" si="2"/>
        <v>0</v>
      </c>
      <c r="O25" s="11" t="str">
        <f t="shared" si="3"/>
        <v/>
      </c>
      <c r="P25" s="12">
        <v>3.5000000000000003E-2</v>
      </c>
      <c r="Q25" s="41">
        <f t="shared" si="4"/>
        <v>0</v>
      </c>
      <c r="R25" s="41" t="str">
        <f t="shared" si="7"/>
        <v/>
      </c>
      <c r="S25" s="11" t="str">
        <f>IFERROR(VLOOKUP(B25,DATA!$B$12:$D$13,2,0),"")</f>
        <v/>
      </c>
      <c r="T25" s="56" t="str">
        <f t="shared" si="5"/>
        <v/>
      </c>
      <c r="U25" s="41" t="str">
        <f t="shared" si="6"/>
        <v/>
      </c>
    </row>
    <row r="26" spans="1:22" ht="11.65" customHeight="1" x14ac:dyDescent="0.35">
      <c r="A26" s="9"/>
      <c r="B26" s="10"/>
      <c r="C26" s="9">
        <f>IFERROR(VLOOKUP(B26,DATA!$B$12:$D$13,3,0),0)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t="shared" si="0"/>
        <v/>
      </c>
      <c r="M26" s="41">
        <f t="shared" si="1"/>
        <v>0</v>
      </c>
      <c r="N26" s="118">
        <f t="shared" si="2"/>
        <v>0</v>
      </c>
      <c r="O26" s="11" t="str">
        <f t="shared" si="3"/>
        <v/>
      </c>
      <c r="P26" s="12">
        <v>3.5000000000000003E-2</v>
      </c>
      <c r="Q26" s="41">
        <f t="shared" si="4"/>
        <v>0</v>
      </c>
      <c r="R26" s="41" t="str">
        <f t="shared" si="7"/>
        <v/>
      </c>
      <c r="S26" s="11" t="str">
        <f>IFERROR(VLOOKUP(B26,DATA!$B$12:$D$13,2,0),"")</f>
        <v/>
      </c>
      <c r="T26" s="56" t="str">
        <f t="shared" si="5"/>
        <v/>
      </c>
      <c r="U26" s="41" t="str">
        <f t="shared" si="6"/>
        <v/>
      </c>
    </row>
    <row r="27" spans="1:22" ht="11.65" customHeight="1" x14ac:dyDescent="0.35">
      <c r="A27" s="9"/>
      <c r="B27" s="10"/>
      <c r="C27" s="9">
        <f>IFERROR(VLOOKUP(B27,DATA!$B$12:$D$13,3,0),0)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t="shared" si="0"/>
        <v/>
      </c>
      <c r="M27" s="41">
        <f t="shared" si="1"/>
        <v>0</v>
      </c>
      <c r="N27" s="118">
        <f t="shared" si="2"/>
        <v>0</v>
      </c>
      <c r="O27" s="11" t="str">
        <f t="shared" si="3"/>
        <v/>
      </c>
      <c r="P27" s="12">
        <v>3.5000000000000003E-2</v>
      </c>
      <c r="Q27" s="41">
        <f t="shared" si="4"/>
        <v>0</v>
      </c>
      <c r="R27" s="41" t="str">
        <f t="shared" si="7"/>
        <v/>
      </c>
      <c r="S27" s="11" t="str">
        <f>IFERROR(VLOOKUP(B27,DATA!$B$12:$D$13,2,0),"")</f>
        <v/>
      </c>
      <c r="T27" s="56" t="str">
        <f t="shared" si="5"/>
        <v/>
      </c>
      <c r="U27" s="41" t="str">
        <f t="shared" si="6"/>
        <v/>
      </c>
    </row>
    <row r="28" spans="1:22" ht="11.65" customHeight="1" x14ac:dyDescent="0.35">
      <c r="A28" s="9"/>
      <c r="B28" s="10"/>
      <c r="C28" s="9">
        <f>IFERROR(VLOOKUP(B28,DATA!$B$12:$D$13,3,0),0)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t="shared" si="0"/>
        <v/>
      </c>
      <c r="M28" s="41">
        <f t="shared" si="1"/>
        <v>0</v>
      </c>
      <c r="N28" s="118">
        <f t="shared" si="2"/>
        <v>0</v>
      </c>
      <c r="O28" s="11" t="str">
        <f t="shared" si="3"/>
        <v/>
      </c>
      <c r="P28" s="12">
        <v>3.5000000000000003E-2</v>
      </c>
      <c r="Q28" s="41">
        <f t="shared" si="4"/>
        <v>0</v>
      </c>
      <c r="R28" s="41" t="str">
        <f t="shared" si="7"/>
        <v/>
      </c>
      <c r="S28" s="11" t="str">
        <f>IFERROR(VLOOKUP(B28,DATA!$B$12:$D$13,2,0),"")</f>
        <v/>
      </c>
      <c r="T28" s="56" t="str">
        <f t="shared" si="5"/>
        <v/>
      </c>
      <c r="U28" s="41" t="str">
        <f t="shared" si="6"/>
        <v/>
      </c>
    </row>
    <row r="29" spans="1:22" ht="11.65" customHeight="1" x14ac:dyDescent="0.35">
      <c r="A29" s="9"/>
      <c r="B29" s="10"/>
      <c r="C29" s="9">
        <f>IFERROR(VLOOKUP(B29,DATA!$B$12:$D$13,3,0),0)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t="shared" si="0"/>
        <v/>
      </c>
      <c r="M29" s="41">
        <f t="shared" si="1"/>
        <v>0</v>
      </c>
      <c r="N29" s="118">
        <f t="shared" si="2"/>
        <v>0</v>
      </c>
      <c r="O29" s="11" t="str">
        <f t="shared" si="3"/>
        <v/>
      </c>
      <c r="P29" s="12">
        <v>3.5000000000000003E-2</v>
      </c>
      <c r="Q29" s="41">
        <f t="shared" si="4"/>
        <v>0</v>
      </c>
      <c r="R29" s="41" t="str">
        <f t="shared" si="7"/>
        <v/>
      </c>
      <c r="S29" s="11" t="str">
        <f>IFERROR(VLOOKUP(B29,DATA!$B$12:$D$13,2,0),"")</f>
        <v/>
      </c>
      <c r="T29" s="56" t="str">
        <f t="shared" si="5"/>
        <v/>
      </c>
      <c r="U29" s="41" t="str">
        <f t="shared" si="6"/>
        <v/>
      </c>
    </row>
    <row r="30" spans="1:22" ht="11.65" customHeight="1" x14ac:dyDescent="0.35">
      <c r="A30" s="9"/>
      <c r="B30" s="10"/>
      <c r="C30" s="9">
        <f>IFERROR(VLOOKUP(B30,DATA!$B$12:$D$13,3,0),0)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t="shared" si="0"/>
        <v/>
      </c>
      <c r="M30" s="41">
        <f t="shared" si="1"/>
        <v>0</v>
      </c>
      <c r="N30" s="118">
        <f t="shared" si="2"/>
        <v>0</v>
      </c>
      <c r="O30" s="11" t="str">
        <f t="shared" si="3"/>
        <v/>
      </c>
      <c r="P30" s="12">
        <v>3.5000000000000003E-2</v>
      </c>
      <c r="Q30" s="41">
        <f t="shared" si="4"/>
        <v>0</v>
      </c>
      <c r="R30" s="41" t="str">
        <f t="shared" si="7"/>
        <v/>
      </c>
      <c r="S30" s="11" t="str">
        <f>IFERROR(VLOOKUP(B30,DATA!$B$12:$D$13,2,0),"")</f>
        <v/>
      </c>
      <c r="T30" s="56" t="str">
        <f t="shared" si="5"/>
        <v/>
      </c>
      <c r="U30" s="41" t="str">
        <f t="shared" si="6"/>
        <v/>
      </c>
    </row>
    <row r="31" spans="1:22" ht="11.65" customHeight="1" x14ac:dyDescent="0.35">
      <c r="A31" s="9"/>
      <c r="B31" s="10"/>
      <c r="C31" s="9">
        <f>IFERROR(VLOOKUP(B31,DATA!$B$12:$D$13,3,0),0)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t="shared" si="0"/>
        <v/>
      </c>
      <c r="M31" s="41">
        <f t="shared" si="1"/>
        <v>0</v>
      </c>
      <c r="N31" s="118">
        <f t="shared" si="2"/>
        <v>0</v>
      </c>
      <c r="O31" s="11" t="str">
        <f t="shared" si="3"/>
        <v/>
      </c>
      <c r="P31" s="12">
        <v>3.5000000000000003E-2</v>
      </c>
      <c r="Q31" s="41">
        <f t="shared" si="4"/>
        <v>0</v>
      </c>
      <c r="R31" s="41" t="str">
        <f t="shared" si="7"/>
        <v/>
      </c>
      <c r="S31" s="11" t="str">
        <f>IFERROR(VLOOKUP(B31,DATA!$B$12:$D$13,2,0),"")</f>
        <v/>
      </c>
      <c r="T31" s="56" t="str">
        <f t="shared" si="5"/>
        <v/>
      </c>
      <c r="U31" s="41" t="str">
        <f t="shared" si="6"/>
        <v/>
      </c>
    </row>
    <row r="32" spans="1:22" ht="11.65" customHeight="1" x14ac:dyDescent="0.35">
      <c r="A32" s="9"/>
      <c r="B32" s="10"/>
      <c r="C32" s="9">
        <f>IFERROR(VLOOKUP(B32,DATA!$B$12:$D$13,3,0),0)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t="shared" si="0"/>
        <v/>
      </c>
      <c r="M32" s="41">
        <f t="shared" si="1"/>
        <v>0</v>
      </c>
      <c r="N32" s="118">
        <f t="shared" si="2"/>
        <v>0</v>
      </c>
      <c r="O32" s="11" t="str">
        <f t="shared" si="3"/>
        <v/>
      </c>
      <c r="P32" s="12">
        <v>3.5000000000000003E-2</v>
      </c>
      <c r="Q32" s="41">
        <f t="shared" si="4"/>
        <v>0</v>
      </c>
      <c r="R32" s="41" t="str">
        <f t="shared" si="7"/>
        <v/>
      </c>
      <c r="S32" s="11" t="str">
        <f>IFERROR(VLOOKUP(B32,DATA!$B$12:$D$13,2,0),"")</f>
        <v/>
      </c>
      <c r="T32" s="56" t="str">
        <f t="shared" si="5"/>
        <v/>
      </c>
      <c r="U32" s="41" t="str">
        <f t="shared" si="6"/>
        <v/>
      </c>
    </row>
    <row r="33" spans="1:21" ht="11.65" customHeight="1" x14ac:dyDescent="0.35">
      <c r="A33" s="9"/>
      <c r="B33" s="10"/>
      <c r="C33" s="9">
        <f>IFERROR(VLOOKUP(B33,DATA!$B$12:$D$13,3,0),0)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t="shared" si="0"/>
        <v/>
      </c>
      <c r="M33" s="41">
        <f t="shared" si="1"/>
        <v>0</v>
      </c>
      <c r="N33" s="118">
        <f t="shared" si="2"/>
        <v>0</v>
      </c>
      <c r="O33" s="11" t="str">
        <f t="shared" si="3"/>
        <v/>
      </c>
      <c r="P33" s="12">
        <v>3.5000000000000003E-2</v>
      </c>
      <c r="Q33" s="41">
        <f t="shared" si="4"/>
        <v>0</v>
      </c>
      <c r="R33" s="41" t="str">
        <f t="shared" si="7"/>
        <v/>
      </c>
      <c r="S33" s="11" t="str">
        <f>IFERROR(VLOOKUP(B33,DATA!$B$12:$D$13,2,0),"")</f>
        <v/>
      </c>
      <c r="T33" s="56" t="str">
        <f t="shared" si="5"/>
        <v/>
      </c>
      <c r="U33" s="41" t="str">
        <f t="shared" si="6"/>
        <v/>
      </c>
    </row>
    <row r="34" spans="1:21" ht="11.65" customHeight="1" x14ac:dyDescent="0.35">
      <c r="A34" s="9"/>
      <c r="B34" s="10"/>
      <c r="C34" s="9">
        <f>IFERROR(VLOOKUP(B34,DATA!$B$12:$D$13,3,0),0)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t="shared" si="0"/>
        <v/>
      </c>
      <c r="M34" s="41">
        <f t="shared" si="1"/>
        <v>0</v>
      </c>
      <c r="N34" s="118">
        <f t="shared" si="2"/>
        <v>0</v>
      </c>
      <c r="O34" s="11" t="str">
        <f t="shared" si="3"/>
        <v/>
      </c>
      <c r="P34" s="12">
        <v>3.5000000000000003E-2</v>
      </c>
      <c r="Q34" s="41">
        <f t="shared" si="4"/>
        <v>0</v>
      </c>
      <c r="R34" s="41" t="str">
        <f t="shared" si="7"/>
        <v/>
      </c>
      <c r="S34" s="11" t="str">
        <f>IFERROR(VLOOKUP(B34,DATA!$B$12:$D$13,2,0),"")</f>
        <v/>
      </c>
      <c r="T34" s="56" t="str">
        <f t="shared" si="5"/>
        <v/>
      </c>
      <c r="U34" s="41" t="str">
        <f t="shared" si="6"/>
        <v/>
      </c>
    </row>
    <row r="35" spans="1:21" ht="11.65" customHeight="1" x14ac:dyDescent="0.35">
      <c r="A35" s="9"/>
      <c r="B35" s="10"/>
      <c r="C35" s="9">
        <f>IFERROR(VLOOKUP(B35,DATA!$B$12:$D$13,3,0),0)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t="shared" si="0"/>
        <v/>
      </c>
      <c r="M35" s="41">
        <f t="shared" si="1"/>
        <v>0</v>
      </c>
      <c r="N35" s="118">
        <f t="shared" si="2"/>
        <v>0</v>
      </c>
      <c r="O35" s="11" t="str">
        <f t="shared" si="3"/>
        <v/>
      </c>
      <c r="P35" s="12">
        <v>3.5000000000000003E-2</v>
      </c>
      <c r="Q35" s="41">
        <f t="shared" si="4"/>
        <v>0</v>
      </c>
      <c r="R35" s="41" t="str">
        <f t="shared" si="7"/>
        <v/>
      </c>
      <c r="S35" s="11" t="str">
        <f>IFERROR(VLOOKUP(B35,DATA!$B$12:$D$13,2,0),"")</f>
        <v/>
      </c>
      <c r="T35" s="56" t="str">
        <f t="shared" si="5"/>
        <v/>
      </c>
      <c r="U35" s="41" t="str">
        <f t="shared" si="6"/>
        <v/>
      </c>
    </row>
    <row r="36" spans="1:21" ht="11.65" customHeight="1" x14ac:dyDescent="0.35">
      <c r="A36" s="9"/>
      <c r="B36" s="10"/>
      <c r="C36" s="9">
        <f>IFERROR(VLOOKUP(B36,DATA!$B$12:$D$13,3,0),0)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t="shared" si="0"/>
        <v/>
      </c>
      <c r="M36" s="41">
        <f t="shared" si="1"/>
        <v>0</v>
      </c>
      <c r="N36" s="118">
        <f t="shared" si="2"/>
        <v>0</v>
      </c>
      <c r="O36" s="11" t="str">
        <f t="shared" si="3"/>
        <v/>
      </c>
      <c r="P36" s="12">
        <v>3.5000000000000003E-2</v>
      </c>
      <c r="Q36" s="41">
        <f t="shared" si="4"/>
        <v>0</v>
      </c>
      <c r="R36" s="41" t="str">
        <f t="shared" si="7"/>
        <v/>
      </c>
      <c r="S36" s="11" t="str">
        <f>IFERROR(VLOOKUP(B36,DATA!$B$12:$D$13,2,0),"")</f>
        <v/>
      </c>
      <c r="T36" s="56" t="str">
        <f t="shared" si="5"/>
        <v/>
      </c>
      <c r="U36" s="41" t="str">
        <f t="shared" si="6"/>
        <v/>
      </c>
    </row>
    <row r="37" spans="1:21" ht="11.65" customHeight="1" x14ac:dyDescent="0.35">
      <c r="A37" s="9"/>
      <c r="B37" s="10"/>
      <c r="C37" s="9">
        <f>IFERROR(VLOOKUP(B37,DATA!$B$12:$D$13,3,0),0)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t="shared" si="0"/>
        <v/>
      </c>
      <c r="M37" s="41">
        <f t="shared" si="1"/>
        <v>0</v>
      </c>
      <c r="N37" s="118">
        <f t="shared" si="2"/>
        <v>0</v>
      </c>
      <c r="O37" s="11" t="str">
        <f t="shared" si="3"/>
        <v/>
      </c>
      <c r="P37" s="12">
        <v>3.5000000000000003E-2</v>
      </c>
      <c r="Q37" s="41">
        <f t="shared" si="4"/>
        <v>0</v>
      </c>
      <c r="R37" s="41" t="str">
        <f t="shared" si="7"/>
        <v/>
      </c>
      <c r="S37" s="11" t="str">
        <f>IFERROR(VLOOKUP(B37,DATA!$B$12:$D$13,2,0),"")</f>
        <v/>
      </c>
      <c r="T37" s="56" t="str">
        <f t="shared" si="5"/>
        <v/>
      </c>
      <c r="U37" s="41" t="str">
        <f t="shared" si="6"/>
        <v/>
      </c>
    </row>
    <row r="38" spans="1:21" ht="11.65" customHeight="1" x14ac:dyDescent="0.35">
      <c r="A38" s="9"/>
      <c r="B38" s="10"/>
      <c r="C38" s="9">
        <f>IFERROR(VLOOKUP(B38,DATA!$B$12:$D$13,3,0),0)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t="shared" si="0"/>
        <v/>
      </c>
      <c r="M38" s="41">
        <f t="shared" si="1"/>
        <v>0</v>
      </c>
      <c r="N38" s="118">
        <f t="shared" si="2"/>
        <v>0</v>
      </c>
      <c r="O38" s="11" t="str">
        <f t="shared" si="3"/>
        <v/>
      </c>
      <c r="P38" s="12">
        <v>3.5000000000000003E-2</v>
      </c>
      <c r="Q38" s="41">
        <f t="shared" si="4"/>
        <v>0</v>
      </c>
      <c r="R38" s="41" t="str">
        <f t="shared" si="7"/>
        <v/>
      </c>
      <c r="S38" s="11" t="str">
        <f>IFERROR(VLOOKUP(B38,DATA!$B$12:$D$13,2,0),"")</f>
        <v/>
      </c>
      <c r="T38" s="56" t="str">
        <f t="shared" si="5"/>
        <v/>
      </c>
      <c r="U38" s="41" t="str">
        <f t="shared" si="6"/>
        <v/>
      </c>
    </row>
    <row r="39" spans="1:21" ht="11.65" customHeight="1" x14ac:dyDescent="0.35">
      <c r="A39" s="9"/>
      <c r="B39" s="10"/>
      <c r="C39" s="9">
        <f>IFERROR(VLOOKUP(B39,DATA!$B$12:$D$13,3,0),0)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t="shared" si="0"/>
        <v/>
      </c>
      <c r="M39" s="41">
        <f t="shared" si="1"/>
        <v>0</v>
      </c>
      <c r="N39" s="118">
        <f t="shared" si="2"/>
        <v>0</v>
      </c>
      <c r="O39" s="11" t="str">
        <f t="shared" si="3"/>
        <v/>
      </c>
      <c r="P39" s="12">
        <v>3.5000000000000003E-2</v>
      </c>
      <c r="Q39" s="41">
        <f t="shared" si="4"/>
        <v>0</v>
      </c>
      <c r="R39" s="41" t="str">
        <f t="shared" si="7"/>
        <v/>
      </c>
      <c r="S39" s="11" t="str">
        <f>IFERROR(VLOOKUP(B39,DATA!$B$12:$D$13,2,0),"")</f>
        <v/>
      </c>
      <c r="T39" s="56" t="str">
        <f t="shared" si="5"/>
        <v/>
      </c>
      <c r="U39" s="41" t="str">
        <f t="shared" si="6"/>
        <v/>
      </c>
    </row>
    <row r="40" spans="1:21" ht="11.65" customHeight="1" x14ac:dyDescent="0.35">
      <c r="A40" s="9"/>
      <c r="B40" s="10"/>
      <c r="C40" s="9">
        <f>IFERROR(VLOOKUP(B40,DATA!$B$12:$D$13,3,0),0)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t="shared" si="0"/>
        <v/>
      </c>
      <c r="M40" s="41">
        <f t="shared" si="1"/>
        <v>0</v>
      </c>
      <c r="N40" s="118">
        <f t="shared" si="2"/>
        <v>0</v>
      </c>
      <c r="O40" s="11" t="str">
        <f t="shared" si="3"/>
        <v/>
      </c>
      <c r="P40" s="12">
        <v>3.5000000000000003E-2</v>
      </c>
      <c r="Q40" s="41">
        <f t="shared" si="4"/>
        <v>0</v>
      </c>
      <c r="R40" s="41" t="str">
        <f t="shared" si="7"/>
        <v/>
      </c>
      <c r="S40" s="11" t="str">
        <f>IFERROR(VLOOKUP(B40,DATA!$B$12:$D$13,2,0),"")</f>
        <v/>
      </c>
      <c r="T40" s="56" t="str">
        <f t="shared" si="5"/>
        <v/>
      </c>
      <c r="U40" s="41" t="str">
        <f t="shared" si="6"/>
        <v/>
      </c>
    </row>
    <row r="41" spans="1:21" ht="11.65" customHeight="1" x14ac:dyDescent="0.35">
      <c r="A41" s="9"/>
      <c r="B41" s="10"/>
      <c r="C41" s="9">
        <f>IFERROR(VLOOKUP(B41,DATA!$B$12:$D$13,3,0),0)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t="shared" si="0"/>
        <v/>
      </c>
      <c r="M41" s="41">
        <f t="shared" si="1"/>
        <v>0</v>
      </c>
      <c r="N41" s="118">
        <f t="shared" si="2"/>
        <v>0</v>
      </c>
      <c r="O41" s="11" t="str">
        <f t="shared" si="3"/>
        <v/>
      </c>
      <c r="P41" s="12">
        <v>3.5000000000000003E-2</v>
      </c>
      <c r="Q41" s="41">
        <f t="shared" si="4"/>
        <v>0</v>
      </c>
      <c r="R41" s="41" t="str">
        <f t="shared" si="7"/>
        <v/>
      </c>
      <c r="S41" s="11" t="str">
        <f>IFERROR(VLOOKUP(B41,DATA!$B$12:$D$13,2,0),"")</f>
        <v/>
      </c>
      <c r="T41" s="56" t="str">
        <f t="shared" si="5"/>
        <v/>
      </c>
      <c r="U41" s="41" t="str">
        <f t="shared" si="6"/>
        <v/>
      </c>
    </row>
    <row r="42" spans="1:21" ht="11.65" customHeight="1" x14ac:dyDescent="0.35">
      <c r="A42" s="9"/>
      <c r="B42" s="10"/>
      <c r="C42" s="9">
        <f>IFERROR(VLOOKUP(B42,DATA!$B$12:$D$13,3,0),0)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t="shared" si="0"/>
        <v/>
      </c>
      <c r="M42" s="41">
        <f t="shared" si="1"/>
        <v>0</v>
      </c>
      <c r="N42" s="118">
        <f t="shared" si="2"/>
        <v>0</v>
      </c>
      <c r="O42" s="11" t="str">
        <f t="shared" si="3"/>
        <v/>
      </c>
      <c r="P42" s="12">
        <v>3.5000000000000003E-2</v>
      </c>
      <c r="Q42" s="41">
        <f t="shared" si="4"/>
        <v>0</v>
      </c>
      <c r="R42" s="41" t="str">
        <f t="shared" si="7"/>
        <v/>
      </c>
      <c r="S42" s="11" t="str">
        <f>IFERROR(VLOOKUP(B42,DATA!$B$12:$D$13,2,0),"")</f>
        <v/>
      </c>
      <c r="T42" s="56" t="str">
        <f t="shared" si="5"/>
        <v/>
      </c>
      <c r="U42" s="41" t="str">
        <f t="shared" si="6"/>
        <v/>
      </c>
    </row>
    <row r="43" spans="1:21" ht="11.65" customHeight="1" x14ac:dyDescent="0.35">
      <c r="A43" s="9"/>
      <c r="B43" s="10"/>
      <c r="C43" s="9">
        <f>IFERROR(VLOOKUP(B43,DATA!$B$12:$D$13,3,0),0)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t="shared" si="0"/>
        <v/>
      </c>
      <c r="M43" s="41">
        <f t="shared" si="1"/>
        <v>0</v>
      </c>
      <c r="N43" s="118">
        <f t="shared" si="2"/>
        <v>0</v>
      </c>
      <c r="O43" s="11" t="str">
        <f t="shared" si="3"/>
        <v/>
      </c>
      <c r="P43" s="12">
        <v>3.5000000000000003E-2</v>
      </c>
      <c r="Q43" s="41">
        <f t="shared" si="4"/>
        <v>0</v>
      </c>
      <c r="R43" s="41" t="str">
        <f t="shared" si="7"/>
        <v/>
      </c>
      <c r="S43" s="11" t="str">
        <f>IFERROR(VLOOKUP(B43,DATA!$B$12:$D$13,2,0),"")</f>
        <v/>
      </c>
      <c r="T43" s="56" t="str">
        <f t="shared" si="5"/>
        <v/>
      </c>
      <c r="U43" s="41" t="str">
        <f t="shared" si="6"/>
        <v/>
      </c>
    </row>
    <row r="44" spans="1:21" ht="11.65" customHeight="1" x14ac:dyDescent="0.35">
      <c r="A44" s="9"/>
      <c r="B44" s="10"/>
      <c r="C44" s="9">
        <f>IFERROR(VLOOKUP(B44,DATA!$B$12:$D$13,3,0),0)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t="shared" ref="L44:L61" si="8">IFERROR(IF(AND(OR(LEFT(B44,FIND(" ",B44,1)-1)="Đồng",LEFT(B44,FIND(" ",B44,1)-1)="Nhôm"),E44&gt;(F44/10)),5%,0),"")</f>
        <v/>
      </c>
      <c r="M44" s="41">
        <f t="shared" ref="M44:M61" si="9">E44*F44*G44*H44</f>
        <v>0</v>
      </c>
      <c r="N44" s="118">
        <f t="shared" ref="N44:N61" si="10">IFERROR((E44*F44*G44*H44/10^6),0)*C44</f>
        <v>0</v>
      </c>
      <c r="O44" s="11" t="str">
        <f t="shared" ref="O44:O61" si="11">IFERROR(((E44+5)*(F44+5)*(G44+5))/(E44*F44*G44)-1,"")</f>
        <v/>
      </c>
      <c r="P44" s="12">
        <v>3.5000000000000003E-2</v>
      </c>
      <c r="Q44" s="41">
        <f t="shared" ref="Q44:Q61" si="12">IFERROR(IF(H44&gt;50,E44*(H44*G44+(H44+2)*F44),IF(H44&gt;10,E44*(2*H44*G44+(H44+1)*F44),2*H44*E44*(F44+G44)))*13/N44,0)</f>
        <v>0</v>
      </c>
      <c r="R44" s="41" t="str">
        <f t="shared" si="7"/>
        <v/>
      </c>
      <c r="S44" s="11" t="str">
        <f>IFERROR(VLOOKUP(B44,DATA!$B$12:$D$13,2,0),"")</f>
        <v/>
      </c>
      <c r="T44" s="56" t="str">
        <f t="shared" ref="T44:T61" si="13">IFERROR(ROUND((R44/(1-S44)+($J$12+$K$12)/$N$62)/(1-L44),-3),"")</f>
        <v/>
      </c>
      <c r="U44" s="41" t="str">
        <f t="shared" ref="U44:U61" si="14">IFERROR(ROUND(T44*N44,0),"")</f>
        <v/>
      </c>
    </row>
    <row r="45" spans="1:21" ht="11.65" customHeight="1" x14ac:dyDescent="0.35">
      <c r="A45" s="9"/>
      <c r="B45" s="10"/>
      <c r="C45" s="9">
        <f>IFERROR(VLOOKUP(B45,DATA!$B$12:$D$13,3,0),0)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t="shared" si="8"/>
        <v/>
      </c>
      <c r="M45" s="41">
        <f t="shared" si="9"/>
        <v>0</v>
      </c>
      <c r="N45" s="118">
        <f t="shared" si="10"/>
        <v>0</v>
      </c>
      <c r="O45" s="11" t="str">
        <f t="shared" si="11"/>
        <v/>
      </c>
      <c r="P45" s="12">
        <v>3.5000000000000003E-2</v>
      </c>
      <c r="Q45" s="41">
        <f t="shared" si="12"/>
        <v>0</v>
      </c>
      <c r="R45" s="41" t="str">
        <f t="shared" ref="R45:R61" si="15">IFERROR((D45*(1+O45+P45)+Q45+(($J$12+$K$12)/$N$62))/(1-L45-(I45*0.007/30)),"")</f>
        <v/>
      </c>
      <c r="S45" s="11" t="str">
        <f>IFERROR(VLOOKUP(B45,DATA!$B$12:$D$13,2,0),"")</f>
        <v/>
      </c>
      <c r="T45" s="56" t="str">
        <f t="shared" si="13"/>
        <v/>
      </c>
      <c r="U45" s="41" t="str">
        <f t="shared" si="14"/>
        <v/>
      </c>
    </row>
    <row r="46" spans="1:21" ht="11.65" customHeight="1" x14ac:dyDescent="0.35">
      <c r="A46" s="9"/>
      <c r="B46" s="10"/>
      <c r="C46" s="9">
        <f>IFERROR(VLOOKUP(B46,DATA!$B$12:$D$13,3,0),0)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t="shared" si="8"/>
        <v/>
      </c>
      <c r="M46" s="41">
        <f t="shared" si="9"/>
        <v>0</v>
      </c>
      <c r="N46" s="118">
        <f t="shared" si="10"/>
        <v>0</v>
      </c>
      <c r="O46" s="11" t="str">
        <f t="shared" si="11"/>
        <v/>
      </c>
      <c r="P46" s="12">
        <v>3.5000000000000003E-2</v>
      </c>
      <c r="Q46" s="41">
        <f t="shared" si="12"/>
        <v>0</v>
      </c>
      <c r="R46" s="41" t="str">
        <f t="shared" si="15"/>
        <v/>
      </c>
      <c r="S46" s="11" t="str">
        <f>IFERROR(VLOOKUP(B46,DATA!$B$12:$D$13,2,0),"")</f>
        <v/>
      </c>
      <c r="T46" s="56" t="str">
        <f t="shared" si="13"/>
        <v/>
      </c>
      <c r="U46" s="41" t="str">
        <f t="shared" si="14"/>
        <v/>
      </c>
    </row>
    <row r="47" spans="1:21" ht="11.65" customHeight="1" x14ac:dyDescent="0.35">
      <c r="A47" s="9"/>
      <c r="B47" s="10"/>
      <c r="C47" s="9">
        <f>IFERROR(VLOOKUP(B47,DATA!$B$12:$D$13,3,0),0)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t="shared" si="8"/>
        <v/>
      </c>
      <c r="M47" s="41">
        <f t="shared" si="9"/>
        <v>0</v>
      </c>
      <c r="N47" s="118">
        <f t="shared" si="10"/>
        <v>0</v>
      </c>
      <c r="O47" s="11" t="str">
        <f t="shared" si="11"/>
        <v/>
      </c>
      <c r="P47" s="12">
        <v>3.5000000000000003E-2</v>
      </c>
      <c r="Q47" s="41">
        <f t="shared" si="12"/>
        <v>0</v>
      </c>
      <c r="R47" s="41" t="str">
        <f t="shared" si="15"/>
        <v/>
      </c>
      <c r="S47" s="11" t="str">
        <f>IFERROR(VLOOKUP(B47,DATA!$B$12:$D$13,2,0),"")</f>
        <v/>
      </c>
      <c r="T47" s="56" t="str">
        <f t="shared" si="13"/>
        <v/>
      </c>
      <c r="U47" s="41" t="str">
        <f t="shared" si="14"/>
        <v/>
      </c>
    </row>
    <row r="48" spans="1:21" ht="11.65" customHeight="1" x14ac:dyDescent="0.35">
      <c r="A48" s="9"/>
      <c r="B48" s="10"/>
      <c r="C48" s="9">
        <f>IFERROR(VLOOKUP(B48,DATA!$B$12:$D$13,3,0),0)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t="shared" si="8"/>
        <v/>
      </c>
      <c r="M48" s="41">
        <f t="shared" si="9"/>
        <v>0</v>
      </c>
      <c r="N48" s="118">
        <f t="shared" si="10"/>
        <v>0</v>
      </c>
      <c r="O48" s="11" t="str">
        <f t="shared" si="11"/>
        <v/>
      </c>
      <c r="P48" s="12">
        <v>3.5000000000000003E-2</v>
      </c>
      <c r="Q48" s="41">
        <f t="shared" si="12"/>
        <v>0</v>
      </c>
      <c r="R48" s="41" t="str">
        <f t="shared" si="15"/>
        <v/>
      </c>
      <c r="S48" s="11" t="str">
        <f>IFERROR(VLOOKUP(B48,DATA!$B$12:$D$13,2,0),"")</f>
        <v/>
      </c>
      <c r="T48" s="56" t="str">
        <f t="shared" si="13"/>
        <v/>
      </c>
      <c r="U48" s="41" t="str">
        <f t="shared" si="14"/>
        <v/>
      </c>
    </row>
    <row r="49" spans="1:21" ht="11.65" customHeight="1" x14ac:dyDescent="0.35">
      <c r="A49" s="9"/>
      <c r="B49" s="10"/>
      <c r="C49" s="9">
        <f>IFERROR(VLOOKUP(B49,DATA!$B$12:$D$13,3,0),0)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t="shared" si="8"/>
        <v/>
      </c>
      <c r="M49" s="41">
        <f t="shared" si="9"/>
        <v>0</v>
      </c>
      <c r="N49" s="118">
        <f t="shared" si="10"/>
        <v>0</v>
      </c>
      <c r="O49" s="11" t="str">
        <f t="shared" si="11"/>
        <v/>
      </c>
      <c r="P49" s="12">
        <v>3.5000000000000003E-2</v>
      </c>
      <c r="Q49" s="41">
        <f t="shared" si="12"/>
        <v>0</v>
      </c>
      <c r="R49" s="41" t="str">
        <f t="shared" si="15"/>
        <v/>
      </c>
      <c r="S49" s="11" t="str">
        <f>IFERROR(VLOOKUP(B49,DATA!$B$12:$D$13,2,0),"")</f>
        <v/>
      </c>
      <c r="T49" s="56" t="str">
        <f t="shared" si="13"/>
        <v/>
      </c>
      <c r="U49" s="41" t="str">
        <f t="shared" si="14"/>
        <v/>
      </c>
    </row>
    <row r="50" spans="1:21" ht="11.65" customHeight="1" x14ac:dyDescent="0.35">
      <c r="A50" s="9"/>
      <c r="B50" s="10"/>
      <c r="C50" s="9">
        <f>IFERROR(VLOOKUP(B50,DATA!$B$12:$D$13,3,0),0)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t="shared" si="8"/>
        <v/>
      </c>
      <c r="M50" s="41">
        <f t="shared" si="9"/>
        <v>0</v>
      </c>
      <c r="N50" s="118">
        <f t="shared" si="10"/>
        <v>0</v>
      </c>
      <c r="O50" s="11" t="str">
        <f t="shared" si="11"/>
        <v/>
      </c>
      <c r="P50" s="12">
        <v>3.5000000000000003E-2</v>
      </c>
      <c r="Q50" s="41">
        <f t="shared" si="12"/>
        <v>0</v>
      </c>
      <c r="R50" s="41" t="str">
        <f t="shared" si="15"/>
        <v/>
      </c>
      <c r="S50" s="11" t="str">
        <f>IFERROR(VLOOKUP(B50,DATA!$B$12:$D$13,2,0),"")</f>
        <v/>
      </c>
      <c r="T50" s="56" t="str">
        <f t="shared" si="13"/>
        <v/>
      </c>
      <c r="U50" s="41" t="str">
        <f t="shared" si="14"/>
        <v/>
      </c>
    </row>
    <row r="51" spans="1:21" ht="11.65" customHeight="1" x14ac:dyDescent="0.35">
      <c r="A51" s="9"/>
      <c r="B51" s="10"/>
      <c r="C51" s="9">
        <f>IFERROR(VLOOKUP(B51,DATA!$B$12:$D$13,3,0),0)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t="shared" si="8"/>
        <v/>
      </c>
      <c r="M51" s="41">
        <f t="shared" si="9"/>
        <v>0</v>
      </c>
      <c r="N51" s="118">
        <f t="shared" si="10"/>
        <v>0</v>
      </c>
      <c r="O51" s="11" t="str">
        <f t="shared" si="11"/>
        <v/>
      </c>
      <c r="P51" s="12">
        <v>3.5000000000000003E-2</v>
      </c>
      <c r="Q51" s="41">
        <f t="shared" si="12"/>
        <v>0</v>
      </c>
      <c r="R51" s="41" t="str">
        <f t="shared" si="15"/>
        <v/>
      </c>
      <c r="S51" s="11" t="str">
        <f>IFERROR(VLOOKUP(B51,DATA!$B$12:$D$13,2,0),"")</f>
        <v/>
      </c>
      <c r="T51" s="56" t="str">
        <f t="shared" si="13"/>
        <v/>
      </c>
      <c r="U51" s="41" t="str">
        <f t="shared" si="14"/>
        <v/>
      </c>
    </row>
    <row r="52" spans="1:21" ht="11.65" customHeight="1" x14ac:dyDescent="0.35">
      <c r="A52" s="9"/>
      <c r="B52" s="10"/>
      <c r="C52" s="9">
        <f>IFERROR(VLOOKUP(B52,DATA!$B$12:$D$13,3,0),0)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t="shared" si="8"/>
        <v/>
      </c>
      <c r="M52" s="41">
        <f t="shared" si="9"/>
        <v>0</v>
      </c>
      <c r="N52" s="118">
        <f t="shared" si="10"/>
        <v>0</v>
      </c>
      <c r="O52" s="11" t="str">
        <f t="shared" si="11"/>
        <v/>
      </c>
      <c r="P52" s="12">
        <v>3.5000000000000003E-2</v>
      </c>
      <c r="Q52" s="41">
        <f t="shared" si="12"/>
        <v>0</v>
      </c>
      <c r="R52" s="41" t="str">
        <f t="shared" si="15"/>
        <v/>
      </c>
      <c r="S52" s="11" t="str">
        <f>IFERROR(VLOOKUP(B52,DATA!$B$12:$D$13,2,0),"")</f>
        <v/>
      </c>
      <c r="T52" s="56" t="str">
        <f t="shared" si="13"/>
        <v/>
      </c>
      <c r="U52" s="41" t="str">
        <f t="shared" si="14"/>
        <v/>
      </c>
    </row>
    <row r="53" spans="1:21" ht="11.65" customHeight="1" x14ac:dyDescent="0.35">
      <c r="A53" s="9"/>
      <c r="B53" s="10"/>
      <c r="C53" s="9">
        <f>IFERROR(VLOOKUP(B53,DATA!$B$12:$D$13,3,0),0)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t="shared" si="8"/>
        <v/>
      </c>
      <c r="M53" s="41">
        <f t="shared" si="9"/>
        <v>0</v>
      </c>
      <c r="N53" s="118">
        <f t="shared" si="10"/>
        <v>0</v>
      </c>
      <c r="O53" s="11" t="str">
        <f t="shared" si="11"/>
        <v/>
      </c>
      <c r="P53" s="12">
        <v>3.5000000000000003E-2</v>
      </c>
      <c r="Q53" s="41">
        <f t="shared" si="12"/>
        <v>0</v>
      </c>
      <c r="R53" s="41" t="str">
        <f t="shared" si="15"/>
        <v/>
      </c>
      <c r="S53" s="11" t="str">
        <f>IFERROR(VLOOKUP(B53,DATA!$B$12:$D$13,2,0),"")</f>
        <v/>
      </c>
      <c r="T53" s="56" t="str">
        <f t="shared" si="13"/>
        <v/>
      </c>
      <c r="U53" s="41" t="str">
        <f t="shared" si="14"/>
        <v/>
      </c>
    </row>
    <row r="54" spans="1:21" ht="11.65" customHeight="1" x14ac:dyDescent="0.35">
      <c r="A54" s="9"/>
      <c r="B54" s="10"/>
      <c r="C54" s="9">
        <f>IFERROR(VLOOKUP(B54,DATA!$B$12:$D$13,3,0),0)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t="shared" si="8"/>
        <v/>
      </c>
      <c r="M54" s="41">
        <f t="shared" si="9"/>
        <v>0</v>
      </c>
      <c r="N54" s="118">
        <f t="shared" si="10"/>
        <v>0</v>
      </c>
      <c r="O54" s="11" t="str">
        <f t="shared" si="11"/>
        <v/>
      </c>
      <c r="P54" s="12">
        <v>3.5000000000000003E-2</v>
      </c>
      <c r="Q54" s="41">
        <f t="shared" si="12"/>
        <v>0</v>
      </c>
      <c r="R54" s="41" t="str">
        <f t="shared" si="15"/>
        <v/>
      </c>
      <c r="S54" s="11" t="str">
        <f>IFERROR(VLOOKUP(B54,DATA!$B$12:$D$13,2,0),"")</f>
        <v/>
      </c>
      <c r="T54" s="56" t="str">
        <f t="shared" si="13"/>
        <v/>
      </c>
      <c r="U54" s="41" t="str">
        <f t="shared" si="14"/>
        <v/>
      </c>
    </row>
    <row r="55" spans="1:21" ht="11.65" customHeight="1" x14ac:dyDescent="0.35">
      <c r="A55" s="9"/>
      <c r="B55" s="10"/>
      <c r="C55" s="9">
        <f>IFERROR(VLOOKUP(B55,DATA!$B$12:$D$13,3,0),0)</f>
        <v>0</v>
      </c>
      <c r="D55" s="45"/>
      <c r="E55" s="28"/>
      <c r="F55" s="28"/>
      <c r="G55" s="28"/>
      <c r="H55" s="22"/>
      <c r="I55" s="22"/>
      <c r="J55" s="45"/>
      <c r="K55" s="22"/>
      <c r="L55" s="12" t="str">
        <f t="shared" si="8"/>
        <v/>
      </c>
      <c r="M55" s="41">
        <f t="shared" si="9"/>
        <v>0</v>
      </c>
      <c r="N55" s="118">
        <f t="shared" si="10"/>
        <v>0</v>
      </c>
      <c r="O55" s="11" t="str">
        <f t="shared" si="11"/>
        <v/>
      </c>
      <c r="P55" s="12">
        <v>3.5000000000000003E-2</v>
      </c>
      <c r="Q55" s="41">
        <f t="shared" si="12"/>
        <v>0</v>
      </c>
      <c r="R55" s="41" t="str">
        <f t="shared" si="15"/>
        <v/>
      </c>
      <c r="S55" s="11" t="str">
        <f>IFERROR(VLOOKUP(B55,DATA!$B$12:$D$13,2,0),"")</f>
        <v/>
      </c>
      <c r="T55" s="56" t="str">
        <f t="shared" si="13"/>
        <v/>
      </c>
      <c r="U55" s="41" t="str">
        <f t="shared" si="14"/>
        <v/>
      </c>
    </row>
    <row r="56" spans="1:21" ht="11.65" customHeight="1" x14ac:dyDescent="0.35">
      <c r="A56" s="9"/>
      <c r="B56" s="10"/>
      <c r="C56" s="9">
        <f>IFERROR(VLOOKUP(B56,DATA!$B$12:$D$13,3,0),0)</f>
        <v>0</v>
      </c>
      <c r="D56" s="45"/>
      <c r="E56" s="28"/>
      <c r="F56" s="28"/>
      <c r="G56" s="28"/>
      <c r="H56" s="22"/>
      <c r="I56" s="22"/>
      <c r="J56" s="45"/>
      <c r="K56" s="22"/>
      <c r="L56" s="12" t="str">
        <f t="shared" si="8"/>
        <v/>
      </c>
      <c r="M56" s="41">
        <f t="shared" si="9"/>
        <v>0</v>
      </c>
      <c r="N56" s="118">
        <f t="shared" si="10"/>
        <v>0</v>
      </c>
      <c r="O56" s="11" t="str">
        <f t="shared" si="11"/>
        <v/>
      </c>
      <c r="P56" s="12">
        <v>3.5000000000000003E-2</v>
      </c>
      <c r="Q56" s="41">
        <f t="shared" si="12"/>
        <v>0</v>
      </c>
      <c r="R56" s="41" t="str">
        <f t="shared" si="15"/>
        <v/>
      </c>
      <c r="S56" s="11" t="str">
        <f>IFERROR(VLOOKUP(B56,DATA!$B$12:$D$13,2,0),"")</f>
        <v/>
      </c>
      <c r="T56" s="56" t="str">
        <f t="shared" si="13"/>
        <v/>
      </c>
      <c r="U56" s="41" t="str">
        <f t="shared" si="14"/>
        <v/>
      </c>
    </row>
    <row r="57" spans="1:21" ht="11.65" customHeight="1" x14ac:dyDescent="0.35">
      <c r="A57" s="9"/>
      <c r="B57" s="10"/>
      <c r="C57" s="9">
        <f>IFERROR(VLOOKUP(B57,DATA!$B$12:$D$13,3,0),0)</f>
        <v>0</v>
      </c>
      <c r="D57" s="45"/>
      <c r="E57" s="28"/>
      <c r="F57" s="28"/>
      <c r="G57" s="28"/>
      <c r="H57" s="22"/>
      <c r="I57" s="22"/>
      <c r="J57" s="45"/>
      <c r="K57" s="22"/>
      <c r="L57" s="12" t="str">
        <f t="shared" si="8"/>
        <v/>
      </c>
      <c r="M57" s="41">
        <f t="shared" si="9"/>
        <v>0</v>
      </c>
      <c r="N57" s="118">
        <f t="shared" si="10"/>
        <v>0</v>
      </c>
      <c r="O57" s="11" t="str">
        <f t="shared" si="11"/>
        <v/>
      </c>
      <c r="P57" s="12">
        <v>3.5000000000000003E-2</v>
      </c>
      <c r="Q57" s="41">
        <f t="shared" si="12"/>
        <v>0</v>
      </c>
      <c r="R57" s="41" t="str">
        <f t="shared" si="15"/>
        <v/>
      </c>
      <c r="S57" s="11" t="str">
        <f>IFERROR(VLOOKUP(B57,DATA!$B$12:$D$13,2,0),"")</f>
        <v/>
      </c>
      <c r="T57" s="56" t="str">
        <f t="shared" si="13"/>
        <v/>
      </c>
      <c r="U57" s="41" t="str">
        <f t="shared" si="14"/>
        <v/>
      </c>
    </row>
    <row r="58" spans="1:21" ht="11.65" customHeight="1" x14ac:dyDescent="0.35">
      <c r="A58" s="9"/>
      <c r="B58" s="10"/>
      <c r="C58" s="9">
        <f>IFERROR(VLOOKUP(B58,DATA!$B$12:$D$13,3,0),0)</f>
        <v>0</v>
      </c>
      <c r="D58" s="45"/>
      <c r="E58" s="28"/>
      <c r="F58" s="28"/>
      <c r="G58" s="28"/>
      <c r="H58" s="22"/>
      <c r="I58" s="22"/>
      <c r="J58" s="45"/>
      <c r="K58" s="22"/>
      <c r="L58" s="12" t="str">
        <f t="shared" si="8"/>
        <v/>
      </c>
      <c r="M58" s="41">
        <f t="shared" si="9"/>
        <v>0</v>
      </c>
      <c r="N58" s="118">
        <f t="shared" si="10"/>
        <v>0</v>
      </c>
      <c r="O58" s="11" t="str">
        <f t="shared" si="11"/>
        <v/>
      </c>
      <c r="P58" s="12">
        <v>3.5000000000000003E-2</v>
      </c>
      <c r="Q58" s="41">
        <f t="shared" si="12"/>
        <v>0</v>
      </c>
      <c r="R58" s="41" t="str">
        <f t="shared" si="15"/>
        <v/>
      </c>
      <c r="S58" s="11" t="str">
        <f>IFERROR(VLOOKUP(B58,DATA!$B$12:$D$13,2,0),"")</f>
        <v/>
      </c>
      <c r="T58" s="56" t="str">
        <f t="shared" si="13"/>
        <v/>
      </c>
      <c r="U58" s="41" t="str">
        <f t="shared" si="14"/>
        <v/>
      </c>
    </row>
    <row r="59" spans="1:21" ht="11.65" customHeight="1" x14ac:dyDescent="0.35">
      <c r="A59" s="9"/>
      <c r="B59" s="10"/>
      <c r="C59" s="9">
        <f>IFERROR(VLOOKUP(B59,DATA!$B$12:$D$13,3,0),0)</f>
        <v>0</v>
      </c>
      <c r="D59" s="45"/>
      <c r="E59" s="28"/>
      <c r="F59" s="28"/>
      <c r="G59" s="28"/>
      <c r="H59" s="22"/>
      <c r="I59" s="22"/>
      <c r="J59" s="45"/>
      <c r="K59" s="22"/>
      <c r="L59" s="12" t="str">
        <f t="shared" si="8"/>
        <v/>
      </c>
      <c r="M59" s="41">
        <f t="shared" si="9"/>
        <v>0</v>
      </c>
      <c r="N59" s="118">
        <f t="shared" si="10"/>
        <v>0</v>
      </c>
      <c r="O59" s="11" t="str">
        <f t="shared" si="11"/>
        <v/>
      </c>
      <c r="P59" s="12">
        <v>3.5000000000000003E-2</v>
      </c>
      <c r="Q59" s="41">
        <f t="shared" si="12"/>
        <v>0</v>
      </c>
      <c r="R59" s="41" t="str">
        <f t="shared" si="15"/>
        <v/>
      </c>
      <c r="S59" s="11" t="str">
        <f>IFERROR(VLOOKUP(B59,DATA!$B$12:$D$13,2,0),"")</f>
        <v/>
      </c>
      <c r="T59" s="56" t="str">
        <f t="shared" si="13"/>
        <v/>
      </c>
      <c r="U59" s="41" t="str">
        <f t="shared" si="14"/>
        <v/>
      </c>
    </row>
    <row r="60" spans="1:21" ht="11.65" customHeight="1" x14ac:dyDescent="0.35">
      <c r="A60" s="9"/>
      <c r="B60" s="10"/>
      <c r="C60" s="9">
        <f>IFERROR(VLOOKUP(B60,DATA!$B$12:$D$13,3,0),0)</f>
        <v>0</v>
      </c>
      <c r="D60" s="45"/>
      <c r="E60" s="28"/>
      <c r="F60" s="28"/>
      <c r="G60" s="28"/>
      <c r="H60" s="22"/>
      <c r="I60" s="22"/>
      <c r="J60" s="45"/>
      <c r="K60" s="22"/>
      <c r="L60" s="12" t="str">
        <f t="shared" si="8"/>
        <v/>
      </c>
      <c r="M60" s="41">
        <f t="shared" si="9"/>
        <v>0</v>
      </c>
      <c r="N60" s="118">
        <f t="shared" si="10"/>
        <v>0</v>
      </c>
      <c r="O60" s="11" t="str">
        <f t="shared" si="11"/>
        <v/>
      </c>
      <c r="P60" s="12">
        <v>3.5000000000000003E-2</v>
      </c>
      <c r="Q60" s="41">
        <f t="shared" si="12"/>
        <v>0</v>
      </c>
      <c r="R60" s="41" t="str">
        <f t="shared" si="15"/>
        <v/>
      </c>
      <c r="S60" s="11" t="str">
        <f>IFERROR(VLOOKUP(B60,DATA!$B$12:$D$13,2,0),"")</f>
        <v/>
      </c>
      <c r="T60" s="56" t="str">
        <f t="shared" si="13"/>
        <v/>
      </c>
      <c r="U60" s="41" t="str">
        <f t="shared" si="14"/>
        <v/>
      </c>
    </row>
    <row r="61" spans="1:21" ht="11.65" customHeight="1" x14ac:dyDescent="0.35">
      <c r="A61" s="14"/>
      <c r="B61" s="13"/>
      <c r="C61" s="14">
        <f>IFERROR(VLOOKUP(B61,DATA!$B$12:$D$13,3,0),0)</f>
        <v>0</v>
      </c>
      <c r="D61" s="46"/>
      <c r="E61" s="29"/>
      <c r="F61" s="29"/>
      <c r="G61" s="29"/>
      <c r="H61" s="23"/>
      <c r="I61" s="23"/>
      <c r="J61" s="46"/>
      <c r="K61" s="23"/>
      <c r="L61" s="16" t="str">
        <f t="shared" si="8"/>
        <v/>
      </c>
      <c r="M61" s="42">
        <f t="shared" si="9"/>
        <v>0</v>
      </c>
      <c r="N61" s="119">
        <f t="shared" si="10"/>
        <v>0</v>
      </c>
      <c r="O61" s="15" t="str">
        <f t="shared" si="11"/>
        <v/>
      </c>
      <c r="P61" s="16">
        <v>3.5000000000000003E-2</v>
      </c>
      <c r="Q61" s="42">
        <f t="shared" si="12"/>
        <v>0</v>
      </c>
      <c r="R61" s="42" t="str">
        <f t="shared" si="15"/>
        <v/>
      </c>
      <c r="S61" s="15" t="str">
        <f>IFERROR(VLOOKUP(B61,DATA!$B$12:$D$13,2,0),"")</f>
        <v/>
      </c>
      <c r="T61" s="56" t="str">
        <f t="shared" si="13"/>
        <v/>
      </c>
      <c r="U61" s="42" t="str">
        <f t="shared" si="14"/>
        <v/>
      </c>
    </row>
    <row r="62" spans="1:21" ht="11.65" customHeight="1" x14ac:dyDescent="0.35">
      <c r="A62" s="17" t="s">
        <v>85</v>
      </c>
      <c r="B62" s="18"/>
      <c r="C62" s="18"/>
      <c r="D62" s="47"/>
      <c r="E62" s="30"/>
      <c r="F62" s="31"/>
      <c r="G62" s="32"/>
      <c r="H62" s="34">
        <f>SUM(H12:H61)</f>
        <v>14</v>
      </c>
      <c r="I62" s="34"/>
      <c r="J62" s="43"/>
      <c r="K62" s="34"/>
      <c r="L62" s="37"/>
      <c r="M62" s="43"/>
      <c r="N62" s="120">
        <f>SUM(N12:N61)</f>
        <v>80.880435000000006</v>
      </c>
      <c r="O62" s="52"/>
      <c r="P62" s="50"/>
      <c r="Q62" s="53"/>
      <c r="R62" s="53"/>
      <c r="S62" s="50"/>
      <c r="T62" s="43"/>
      <c r="U62" s="43"/>
    </row>
    <row r="63" spans="1:21" ht="11.65" customHeight="1" x14ac:dyDescent="0.35">
      <c r="R63" s="54"/>
      <c r="S63" s="55"/>
    </row>
    <row r="64" spans="1:21" ht="11.65" customHeight="1" x14ac:dyDescent="0.35">
      <c r="R64" s="54"/>
      <c r="S64" s="55"/>
    </row>
    <row r="65" spans="18:19" ht="11.65" customHeight="1" x14ac:dyDescent="0.35">
      <c r="R65" s="54"/>
      <c r="S65" s="55"/>
    </row>
    <row r="66" spans="18:19" ht="11.65" customHeight="1" x14ac:dyDescent="0.35">
      <c r="R66" s="54"/>
      <c r="S66" s="55"/>
    </row>
    <row r="67" spans="18:19" ht="11.65" customHeight="1" x14ac:dyDescent="0.35">
      <c r="R67" s="54"/>
      <c r="S67" s="55"/>
    </row>
    <row r="68" spans="18:19" ht="11.65" customHeight="1" x14ac:dyDescent="0.35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300-000000000000}"/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2"/>
  <sheetViews>
    <sheetView workbookViewId="0">
      <pane ySplit="11" topLeftCell="A12" activePane="bottomLeft" state="frozen"/>
      <selection activeCell="A10" sqref="A10"/>
      <selection pane="bottomLeft" activeCell="B15" sqref="B15"/>
    </sheetView>
  </sheetViews>
  <sheetFormatPr defaultColWidth="8.59765625" defaultRowHeight="11.65" customHeight="1" x14ac:dyDescent="0.35"/>
  <cols>
    <col min="1" max="1" width="17" style="2" customWidth="1"/>
    <col min="2" max="2" width="31" style="2" customWidth="1"/>
    <col min="3" max="3" width="11" style="2" customWidth="1"/>
    <col min="4" max="4" width="13" style="39" customWidth="1"/>
    <col min="5" max="7" width="8" style="26" customWidth="1"/>
    <col min="8" max="9" width="7" style="19" customWidth="1"/>
    <col min="10" max="10" width="8" style="39" customWidth="1"/>
    <col min="11" max="11" width="10" style="19" customWidth="1"/>
    <col min="12" max="12" width="7" style="35" customWidth="1"/>
    <col min="13" max="13" width="11" style="39" customWidth="1"/>
    <col min="14" max="14" width="7" style="57" customWidth="1"/>
    <col min="15" max="15" width="8" style="51" customWidth="1"/>
    <col min="16" max="16" width="10" style="35" customWidth="1"/>
    <col min="17" max="17" width="10" style="39" customWidth="1"/>
    <col min="18" max="18" width="9" style="39" customWidth="1"/>
    <col min="19" max="19" width="8" style="35" customWidth="1"/>
    <col min="20" max="20" width="10" style="39" customWidth="1"/>
    <col min="21" max="21" width="11" style="39" customWidth="1"/>
    <col min="22" max="22" width="13" style="2" customWidth="1"/>
    <col min="23" max="23" width="12" style="2" customWidth="1"/>
    <col min="24" max="24" width="8" style="2" customWidth="1"/>
    <col min="25" max="25" width="8.1328125" style="2" customWidth="1"/>
    <col min="26" max="26" width="8.265625" style="2" customWidth="1"/>
    <col min="27" max="27" width="8.3984375" style="2" customWidth="1"/>
    <col min="28" max="28" width="8.59765625" style="2" customWidth="1"/>
    <col min="29" max="16384" width="8.59765625" style="2"/>
  </cols>
  <sheetData>
    <row r="1" spans="1:23" ht="41.1" hidden="1" customHeight="1" x14ac:dyDescent="0.35">
      <c r="E1" s="24" t="s">
        <v>3</v>
      </c>
      <c r="F1" s="25">
        <v>140000</v>
      </c>
    </row>
    <row r="2" spans="1:23" ht="14.25" hidden="1" customHeight="1" x14ac:dyDescent="0.35">
      <c r="A2" s="2" t="s">
        <v>101</v>
      </c>
      <c r="B2" s="2" t="s">
        <v>98</v>
      </c>
      <c r="C2" s="2" t="s">
        <v>17</v>
      </c>
    </row>
    <row r="3" spans="1:23" ht="14.25" hidden="1" customHeight="1" x14ac:dyDescent="0.35">
      <c r="A3" s="2" t="s">
        <v>97</v>
      </c>
      <c r="B3" s="2" t="s">
        <v>5</v>
      </c>
      <c r="C3" s="2" t="s">
        <v>21</v>
      </c>
    </row>
    <row r="4" spans="1:23" ht="14.25" hidden="1" customHeight="1" x14ac:dyDescent="0.35">
      <c r="A4" s="2" t="s">
        <v>77</v>
      </c>
      <c r="B4" s="2" t="s">
        <v>23</v>
      </c>
      <c r="C4" s="2" t="s">
        <v>111</v>
      </c>
    </row>
    <row r="5" spans="1:23" ht="14.25" hidden="1" customHeight="1" x14ac:dyDescent="0.35">
      <c r="A5" s="2" t="s">
        <v>90</v>
      </c>
      <c r="B5" s="2" t="s">
        <v>52</v>
      </c>
      <c r="C5" s="2" t="s">
        <v>44</v>
      </c>
    </row>
    <row r="6" spans="1:23" ht="14.25" hidden="1" customHeight="1" x14ac:dyDescent="0.35"/>
    <row r="7" spans="1:23" ht="14.25" hidden="1" customHeight="1" x14ac:dyDescent="0.35"/>
    <row r="8" spans="1:23" ht="14.25" hidden="1" customHeight="1" x14ac:dyDescent="0.35"/>
    <row r="9" spans="1:23" ht="14.25" hidden="1" customHeight="1" x14ac:dyDescent="0.35"/>
    <row r="10" spans="1:23" ht="25.5" customHeight="1" x14ac:dyDescent="0.35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68</v>
      </c>
      <c r="T10" s="162"/>
      <c r="U10" s="163"/>
    </row>
    <row r="11" spans="1:23" ht="11.65" customHeight="1" x14ac:dyDescent="0.35">
      <c r="A11" s="3" t="s">
        <v>38</v>
      </c>
      <c r="B11" s="3" t="s">
        <v>19</v>
      </c>
      <c r="C11" s="4" t="s">
        <v>20</v>
      </c>
      <c r="D11" s="20" t="s">
        <v>6</v>
      </c>
      <c r="E11" s="48" t="s">
        <v>10</v>
      </c>
      <c r="F11" s="48" t="s">
        <v>114</v>
      </c>
      <c r="G11" s="48" t="s">
        <v>73</v>
      </c>
      <c r="H11" s="33" t="s">
        <v>104</v>
      </c>
      <c r="I11" s="20" t="s">
        <v>100</v>
      </c>
      <c r="J11" s="20" t="s">
        <v>67</v>
      </c>
      <c r="K11" s="20" t="s">
        <v>105</v>
      </c>
      <c r="L11" s="36" t="s">
        <v>108</v>
      </c>
      <c r="M11" s="38" t="s">
        <v>43</v>
      </c>
      <c r="N11" s="58" t="s">
        <v>63</v>
      </c>
      <c r="O11" s="49" t="s">
        <v>48</v>
      </c>
      <c r="P11" s="49" t="s">
        <v>60</v>
      </c>
      <c r="Q11" s="38" t="s">
        <v>112</v>
      </c>
      <c r="R11" s="38" t="s">
        <v>87</v>
      </c>
      <c r="S11" s="49" t="s">
        <v>0</v>
      </c>
      <c r="T11" s="38" t="s">
        <v>61</v>
      </c>
      <c r="U11" s="38" t="s">
        <v>84</v>
      </c>
    </row>
    <row r="12" spans="1:23" ht="11.65" customHeight="1" x14ac:dyDescent="0.35">
      <c r="A12" s="5"/>
      <c r="B12" s="10" t="s">
        <v>115</v>
      </c>
      <c r="C12" s="9">
        <f>IFERROR(VLOOKUP(B12,DATA!$B$2:$D$18,3,0),0)</f>
        <v>2.75</v>
      </c>
      <c r="D12" s="45">
        <v>130000</v>
      </c>
      <c r="E12" s="28">
        <v>12</v>
      </c>
      <c r="F12" s="28">
        <v>285</v>
      </c>
      <c r="G12" s="28">
        <v>655</v>
      </c>
      <c r="H12" s="22">
        <v>2</v>
      </c>
      <c r="I12" s="22"/>
      <c r="J12" s="22"/>
      <c r="K12" s="22"/>
      <c r="L12" s="12">
        <f t="shared" ref="L12:L55" si="0">IFERROR(IF(AND(OR(LEFT(B12,FIND(" ",B12,1)-1)="Đồng",LEFT(B12,FIND(" ",B12,1)-1)="Nhôm"),E12&gt;(F12/10)),5%,0),"")</f>
        <v>0</v>
      </c>
      <c r="M12" s="153">
        <f t="shared" ref="M12:M55" si="1">E12*F12*G12*H12</f>
        <v>4480200</v>
      </c>
      <c r="N12" s="154">
        <f t="shared" ref="N12:N55" si="2">IFERROR((E12*F12*G12*H12/10^6),0)*C12</f>
        <v>12.320550000000001</v>
      </c>
      <c r="O12" s="11">
        <f t="shared" ref="O12:O55" si="3">IFERROR(IF(H12&gt;50,E12*(H12*G12+(H12+2)*F12),IF(H12&gt;10,E12*(2*H12*G12+(H12+1)*F12),2*H12*E12*(F12+G12)))*6/M12,"")</f>
        <v>6.0425873844917641E-2</v>
      </c>
      <c r="P12" s="12">
        <v>3.5000000000000003E-2</v>
      </c>
      <c r="Q12" s="153">
        <f t="shared" ref="Q12:Q55" si="4">IFERROR(IF(H12&gt;50,E12*(H12*G12+(H12+2)*F12),IF(H12&gt;10,E12*(2*H12*G12+(H12+1)*F12),2*H12*E12*(F12+G12)))*1.2/N12,0)</f>
        <v>4394.6090069031006</v>
      </c>
      <c r="R12" s="153">
        <f t="shared" ref="R12:R55" si="5">IFERROR((D12*(1+O12+P12)+Q12)/(1-(I12*0.007/30)),"")</f>
        <v>146799.97260674241</v>
      </c>
      <c r="S12" s="11">
        <v>0.12</v>
      </c>
      <c r="T12" s="157">
        <f t="shared" ref="T12:T55" si="6">IFERROR(ROUND((R12/(1-S12)+($J$12+$K$12)/$N$56)/(1-L12),-3),"")</f>
        <v>167000</v>
      </c>
      <c r="U12" s="153">
        <f t="shared" ref="U12:U55" si="7">IFERROR(ROUND(T12*N12,0),"")</f>
        <v>2057532</v>
      </c>
      <c r="V12" s="67"/>
      <c r="W12" s="151"/>
    </row>
    <row r="13" spans="1:23" ht="11.65" customHeight="1" x14ac:dyDescent="0.35">
      <c r="A13" s="9"/>
      <c r="B13" s="10" t="s">
        <v>115</v>
      </c>
      <c r="C13" s="9">
        <f>IFERROR(VLOOKUP(B13,DATA!$B$2:$D$18,3,0),0)</f>
        <v>2.75</v>
      </c>
      <c r="D13" s="45">
        <v>120000</v>
      </c>
      <c r="E13" s="28">
        <v>10</v>
      </c>
      <c r="F13" s="28">
        <v>117</v>
      </c>
      <c r="G13" s="28">
        <v>550</v>
      </c>
      <c r="H13" s="22">
        <v>2</v>
      </c>
      <c r="I13" s="22"/>
      <c r="J13" s="22"/>
      <c r="K13" s="22"/>
      <c r="L13" s="12">
        <f t="shared" si="0"/>
        <v>0</v>
      </c>
      <c r="M13" s="153">
        <f t="shared" si="1"/>
        <v>1287000</v>
      </c>
      <c r="N13" s="154">
        <f t="shared" si="2"/>
        <v>3.53925</v>
      </c>
      <c r="O13" s="11">
        <f t="shared" si="3"/>
        <v>0.12438228438228438</v>
      </c>
      <c r="P13" s="12">
        <v>3.5000000000000003E-2</v>
      </c>
      <c r="Q13" s="153">
        <f t="shared" si="4"/>
        <v>9045.9843187115912</v>
      </c>
      <c r="R13" s="153">
        <f t="shared" si="5"/>
        <v>148171.8584445857</v>
      </c>
      <c r="S13" s="11">
        <f>IFERROR(VLOOKUP(B13,DATA!$B$2:$D$6,2,0),"")</f>
        <v>0.17</v>
      </c>
      <c r="T13" s="157">
        <f t="shared" si="6"/>
        <v>179000</v>
      </c>
      <c r="U13" s="153">
        <f t="shared" si="7"/>
        <v>633526</v>
      </c>
      <c r="V13" s="67"/>
      <c r="W13" s="151"/>
    </row>
    <row r="14" spans="1:23" ht="11.65" customHeight="1" x14ac:dyDescent="0.35">
      <c r="A14" s="9"/>
      <c r="B14" s="10" t="s">
        <v>115</v>
      </c>
      <c r="C14" s="9">
        <f>IFERROR(VLOOKUP(B14,DATA!$B$2:$D$18,3,0),0)</f>
        <v>2.75</v>
      </c>
      <c r="D14" s="45">
        <v>120000</v>
      </c>
      <c r="E14" s="28">
        <v>12</v>
      </c>
      <c r="F14" s="28">
        <v>55</v>
      </c>
      <c r="G14" s="28">
        <v>655</v>
      </c>
      <c r="H14" s="22">
        <v>2</v>
      </c>
      <c r="I14" s="22"/>
      <c r="J14" s="22"/>
      <c r="K14" s="22"/>
      <c r="L14" s="12">
        <f t="shared" si="0"/>
        <v>0.05</v>
      </c>
      <c r="M14" s="153">
        <f t="shared" si="1"/>
        <v>864600</v>
      </c>
      <c r="N14" s="154">
        <f t="shared" si="2"/>
        <v>2.37765</v>
      </c>
      <c r="O14" s="11">
        <f t="shared" si="3"/>
        <v>0.23650242886884107</v>
      </c>
      <c r="P14" s="12">
        <v>3.5000000000000003E-2</v>
      </c>
      <c r="Q14" s="153">
        <f t="shared" si="4"/>
        <v>17200.176645006624</v>
      </c>
      <c r="R14" s="153">
        <f t="shared" si="5"/>
        <v>169780.46810926756</v>
      </c>
      <c r="S14" s="11">
        <f>IFERROR(VLOOKUP(B14,DATA!$B$2:$D$6,2,0),"")</f>
        <v>0.17</v>
      </c>
      <c r="T14" s="157">
        <f t="shared" si="6"/>
        <v>215000</v>
      </c>
      <c r="U14" s="153">
        <f t="shared" si="7"/>
        <v>511195</v>
      </c>
      <c r="V14" s="150"/>
    </row>
    <row r="15" spans="1:23" ht="11.65" customHeight="1" x14ac:dyDescent="0.35">
      <c r="A15" s="9"/>
      <c r="B15" s="10" t="s">
        <v>115</v>
      </c>
      <c r="C15" s="9">
        <f>IFERROR(VLOOKUP(B15,DATA!$B$2:$D$18,3,0),0)</f>
        <v>2.75</v>
      </c>
      <c r="D15" s="45">
        <v>120000</v>
      </c>
      <c r="E15" s="28">
        <v>12</v>
      </c>
      <c r="F15" s="28">
        <v>57</v>
      </c>
      <c r="G15" s="28">
        <v>655</v>
      </c>
      <c r="H15" s="22">
        <v>2</v>
      </c>
      <c r="I15" s="22"/>
      <c r="J15" s="45"/>
      <c r="K15" s="22"/>
      <c r="L15" s="12">
        <f t="shared" si="0"/>
        <v>0.05</v>
      </c>
      <c r="M15" s="41">
        <f t="shared" si="1"/>
        <v>896040</v>
      </c>
      <c r="N15" s="118">
        <f t="shared" si="2"/>
        <v>2.4641099999999998</v>
      </c>
      <c r="O15" s="11">
        <f t="shared" si="3"/>
        <v>0.2288469264764966</v>
      </c>
      <c r="P15" s="12">
        <v>3.5000000000000003E-2</v>
      </c>
      <c r="Q15" s="41">
        <f t="shared" si="4"/>
        <v>16643.412834654297</v>
      </c>
      <c r="R15" s="41">
        <f t="shared" si="5"/>
        <v>168305.04401183387</v>
      </c>
      <c r="S15" s="11">
        <f>IFERROR(VLOOKUP(B15,DATA!$B$2:$D$6,2,0),"")</f>
        <v>0.17</v>
      </c>
      <c r="T15" s="157">
        <f t="shared" si="6"/>
        <v>213000</v>
      </c>
      <c r="U15" s="41">
        <f t="shared" si="7"/>
        <v>524855</v>
      </c>
      <c r="V15" s="150"/>
    </row>
    <row r="16" spans="1:23" ht="11.65" customHeight="1" x14ac:dyDescent="0.35">
      <c r="A16" s="9"/>
      <c r="B16" s="10" t="s">
        <v>115</v>
      </c>
      <c r="C16" s="9">
        <f>IFERROR(VLOOKUP(B16,DATA!$B$2:$D$18,3,0),0)</f>
        <v>2.75</v>
      </c>
      <c r="D16" s="45">
        <v>130000</v>
      </c>
      <c r="E16" s="28">
        <v>12</v>
      </c>
      <c r="F16" s="28">
        <v>285</v>
      </c>
      <c r="G16" s="28">
        <v>655</v>
      </c>
      <c r="H16" s="22">
        <v>2</v>
      </c>
      <c r="I16" s="22"/>
      <c r="J16" s="45"/>
      <c r="K16" s="22"/>
      <c r="L16" s="12">
        <f t="shared" si="0"/>
        <v>0</v>
      </c>
      <c r="M16" s="41">
        <f t="shared" si="1"/>
        <v>4480200</v>
      </c>
      <c r="N16" s="118">
        <f t="shared" si="2"/>
        <v>12.320550000000001</v>
      </c>
      <c r="O16" s="11">
        <f t="shared" si="3"/>
        <v>6.0425873844917641E-2</v>
      </c>
      <c r="P16" s="12">
        <v>3.5000000000000003E-2</v>
      </c>
      <c r="Q16" s="41">
        <f t="shared" si="4"/>
        <v>4394.6090069031006</v>
      </c>
      <c r="R16" s="41">
        <f t="shared" si="5"/>
        <v>146799.97260674241</v>
      </c>
      <c r="S16" s="11">
        <f>IFERROR(VLOOKUP(B16,DATA!$B$2:$D$6,2,0),"")</f>
        <v>0.17</v>
      </c>
      <c r="T16" s="157">
        <f t="shared" si="6"/>
        <v>177000</v>
      </c>
      <c r="U16" s="41">
        <f t="shared" si="7"/>
        <v>2180737</v>
      </c>
      <c r="V16" s="150"/>
    </row>
    <row r="17" spans="1:22" ht="11.65" customHeight="1" x14ac:dyDescent="0.35">
      <c r="A17" s="9"/>
      <c r="B17" s="10" t="s">
        <v>115</v>
      </c>
      <c r="C17" s="9">
        <f>IFERROR(VLOOKUP(B17,DATA!$B$2:$D$18,3,0),0)</f>
        <v>2.75</v>
      </c>
      <c r="D17" s="45">
        <v>130000</v>
      </c>
      <c r="E17" s="28">
        <v>12</v>
      </c>
      <c r="F17" s="28">
        <v>285</v>
      </c>
      <c r="G17" s="28">
        <v>655</v>
      </c>
      <c r="H17" s="22">
        <v>2</v>
      </c>
      <c r="I17" s="22"/>
      <c r="J17" s="45"/>
      <c r="K17" s="22"/>
      <c r="L17" s="12">
        <f t="shared" si="0"/>
        <v>0</v>
      </c>
      <c r="M17" s="41">
        <f t="shared" si="1"/>
        <v>4480200</v>
      </c>
      <c r="N17" s="118">
        <f t="shared" si="2"/>
        <v>12.320550000000001</v>
      </c>
      <c r="O17" s="11">
        <f t="shared" si="3"/>
        <v>6.0425873844917641E-2</v>
      </c>
      <c r="P17" s="12">
        <v>3.5000000000000003E-2</v>
      </c>
      <c r="Q17" s="41">
        <f t="shared" si="4"/>
        <v>4394.6090069031006</v>
      </c>
      <c r="R17" s="41">
        <f t="shared" si="5"/>
        <v>146799.97260674241</v>
      </c>
      <c r="S17" s="11">
        <f>IFERROR(VLOOKUP(B17,DATA!$B$2:$D$6,2,0),"")</f>
        <v>0.17</v>
      </c>
      <c r="T17" s="157">
        <f t="shared" si="6"/>
        <v>177000</v>
      </c>
      <c r="U17" s="41">
        <f t="shared" si="7"/>
        <v>2180737</v>
      </c>
      <c r="V17" s="150"/>
    </row>
    <row r="18" spans="1:22" ht="11.65" customHeight="1" x14ac:dyDescent="0.35">
      <c r="A18" s="9"/>
      <c r="B18" s="10" t="s">
        <v>115</v>
      </c>
      <c r="C18" s="9">
        <f>IFERROR(VLOOKUP(B18,DATA!$B$2:$D$18,3,0),0)</f>
        <v>2.75</v>
      </c>
      <c r="D18" s="45">
        <v>130000</v>
      </c>
      <c r="E18" s="28">
        <v>12</v>
      </c>
      <c r="F18" s="28">
        <v>285</v>
      </c>
      <c r="G18" s="28">
        <v>655</v>
      </c>
      <c r="H18" s="22">
        <v>2</v>
      </c>
      <c r="I18" s="22"/>
      <c r="J18" s="45"/>
      <c r="K18" s="22"/>
      <c r="L18" s="12">
        <f t="shared" si="0"/>
        <v>0</v>
      </c>
      <c r="M18" s="41">
        <f t="shared" si="1"/>
        <v>4480200</v>
      </c>
      <c r="N18" s="118">
        <f t="shared" si="2"/>
        <v>12.320550000000001</v>
      </c>
      <c r="O18" s="11">
        <f t="shared" si="3"/>
        <v>6.0425873844917641E-2</v>
      </c>
      <c r="P18" s="12">
        <v>3.5000000000000003E-2</v>
      </c>
      <c r="Q18" s="41">
        <f t="shared" si="4"/>
        <v>4394.6090069031006</v>
      </c>
      <c r="R18" s="41">
        <f t="shared" si="5"/>
        <v>146799.97260674241</v>
      </c>
      <c r="S18" s="11">
        <f>IFERROR(VLOOKUP(B18,DATA!$B$2:$D$6,2,0),"")</f>
        <v>0.17</v>
      </c>
      <c r="T18" s="157">
        <f t="shared" si="6"/>
        <v>177000</v>
      </c>
      <c r="U18" s="41">
        <f t="shared" si="7"/>
        <v>2180737</v>
      </c>
      <c r="V18" s="150"/>
    </row>
    <row r="19" spans="1:22" ht="11.65" customHeight="1" x14ac:dyDescent="0.35">
      <c r="A19" s="9"/>
      <c r="B19" s="10"/>
      <c r="C19" s="9">
        <f>IFERROR(VLOOKUP(B19,DATA!$B$2:$D$18,3,0),0)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t="shared" si="0"/>
        <v/>
      </c>
      <c r="M19" s="41">
        <f t="shared" si="1"/>
        <v>0</v>
      </c>
      <c r="N19" s="118">
        <f t="shared" si="2"/>
        <v>0</v>
      </c>
      <c r="O19" s="11" t="str">
        <f t="shared" si="3"/>
        <v/>
      </c>
      <c r="P19" s="12">
        <v>3.5000000000000003E-2</v>
      </c>
      <c r="Q19" s="41">
        <f t="shared" si="4"/>
        <v>0</v>
      </c>
      <c r="R19" s="41" t="str">
        <f t="shared" si="5"/>
        <v/>
      </c>
      <c r="S19" s="11" t="str">
        <f>IFERROR(VLOOKUP(B19,DATA!$B$2:$D$6,2,0),"")</f>
        <v/>
      </c>
      <c r="T19" s="157" t="str">
        <f t="shared" si="6"/>
        <v/>
      </c>
      <c r="U19" s="41" t="str">
        <f t="shared" si="7"/>
        <v/>
      </c>
      <c r="V19" s="150"/>
    </row>
    <row r="20" spans="1:22" ht="11.65" customHeight="1" x14ac:dyDescent="0.35">
      <c r="A20" s="9"/>
      <c r="B20" s="10"/>
      <c r="C20" s="9">
        <f>IFERROR(VLOOKUP(B20,DATA!$B$2:$D$18,3,0),0)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t="shared" si="0"/>
        <v/>
      </c>
      <c r="M20" s="41">
        <f t="shared" si="1"/>
        <v>0</v>
      </c>
      <c r="N20" s="118">
        <f t="shared" si="2"/>
        <v>0</v>
      </c>
      <c r="O20" s="11" t="str">
        <f t="shared" si="3"/>
        <v/>
      </c>
      <c r="P20" s="12">
        <v>3.5000000000000003E-2</v>
      </c>
      <c r="Q20" s="41">
        <f t="shared" si="4"/>
        <v>0</v>
      </c>
      <c r="R20" s="41" t="str">
        <f t="shared" si="5"/>
        <v/>
      </c>
      <c r="S20" s="11" t="str">
        <f>IFERROR(VLOOKUP(B20,DATA!$B$2:$D$6,2,0),"")</f>
        <v/>
      </c>
      <c r="T20" s="157" t="str">
        <f t="shared" si="6"/>
        <v/>
      </c>
      <c r="U20" s="41" t="str">
        <f t="shared" si="7"/>
        <v/>
      </c>
      <c r="V20" s="150"/>
    </row>
    <row r="21" spans="1:22" ht="11.65" customHeight="1" x14ac:dyDescent="0.35">
      <c r="A21" s="9"/>
      <c r="B21" s="10"/>
      <c r="C21" s="9">
        <f>IFERROR(VLOOKUP(B21,DATA!$B$2:$D$18,3,0),0)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t="shared" si="0"/>
        <v/>
      </c>
      <c r="M21" s="41">
        <f t="shared" si="1"/>
        <v>0</v>
      </c>
      <c r="N21" s="118">
        <f t="shared" si="2"/>
        <v>0</v>
      </c>
      <c r="O21" s="11" t="str">
        <f t="shared" si="3"/>
        <v/>
      </c>
      <c r="P21" s="12">
        <v>3.5000000000000003E-2</v>
      </c>
      <c r="Q21" s="41">
        <f t="shared" si="4"/>
        <v>0</v>
      </c>
      <c r="R21" s="41" t="str">
        <f t="shared" si="5"/>
        <v/>
      </c>
      <c r="S21" s="11" t="str">
        <f>IFERROR(VLOOKUP(B21,DATA!$B$2:$D$6,2,0),"")</f>
        <v/>
      </c>
      <c r="T21" s="157" t="str">
        <f t="shared" si="6"/>
        <v/>
      </c>
      <c r="U21" s="41" t="str">
        <f t="shared" si="7"/>
        <v/>
      </c>
      <c r="V21" s="150"/>
    </row>
    <row r="22" spans="1:22" ht="11.65" customHeight="1" x14ac:dyDescent="0.35">
      <c r="A22" s="9"/>
      <c r="B22" s="10"/>
      <c r="C22" s="9">
        <f>IFERROR(VLOOKUP(B22,DATA!$B$2:$D$18,3,0),0)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t="shared" si="0"/>
        <v/>
      </c>
      <c r="M22" s="41">
        <f t="shared" si="1"/>
        <v>0</v>
      </c>
      <c r="N22" s="118">
        <f t="shared" si="2"/>
        <v>0</v>
      </c>
      <c r="O22" s="11" t="str">
        <f t="shared" si="3"/>
        <v/>
      </c>
      <c r="P22" s="12">
        <v>3.5000000000000003E-2</v>
      </c>
      <c r="Q22" s="41">
        <f t="shared" si="4"/>
        <v>0</v>
      </c>
      <c r="R22" s="41" t="str">
        <f t="shared" si="5"/>
        <v/>
      </c>
      <c r="S22" s="11" t="str">
        <f>IFERROR(VLOOKUP(B22,DATA!$B$2:$D$6,2,0),"")</f>
        <v/>
      </c>
      <c r="T22" s="157" t="str">
        <f t="shared" si="6"/>
        <v/>
      </c>
      <c r="U22" s="41" t="str">
        <f t="shared" si="7"/>
        <v/>
      </c>
      <c r="V22" s="150"/>
    </row>
    <row r="23" spans="1:22" ht="11.65" customHeight="1" x14ac:dyDescent="0.35">
      <c r="A23" s="9"/>
      <c r="B23" s="10"/>
      <c r="C23" s="9">
        <f>IFERROR(VLOOKUP(B23,DATA!$B$2:$D$18,3,0),0)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t="shared" si="0"/>
        <v/>
      </c>
      <c r="M23" s="41">
        <f t="shared" si="1"/>
        <v>0</v>
      </c>
      <c r="N23" s="118">
        <f t="shared" si="2"/>
        <v>0</v>
      </c>
      <c r="O23" s="11" t="str">
        <f t="shared" si="3"/>
        <v/>
      </c>
      <c r="P23" s="12">
        <v>3.5000000000000003E-2</v>
      </c>
      <c r="Q23" s="41">
        <f t="shared" si="4"/>
        <v>0</v>
      </c>
      <c r="R23" s="41" t="str">
        <f t="shared" si="5"/>
        <v/>
      </c>
      <c r="S23" s="11" t="str">
        <f>IFERROR(VLOOKUP(B23,DATA!$B$2:$D$6,2,0),"")</f>
        <v/>
      </c>
      <c r="T23" s="157" t="str">
        <f t="shared" si="6"/>
        <v/>
      </c>
      <c r="U23" s="41" t="str">
        <f t="shared" si="7"/>
        <v/>
      </c>
      <c r="V23" s="150"/>
    </row>
    <row r="24" spans="1:22" ht="11.65" customHeight="1" x14ac:dyDescent="0.35">
      <c r="A24" s="9"/>
      <c r="B24" s="10"/>
      <c r="C24" s="9">
        <f>IFERROR(VLOOKUP(B24,DATA!$B$2:$D$18,3,0),0)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t="shared" si="0"/>
        <v/>
      </c>
      <c r="M24" s="41">
        <f t="shared" si="1"/>
        <v>0</v>
      </c>
      <c r="N24" s="118">
        <f t="shared" si="2"/>
        <v>0</v>
      </c>
      <c r="O24" s="11" t="str">
        <f t="shared" si="3"/>
        <v/>
      </c>
      <c r="P24" s="12">
        <v>3.5000000000000003E-2</v>
      </c>
      <c r="Q24" s="41">
        <f t="shared" si="4"/>
        <v>0</v>
      </c>
      <c r="R24" s="41" t="str">
        <f t="shared" si="5"/>
        <v/>
      </c>
      <c r="S24" s="11" t="str">
        <f>IFERROR(VLOOKUP(B24,DATA!$B$2:$D$6,2,0),"")</f>
        <v/>
      </c>
      <c r="T24" s="157" t="str">
        <f t="shared" si="6"/>
        <v/>
      </c>
      <c r="U24" s="41" t="str">
        <f t="shared" si="7"/>
        <v/>
      </c>
      <c r="V24" s="150"/>
    </row>
    <row r="25" spans="1:22" ht="11.65" customHeight="1" x14ac:dyDescent="0.35">
      <c r="A25" s="9"/>
      <c r="B25" s="10"/>
      <c r="C25" s="9">
        <f>IFERROR(VLOOKUP(B25,DATA!$B$2:$D$18,3,0),0)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t="shared" si="0"/>
        <v/>
      </c>
      <c r="M25" s="41">
        <f t="shared" si="1"/>
        <v>0</v>
      </c>
      <c r="N25" s="118">
        <f t="shared" si="2"/>
        <v>0</v>
      </c>
      <c r="O25" s="11" t="str">
        <f t="shared" si="3"/>
        <v/>
      </c>
      <c r="P25" s="12">
        <v>3.5000000000000003E-2</v>
      </c>
      <c r="Q25" s="41">
        <f t="shared" si="4"/>
        <v>0</v>
      </c>
      <c r="R25" s="41" t="str">
        <f t="shared" si="5"/>
        <v/>
      </c>
      <c r="S25" s="11" t="str">
        <f>IFERROR(VLOOKUP(B25,DATA!$B$2:$D$6,2,0),"")</f>
        <v/>
      </c>
      <c r="T25" s="157" t="str">
        <f t="shared" si="6"/>
        <v/>
      </c>
      <c r="U25" s="41" t="str">
        <f t="shared" si="7"/>
        <v/>
      </c>
      <c r="V25" s="150"/>
    </row>
    <row r="26" spans="1:22" ht="11.65" customHeight="1" x14ac:dyDescent="0.35">
      <c r="A26" s="9"/>
      <c r="B26" s="10"/>
      <c r="C26" s="9">
        <f>IFERROR(VLOOKUP(B26,DATA!$B$2:$D$18,3,0),0)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t="shared" si="0"/>
        <v/>
      </c>
      <c r="M26" s="41">
        <f t="shared" si="1"/>
        <v>0</v>
      </c>
      <c r="N26" s="118">
        <f t="shared" si="2"/>
        <v>0</v>
      </c>
      <c r="O26" s="11" t="str">
        <f t="shared" si="3"/>
        <v/>
      </c>
      <c r="P26" s="12">
        <v>3.5000000000000003E-2</v>
      </c>
      <c r="Q26" s="41">
        <f t="shared" si="4"/>
        <v>0</v>
      </c>
      <c r="R26" s="41" t="str">
        <f t="shared" si="5"/>
        <v/>
      </c>
      <c r="S26" s="11" t="str">
        <f>IFERROR(VLOOKUP(B26,DATA!$B$2:$D$6,2,0),"")</f>
        <v/>
      </c>
      <c r="T26" s="157" t="str">
        <f t="shared" si="6"/>
        <v/>
      </c>
      <c r="U26" s="41" t="str">
        <f t="shared" si="7"/>
        <v/>
      </c>
      <c r="V26" s="150"/>
    </row>
    <row r="27" spans="1:22" ht="11.65" customHeight="1" x14ac:dyDescent="0.35">
      <c r="A27" s="9"/>
      <c r="B27" s="10"/>
      <c r="C27" s="9">
        <f>IFERROR(VLOOKUP(B27,DATA!$B$2:$D$18,3,0),0)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t="shared" si="0"/>
        <v/>
      </c>
      <c r="M27" s="41">
        <f t="shared" si="1"/>
        <v>0</v>
      </c>
      <c r="N27" s="118">
        <f t="shared" si="2"/>
        <v>0</v>
      </c>
      <c r="O27" s="11" t="str">
        <f t="shared" si="3"/>
        <v/>
      </c>
      <c r="P27" s="12">
        <v>3.5000000000000003E-2</v>
      </c>
      <c r="Q27" s="41">
        <f t="shared" si="4"/>
        <v>0</v>
      </c>
      <c r="R27" s="41" t="str">
        <f t="shared" si="5"/>
        <v/>
      </c>
      <c r="S27" s="11" t="str">
        <f>IFERROR(VLOOKUP(B27,DATA!$B$2:$D$6,2,0),"")</f>
        <v/>
      </c>
      <c r="T27" s="157" t="str">
        <f t="shared" si="6"/>
        <v/>
      </c>
      <c r="U27" s="41" t="str">
        <f t="shared" si="7"/>
        <v/>
      </c>
      <c r="V27" s="150"/>
    </row>
    <row r="28" spans="1:22" ht="11.65" customHeight="1" x14ac:dyDescent="0.35">
      <c r="A28" s="9"/>
      <c r="B28" s="10"/>
      <c r="C28" s="9">
        <f>IFERROR(VLOOKUP(B28,DATA!$B$2:$D$18,3,0),0)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t="shared" si="0"/>
        <v/>
      </c>
      <c r="M28" s="41">
        <f t="shared" si="1"/>
        <v>0</v>
      </c>
      <c r="N28" s="118">
        <f t="shared" si="2"/>
        <v>0</v>
      </c>
      <c r="O28" s="11" t="str">
        <f t="shared" si="3"/>
        <v/>
      </c>
      <c r="P28" s="12">
        <v>3.5000000000000003E-2</v>
      </c>
      <c r="Q28" s="41">
        <f t="shared" si="4"/>
        <v>0</v>
      </c>
      <c r="R28" s="41" t="str">
        <f t="shared" si="5"/>
        <v/>
      </c>
      <c r="S28" s="11" t="str">
        <f>IFERROR(VLOOKUP(B28,DATA!$B$2:$D$6,2,0),"")</f>
        <v/>
      </c>
      <c r="T28" s="157" t="str">
        <f t="shared" si="6"/>
        <v/>
      </c>
      <c r="U28" s="41" t="str">
        <f t="shared" si="7"/>
        <v/>
      </c>
      <c r="V28" s="150"/>
    </row>
    <row r="29" spans="1:22" ht="11.65" customHeight="1" x14ac:dyDescent="0.35">
      <c r="A29" s="9"/>
      <c r="B29" s="10"/>
      <c r="C29" s="9">
        <f>IFERROR(VLOOKUP(B29,DATA!$B$2:$D$18,3,0),0)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t="shared" si="0"/>
        <v/>
      </c>
      <c r="M29" s="41">
        <f t="shared" si="1"/>
        <v>0</v>
      </c>
      <c r="N29" s="118">
        <f t="shared" si="2"/>
        <v>0</v>
      </c>
      <c r="O29" s="11" t="str">
        <f t="shared" si="3"/>
        <v/>
      </c>
      <c r="P29" s="12">
        <v>3.5000000000000003E-2</v>
      </c>
      <c r="Q29" s="41">
        <f t="shared" si="4"/>
        <v>0</v>
      </c>
      <c r="R29" s="41" t="str">
        <f t="shared" si="5"/>
        <v/>
      </c>
      <c r="S29" s="11" t="str">
        <f>IFERROR(VLOOKUP(B29,DATA!$B$2:$D$6,2,0),"")</f>
        <v/>
      </c>
      <c r="T29" s="157" t="str">
        <f t="shared" si="6"/>
        <v/>
      </c>
      <c r="U29" s="41" t="str">
        <f t="shared" si="7"/>
        <v/>
      </c>
      <c r="V29" s="150"/>
    </row>
    <row r="30" spans="1:22" ht="11.65" customHeight="1" x14ac:dyDescent="0.35">
      <c r="A30" s="9"/>
      <c r="B30" s="10"/>
      <c r="C30" s="9">
        <f>IFERROR(VLOOKUP(B30,DATA!$B$2:$D$18,3,0),0)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t="shared" si="0"/>
        <v/>
      </c>
      <c r="M30" s="41">
        <f t="shared" si="1"/>
        <v>0</v>
      </c>
      <c r="N30" s="118">
        <f t="shared" si="2"/>
        <v>0</v>
      </c>
      <c r="O30" s="11" t="str">
        <f t="shared" si="3"/>
        <v/>
      </c>
      <c r="P30" s="12">
        <v>3.5000000000000003E-2</v>
      </c>
      <c r="Q30" s="41">
        <f t="shared" si="4"/>
        <v>0</v>
      </c>
      <c r="R30" s="41" t="str">
        <f t="shared" si="5"/>
        <v/>
      </c>
      <c r="S30" s="11" t="str">
        <f>IFERROR(VLOOKUP(B30,DATA!$B$2:$D$6,2,0),"")</f>
        <v/>
      </c>
      <c r="T30" s="157" t="str">
        <f t="shared" si="6"/>
        <v/>
      </c>
      <c r="U30" s="41" t="str">
        <f t="shared" si="7"/>
        <v/>
      </c>
      <c r="V30" s="150"/>
    </row>
    <row r="31" spans="1:22" ht="11.65" customHeight="1" x14ac:dyDescent="0.35">
      <c r="A31" s="9"/>
      <c r="B31" s="10"/>
      <c r="C31" s="9">
        <f>IFERROR(VLOOKUP(B31,DATA!$B$2:$D$18,3,0),0)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t="shared" si="0"/>
        <v/>
      </c>
      <c r="M31" s="41">
        <f t="shared" si="1"/>
        <v>0</v>
      </c>
      <c r="N31" s="118">
        <f t="shared" si="2"/>
        <v>0</v>
      </c>
      <c r="O31" s="11" t="str">
        <f t="shared" si="3"/>
        <v/>
      </c>
      <c r="P31" s="12">
        <v>3.5000000000000003E-2</v>
      </c>
      <c r="Q31" s="41">
        <f t="shared" si="4"/>
        <v>0</v>
      </c>
      <c r="R31" s="41" t="str">
        <f t="shared" si="5"/>
        <v/>
      </c>
      <c r="S31" s="11" t="str">
        <f>IFERROR(VLOOKUP(B31,DATA!$B$2:$D$6,2,0),"")</f>
        <v/>
      </c>
      <c r="T31" s="157" t="str">
        <f t="shared" si="6"/>
        <v/>
      </c>
      <c r="U31" s="41" t="str">
        <f t="shared" si="7"/>
        <v/>
      </c>
      <c r="V31" s="150"/>
    </row>
    <row r="32" spans="1:22" ht="11.65" customHeight="1" x14ac:dyDescent="0.35">
      <c r="A32" s="9"/>
      <c r="B32" s="10"/>
      <c r="C32" s="9">
        <f>IFERROR(VLOOKUP(B32,DATA!$B$2:$D$18,3,0),0)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t="shared" si="0"/>
        <v/>
      </c>
      <c r="M32" s="41">
        <f t="shared" si="1"/>
        <v>0</v>
      </c>
      <c r="N32" s="118">
        <f t="shared" si="2"/>
        <v>0</v>
      </c>
      <c r="O32" s="11" t="str">
        <f t="shared" si="3"/>
        <v/>
      </c>
      <c r="P32" s="12">
        <v>3.5000000000000003E-2</v>
      </c>
      <c r="Q32" s="41">
        <f t="shared" si="4"/>
        <v>0</v>
      </c>
      <c r="R32" s="41" t="str">
        <f t="shared" si="5"/>
        <v/>
      </c>
      <c r="S32" s="11" t="str">
        <f>IFERROR(VLOOKUP(B32,DATA!$B$2:$D$6,2,0),"")</f>
        <v/>
      </c>
      <c r="T32" s="157" t="str">
        <f t="shared" si="6"/>
        <v/>
      </c>
      <c r="U32" s="41" t="str">
        <f t="shared" si="7"/>
        <v/>
      </c>
      <c r="V32" s="150"/>
    </row>
    <row r="33" spans="1:22" ht="11.65" customHeight="1" x14ac:dyDescent="0.35">
      <c r="A33" s="9"/>
      <c r="B33" s="10"/>
      <c r="C33" s="9">
        <f>IFERROR(VLOOKUP(B33,DATA!$B$2:$D$18,3,0),0)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t="shared" si="0"/>
        <v/>
      </c>
      <c r="M33" s="41">
        <f t="shared" si="1"/>
        <v>0</v>
      </c>
      <c r="N33" s="118">
        <f t="shared" si="2"/>
        <v>0</v>
      </c>
      <c r="O33" s="11" t="str">
        <f t="shared" si="3"/>
        <v/>
      </c>
      <c r="P33" s="12">
        <v>3.5000000000000003E-2</v>
      </c>
      <c r="Q33" s="41">
        <f t="shared" si="4"/>
        <v>0</v>
      </c>
      <c r="R33" s="41" t="str">
        <f t="shared" si="5"/>
        <v/>
      </c>
      <c r="S33" s="11" t="str">
        <f>IFERROR(VLOOKUP(B33,DATA!$B$2:$D$6,2,0),"")</f>
        <v/>
      </c>
      <c r="T33" s="157" t="str">
        <f t="shared" si="6"/>
        <v/>
      </c>
      <c r="U33" s="41" t="str">
        <f t="shared" si="7"/>
        <v/>
      </c>
      <c r="V33" s="150"/>
    </row>
    <row r="34" spans="1:22" ht="11.65" customHeight="1" x14ac:dyDescent="0.35">
      <c r="A34" s="9"/>
      <c r="B34" s="10"/>
      <c r="C34" s="9">
        <f>IFERROR(VLOOKUP(B34,DATA!$B$2:$D$18,3,0),0)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t="shared" si="0"/>
        <v/>
      </c>
      <c r="M34" s="41">
        <f t="shared" si="1"/>
        <v>0</v>
      </c>
      <c r="N34" s="118">
        <f t="shared" si="2"/>
        <v>0</v>
      </c>
      <c r="O34" s="11" t="str">
        <f t="shared" si="3"/>
        <v/>
      </c>
      <c r="P34" s="12">
        <v>3.5000000000000003E-2</v>
      </c>
      <c r="Q34" s="41">
        <f t="shared" si="4"/>
        <v>0</v>
      </c>
      <c r="R34" s="41" t="str">
        <f t="shared" si="5"/>
        <v/>
      </c>
      <c r="S34" s="11" t="str">
        <f>IFERROR(VLOOKUP(B34,DATA!$B$2:$D$6,2,0),"")</f>
        <v/>
      </c>
      <c r="T34" s="157" t="str">
        <f t="shared" si="6"/>
        <v/>
      </c>
      <c r="U34" s="41" t="str">
        <f t="shared" si="7"/>
        <v/>
      </c>
    </row>
    <row r="35" spans="1:22" ht="11.65" customHeight="1" x14ac:dyDescent="0.35">
      <c r="A35" s="9"/>
      <c r="B35" s="10"/>
      <c r="C35" s="9">
        <f>IFERROR(VLOOKUP(B35,DATA!$B$2:$D$18,3,0),0)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t="shared" si="0"/>
        <v/>
      </c>
      <c r="M35" s="41">
        <f t="shared" si="1"/>
        <v>0</v>
      </c>
      <c r="N35" s="118">
        <f t="shared" si="2"/>
        <v>0</v>
      </c>
      <c r="O35" s="11" t="str">
        <f t="shared" si="3"/>
        <v/>
      </c>
      <c r="P35" s="12">
        <v>3.5000000000000003E-2</v>
      </c>
      <c r="Q35" s="41">
        <f t="shared" si="4"/>
        <v>0</v>
      </c>
      <c r="R35" s="41" t="str">
        <f t="shared" si="5"/>
        <v/>
      </c>
      <c r="S35" s="11" t="str">
        <f>IFERROR(VLOOKUP(B35,DATA!$B$2:$D$6,2,0),"")</f>
        <v/>
      </c>
      <c r="T35" s="157" t="str">
        <f t="shared" si="6"/>
        <v/>
      </c>
      <c r="U35" s="41" t="str">
        <f t="shared" si="7"/>
        <v/>
      </c>
    </row>
    <row r="36" spans="1:22" ht="11.65" customHeight="1" x14ac:dyDescent="0.35">
      <c r="A36" s="9"/>
      <c r="B36" s="10"/>
      <c r="C36" s="9">
        <f>IFERROR(VLOOKUP(B36,DATA!$B$2:$D$18,3,0),0)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t="shared" si="0"/>
        <v/>
      </c>
      <c r="M36" s="41">
        <f t="shared" si="1"/>
        <v>0</v>
      </c>
      <c r="N36" s="118">
        <f t="shared" si="2"/>
        <v>0</v>
      </c>
      <c r="O36" s="11" t="str">
        <f t="shared" si="3"/>
        <v/>
      </c>
      <c r="P36" s="12">
        <v>3.5000000000000003E-2</v>
      </c>
      <c r="Q36" s="41">
        <f t="shared" si="4"/>
        <v>0</v>
      </c>
      <c r="R36" s="41" t="str">
        <f t="shared" si="5"/>
        <v/>
      </c>
      <c r="S36" s="11" t="str">
        <f>IFERROR(VLOOKUP(B36,DATA!$B$2:$D$6,2,0),"")</f>
        <v/>
      </c>
      <c r="T36" s="157" t="str">
        <f t="shared" si="6"/>
        <v/>
      </c>
      <c r="U36" s="41" t="str">
        <f t="shared" si="7"/>
        <v/>
      </c>
    </row>
    <row r="37" spans="1:22" ht="11.65" customHeight="1" x14ac:dyDescent="0.35">
      <c r="A37" s="9"/>
      <c r="B37" s="10"/>
      <c r="C37" s="9">
        <f>IFERROR(VLOOKUP(B37,DATA!$B$2:$D$18,3,0),0)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t="shared" si="0"/>
        <v/>
      </c>
      <c r="M37" s="41">
        <f t="shared" si="1"/>
        <v>0</v>
      </c>
      <c r="N37" s="118">
        <f t="shared" si="2"/>
        <v>0</v>
      </c>
      <c r="O37" s="11" t="str">
        <f t="shared" si="3"/>
        <v/>
      </c>
      <c r="P37" s="12">
        <v>3.5000000000000003E-2</v>
      </c>
      <c r="Q37" s="41">
        <f t="shared" si="4"/>
        <v>0</v>
      </c>
      <c r="R37" s="41" t="str">
        <f t="shared" si="5"/>
        <v/>
      </c>
      <c r="S37" s="11" t="str">
        <f>IFERROR(VLOOKUP(B37,DATA!$B$2:$D$6,2,0),"")</f>
        <v/>
      </c>
      <c r="T37" s="157" t="str">
        <f t="shared" si="6"/>
        <v/>
      </c>
      <c r="U37" s="41" t="str">
        <f t="shared" si="7"/>
        <v/>
      </c>
    </row>
    <row r="38" spans="1:22" ht="11.65" customHeight="1" x14ac:dyDescent="0.35">
      <c r="A38" s="9"/>
      <c r="B38" s="10"/>
      <c r="C38" s="9">
        <f>IFERROR(VLOOKUP(B38,DATA!$B$2:$D$18,3,0),0)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t="shared" si="0"/>
        <v/>
      </c>
      <c r="M38" s="41">
        <f t="shared" si="1"/>
        <v>0</v>
      </c>
      <c r="N38" s="118">
        <f t="shared" si="2"/>
        <v>0</v>
      </c>
      <c r="O38" s="11" t="str">
        <f t="shared" si="3"/>
        <v/>
      </c>
      <c r="P38" s="12">
        <v>3.5000000000000003E-2</v>
      </c>
      <c r="Q38" s="41">
        <f t="shared" si="4"/>
        <v>0</v>
      </c>
      <c r="R38" s="41" t="str">
        <f t="shared" si="5"/>
        <v/>
      </c>
      <c r="S38" s="11" t="str">
        <f>IFERROR(VLOOKUP(B38,DATA!$B$2:$D$6,2,0),"")</f>
        <v/>
      </c>
      <c r="T38" s="157" t="str">
        <f t="shared" si="6"/>
        <v/>
      </c>
      <c r="U38" s="41" t="str">
        <f t="shared" si="7"/>
        <v/>
      </c>
    </row>
    <row r="39" spans="1:22" ht="11.65" customHeight="1" x14ac:dyDescent="0.35">
      <c r="A39" s="9"/>
      <c r="B39" s="10"/>
      <c r="C39" s="9">
        <f>IFERROR(VLOOKUP(B39,DATA!$B$2:$D$18,3,0),0)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t="shared" si="0"/>
        <v/>
      </c>
      <c r="M39" s="41">
        <f t="shared" si="1"/>
        <v>0</v>
      </c>
      <c r="N39" s="118">
        <f t="shared" si="2"/>
        <v>0</v>
      </c>
      <c r="O39" s="11" t="str">
        <f t="shared" si="3"/>
        <v/>
      </c>
      <c r="P39" s="12">
        <v>3.5000000000000003E-2</v>
      </c>
      <c r="Q39" s="41">
        <f t="shared" si="4"/>
        <v>0</v>
      </c>
      <c r="R39" s="41" t="str">
        <f t="shared" si="5"/>
        <v/>
      </c>
      <c r="S39" s="11" t="str">
        <f>IFERROR(VLOOKUP(B39,DATA!$B$2:$D$6,2,0),"")</f>
        <v/>
      </c>
      <c r="T39" s="157" t="str">
        <f t="shared" si="6"/>
        <v/>
      </c>
      <c r="U39" s="41" t="str">
        <f t="shared" si="7"/>
        <v/>
      </c>
    </row>
    <row r="40" spans="1:22" ht="11.65" customHeight="1" x14ac:dyDescent="0.35">
      <c r="A40" s="9"/>
      <c r="B40" s="10"/>
      <c r="C40" s="9">
        <f>IFERROR(VLOOKUP(B40,DATA!$B$2:$D$18,3,0),0)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t="shared" si="0"/>
        <v/>
      </c>
      <c r="M40" s="41">
        <f t="shared" si="1"/>
        <v>0</v>
      </c>
      <c r="N40" s="118">
        <f t="shared" si="2"/>
        <v>0</v>
      </c>
      <c r="O40" s="11" t="str">
        <f t="shared" si="3"/>
        <v/>
      </c>
      <c r="P40" s="12">
        <v>3.5000000000000003E-2</v>
      </c>
      <c r="Q40" s="41">
        <f t="shared" si="4"/>
        <v>0</v>
      </c>
      <c r="R40" s="41" t="str">
        <f t="shared" si="5"/>
        <v/>
      </c>
      <c r="S40" s="11" t="str">
        <f>IFERROR(VLOOKUP(B40,DATA!$B$2:$D$6,2,0),"")</f>
        <v/>
      </c>
      <c r="T40" s="157" t="str">
        <f t="shared" si="6"/>
        <v/>
      </c>
      <c r="U40" s="41" t="str">
        <f t="shared" si="7"/>
        <v/>
      </c>
    </row>
    <row r="41" spans="1:22" ht="11.65" customHeight="1" x14ac:dyDescent="0.35">
      <c r="A41" s="9"/>
      <c r="B41" s="10"/>
      <c r="C41" s="9">
        <f>IFERROR(VLOOKUP(B41,DATA!$B$2:$D$18,3,0),0)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t="shared" si="0"/>
        <v/>
      </c>
      <c r="M41" s="41">
        <f t="shared" si="1"/>
        <v>0</v>
      </c>
      <c r="N41" s="118">
        <f t="shared" si="2"/>
        <v>0</v>
      </c>
      <c r="O41" s="11" t="str">
        <f t="shared" si="3"/>
        <v/>
      </c>
      <c r="P41" s="12">
        <v>3.5000000000000003E-2</v>
      </c>
      <c r="Q41" s="41">
        <f t="shared" si="4"/>
        <v>0</v>
      </c>
      <c r="R41" s="41" t="str">
        <f t="shared" si="5"/>
        <v/>
      </c>
      <c r="S41" s="11" t="str">
        <f>IFERROR(VLOOKUP(B41,DATA!$B$2:$D$6,2,0),"")</f>
        <v/>
      </c>
      <c r="T41" s="157" t="str">
        <f t="shared" si="6"/>
        <v/>
      </c>
      <c r="U41" s="41" t="str">
        <f t="shared" si="7"/>
        <v/>
      </c>
    </row>
    <row r="42" spans="1:22" ht="11.65" customHeight="1" x14ac:dyDescent="0.35">
      <c r="A42" s="9"/>
      <c r="B42" s="10"/>
      <c r="C42" s="9">
        <f>IFERROR(VLOOKUP(B42,DATA!$B$2:$D$18,3,0),0)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t="shared" si="0"/>
        <v/>
      </c>
      <c r="M42" s="41">
        <f t="shared" si="1"/>
        <v>0</v>
      </c>
      <c r="N42" s="118">
        <f t="shared" si="2"/>
        <v>0</v>
      </c>
      <c r="O42" s="11" t="str">
        <f t="shared" si="3"/>
        <v/>
      </c>
      <c r="P42" s="12">
        <v>3.5000000000000003E-2</v>
      </c>
      <c r="Q42" s="41">
        <f t="shared" si="4"/>
        <v>0</v>
      </c>
      <c r="R42" s="41" t="str">
        <f t="shared" si="5"/>
        <v/>
      </c>
      <c r="S42" s="11" t="str">
        <f>IFERROR(VLOOKUP(B42,DATA!$B$2:$D$6,2,0),"")</f>
        <v/>
      </c>
      <c r="T42" s="157" t="str">
        <f t="shared" si="6"/>
        <v/>
      </c>
      <c r="U42" s="41" t="str">
        <f t="shared" si="7"/>
        <v/>
      </c>
    </row>
    <row r="43" spans="1:22" ht="11.65" customHeight="1" x14ac:dyDescent="0.35">
      <c r="A43" s="9"/>
      <c r="B43" s="10"/>
      <c r="C43" s="9">
        <f>IFERROR(VLOOKUP(B43,DATA!$B$2:$D$18,3,0),0)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t="shared" si="0"/>
        <v/>
      </c>
      <c r="M43" s="41">
        <f t="shared" si="1"/>
        <v>0</v>
      </c>
      <c r="N43" s="118">
        <f t="shared" si="2"/>
        <v>0</v>
      </c>
      <c r="O43" s="11" t="str">
        <f t="shared" si="3"/>
        <v/>
      </c>
      <c r="P43" s="12">
        <v>3.5000000000000003E-2</v>
      </c>
      <c r="Q43" s="41">
        <f t="shared" si="4"/>
        <v>0</v>
      </c>
      <c r="R43" s="41" t="str">
        <f t="shared" si="5"/>
        <v/>
      </c>
      <c r="S43" s="11" t="str">
        <f>IFERROR(VLOOKUP(B43,DATA!$B$2:$D$6,2,0),"")</f>
        <v/>
      </c>
      <c r="T43" s="157" t="str">
        <f t="shared" si="6"/>
        <v/>
      </c>
      <c r="U43" s="41" t="str">
        <f t="shared" si="7"/>
        <v/>
      </c>
    </row>
    <row r="44" spans="1:22" ht="11.65" customHeight="1" x14ac:dyDescent="0.35">
      <c r="A44" s="9"/>
      <c r="B44" s="10"/>
      <c r="C44" s="9">
        <f>IFERROR(VLOOKUP(B44,DATA!$B$2:$D$18,3,0),0)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t="shared" si="0"/>
        <v/>
      </c>
      <c r="M44" s="41">
        <f t="shared" si="1"/>
        <v>0</v>
      </c>
      <c r="N44" s="118">
        <f t="shared" si="2"/>
        <v>0</v>
      </c>
      <c r="O44" s="11" t="str">
        <f t="shared" si="3"/>
        <v/>
      </c>
      <c r="P44" s="12">
        <v>3.5000000000000003E-2</v>
      </c>
      <c r="Q44" s="41">
        <f t="shared" si="4"/>
        <v>0</v>
      </c>
      <c r="R44" s="41" t="str">
        <f t="shared" si="5"/>
        <v/>
      </c>
      <c r="S44" s="11" t="str">
        <f>IFERROR(VLOOKUP(B44,DATA!$B$2:$D$6,2,0),"")</f>
        <v/>
      </c>
      <c r="T44" s="157" t="str">
        <f t="shared" si="6"/>
        <v/>
      </c>
      <c r="U44" s="41" t="str">
        <f t="shared" si="7"/>
        <v/>
      </c>
    </row>
    <row r="45" spans="1:22" ht="11.65" customHeight="1" x14ac:dyDescent="0.35">
      <c r="A45" s="9"/>
      <c r="B45" s="10"/>
      <c r="C45" s="9">
        <f>IFERROR(VLOOKUP(B45,DATA!$B$2:$D$18,3,0),0)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t="shared" si="0"/>
        <v/>
      </c>
      <c r="M45" s="41">
        <f t="shared" si="1"/>
        <v>0</v>
      </c>
      <c r="N45" s="118">
        <f t="shared" si="2"/>
        <v>0</v>
      </c>
      <c r="O45" s="11" t="str">
        <f t="shared" si="3"/>
        <v/>
      </c>
      <c r="P45" s="12">
        <v>3.5000000000000003E-2</v>
      </c>
      <c r="Q45" s="41">
        <f t="shared" si="4"/>
        <v>0</v>
      </c>
      <c r="R45" s="41" t="str">
        <f t="shared" si="5"/>
        <v/>
      </c>
      <c r="S45" s="11" t="str">
        <f>IFERROR(VLOOKUP(B45,DATA!$B$2:$D$6,2,0),"")</f>
        <v/>
      </c>
      <c r="T45" s="157" t="str">
        <f t="shared" si="6"/>
        <v/>
      </c>
      <c r="U45" s="41" t="str">
        <f t="shared" si="7"/>
        <v/>
      </c>
    </row>
    <row r="46" spans="1:22" ht="11.65" customHeight="1" x14ac:dyDescent="0.35">
      <c r="A46" s="9"/>
      <c r="B46" s="10"/>
      <c r="C46" s="9">
        <f>IFERROR(VLOOKUP(B46,DATA!$B$2:$D$18,3,0),0)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t="shared" si="0"/>
        <v/>
      </c>
      <c r="M46" s="41">
        <f t="shared" si="1"/>
        <v>0</v>
      </c>
      <c r="N46" s="118">
        <f t="shared" si="2"/>
        <v>0</v>
      </c>
      <c r="O46" s="11" t="str">
        <f t="shared" si="3"/>
        <v/>
      </c>
      <c r="P46" s="12">
        <v>3.5000000000000003E-2</v>
      </c>
      <c r="Q46" s="41">
        <f t="shared" si="4"/>
        <v>0</v>
      </c>
      <c r="R46" s="41" t="str">
        <f t="shared" si="5"/>
        <v/>
      </c>
      <c r="S46" s="11" t="str">
        <f>IFERROR(VLOOKUP(B46,DATA!$B$2:$D$6,2,0),"")</f>
        <v/>
      </c>
      <c r="T46" s="157" t="str">
        <f t="shared" si="6"/>
        <v/>
      </c>
      <c r="U46" s="41" t="str">
        <f t="shared" si="7"/>
        <v/>
      </c>
    </row>
    <row r="47" spans="1:22" ht="11.65" customHeight="1" x14ac:dyDescent="0.35">
      <c r="A47" s="9"/>
      <c r="B47" s="10"/>
      <c r="C47" s="9">
        <f>IFERROR(VLOOKUP(B47,DATA!$B$2:$D$18,3,0),0)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t="shared" si="0"/>
        <v/>
      </c>
      <c r="M47" s="41">
        <f t="shared" si="1"/>
        <v>0</v>
      </c>
      <c r="N47" s="118">
        <f t="shared" si="2"/>
        <v>0</v>
      </c>
      <c r="O47" s="11" t="str">
        <f t="shared" si="3"/>
        <v/>
      </c>
      <c r="P47" s="12">
        <v>3.5000000000000003E-2</v>
      </c>
      <c r="Q47" s="41">
        <f t="shared" si="4"/>
        <v>0</v>
      </c>
      <c r="R47" s="41" t="str">
        <f t="shared" si="5"/>
        <v/>
      </c>
      <c r="S47" s="11" t="str">
        <f>IFERROR(VLOOKUP(B47,DATA!$B$2:$D$6,2,0),"")</f>
        <v/>
      </c>
      <c r="T47" s="157" t="str">
        <f t="shared" si="6"/>
        <v/>
      </c>
      <c r="U47" s="41" t="str">
        <f t="shared" si="7"/>
        <v/>
      </c>
    </row>
    <row r="48" spans="1:22" ht="11.65" customHeight="1" x14ac:dyDescent="0.35">
      <c r="A48" s="9"/>
      <c r="B48" s="10"/>
      <c r="C48" s="9">
        <f>IFERROR(VLOOKUP(B48,DATA!$B$2:$D$18,3,0),0)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t="shared" si="0"/>
        <v/>
      </c>
      <c r="M48" s="41">
        <f t="shared" si="1"/>
        <v>0</v>
      </c>
      <c r="N48" s="118">
        <f t="shared" si="2"/>
        <v>0</v>
      </c>
      <c r="O48" s="11" t="str">
        <f t="shared" si="3"/>
        <v/>
      </c>
      <c r="P48" s="12">
        <v>3.5000000000000003E-2</v>
      </c>
      <c r="Q48" s="41">
        <f t="shared" si="4"/>
        <v>0</v>
      </c>
      <c r="R48" s="41" t="str">
        <f t="shared" si="5"/>
        <v/>
      </c>
      <c r="S48" s="11" t="str">
        <f>IFERROR(VLOOKUP(B48,DATA!$B$2:$D$6,2,0),"")</f>
        <v/>
      </c>
      <c r="T48" s="157" t="str">
        <f t="shared" si="6"/>
        <v/>
      </c>
      <c r="U48" s="41" t="str">
        <f t="shared" si="7"/>
        <v/>
      </c>
    </row>
    <row r="49" spans="1:21" ht="11.65" customHeight="1" x14ac:dyDescent="0.35">
      <c r="A49" s="9"/>
      <c r="B49" s="10"/>
      <c r="C49" s="9">
        <f>IFERROR(VLOOKUP(B49,DATA!$B$2:$D$18,3,0),0)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t="shared" si="0"/>
        <v/>
      </c>
      <c r="M49" s="41">
        <f t="shared" si="1"/>
        <v>0</v>
      </c>
      <c r="N49" s="118">
        <f t="shared" si="2"/>
        <v>0</v>
      </c>
      <c r="O49" s="11" t="str">
        <f t="shared" si="3"/>
        <v/>
      </c>
      <c r="P49" s="12">
        <v>3.5000000000000003E-2</v>
      </c>
      <c r="Q49" s="41">
        <f t="shared" si="4"/>
        <v>0</v>
      </c>
      <c r="R49" s="41" t="str">
        <f t="shared" si="5"/>
        <v/>
      </c>
      <c r="S49" s="11" t="str">
        <f>IFERROR(VLOOKUP(B49,DATA!$B$2:$D$6,2,0),"")</f>
        <v/>
      </c>
      <c r="T49" s="157" t="str">
        <f t="shared" si="6"/>
        <v/>
      </c>
      <c r="U49" s="41" t="str">
        <f t="shared" si="7"/>
        <v/>
      </c>
    </row>
    <row r="50" spans="1:21" ht="11.65" customHeight="1" x14ac:dyDescent="0.35">
      <c r="A50" s="9"/>
      <c r="B50" s="10"/>
      <c r="C50" s="9">
        <f>IFERROR(VLOOKUP(B50,DATA!$B$2:$D$18,3,0),0)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t="shared" si="0"/>
        <v/>
      </c>
      <c r="M50" s="41">
        <f t="shared" si="1"/>
        <v>0</v>
      </c>
      <c r="N50" s="118">
        <f t="shared" si="2"/>
        <v>0</v>
      </c>
      <c r="O50" s="11" t="str">
        <f t="shared" si="3"/>
        <v/>
      </c>
      <c r="P50" s="12">
        <v>3.5000000000000003E-2</v>
      </c>
      <c r="Q50" s="41">
        <f t="shared" si="4"/>
        <v>0</v>
      </c>
      <c r="R50" s="41" t="str">
        <f t="shared" si="5"/>
        <v/>
      </c>
      <c r="S50" s="11" t="str">
        <f>IFERROR(VLOOKUP(B50,DATA!$B$2:$D$6,2,0),"")</f>
        <v/>
      </c>
      <c r="T50" s="157" t="str">
        <f t="shared" si="6"/>
        <v/>
      </c>
      <c r="U50" s="41" t="str">
        <f t="shared" si="7"/>
        <v/>
      </c>
    </row>
    <row r="51" spans="1:21" ht="11.65" customHeight="1" x14ac:dyDescent="0.35">
      <c r="A51" s="9"/>
      <c r="B51" s="10"/>
      <c r="C51" s="9">
        <f>IFERROR(VLOOKUP(B51,DATA!$B$2:$D$18,3,0),0)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t="shared" si="0"/>
        <v/>
      </c>
      <c r="M51" s="41">
        <f t="shared" si="1"/>
        <v>0</v>
      </c>
      <c r="N51" s="118">
        <f t="shared" si="2"/>
        <v>0</v>
      </c>
      <c r="O51" s="11" t="str">
        <f t="shared" si="3"/>
        <v/>
      </c>
      <c r="P51" s="12">
        <v>3.5000000000000003E-2</v>
      </c>
      <c r="Q51" s="41">
        <f t="shared" si="4"/>
        <v>0</v>
      </c>
      <c r="R51" s="41" t="str">
        <f t="shared" si="5"/>
        <v/>
      </c>
      <c r="S51" s="11" t="str">
        <f>IFERROR(VLOOKUP(B51,DATA!$B$2:$D$6,2,0),"")</f>
        <v/>
      </c>
      <c r="T51" s="157" t="str">
        <f t="shared" si="6"/>
        <v/>
      </c>
      <c r="U51" s="41" t="str">
        <f t="shared" si="7"/>
        <v/>
      </c>
    </row>
    <row r="52" spans="1:21" ht="11.65" customHeight="1" x14ac:dyDescent="0.35">
      <c r="A52" s="9"/>
      <c r="B52" s="10"/>
      <c r="C52" s="9">
        <f>IFERROR(VLOOKUP(B52,DATA!$B$2:$D$18,3,0),0)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t="shared" si="0"/>
        <v/>
      </c>
      <c r="M52" s="41">
        <f t="shared" si="1"/>
        <v>0</v>
      </c>
      <c r="N52" s="118">
        <f t="shared" si="2"/>
        <v>0</v>
      </c>
      <c r="O52" s="11" t="str">
        <f t="shared" si="3"/>
        <v/>
      </c>
      <c r="P52" s="12">
        <v>3.5000000000000003E-2</v>
      </c>
      <c r="Q52" s="41">
        <f t="shared" si="4"/>
        <v>0</v>
      </c>
      <c r="R52" s="41" t="str">
        <f t="shared" si="5"/>
        <v/>
      </c>
      <c r="S52" s="11" t="str">
        <f>IFERROR(VLOOKUP(B52,DATA!$B$2:$D$6,2,0),"")</f>
        <v/>
      </c>
      <c r="T52" s="157" t="str">
        <f t="shared" si="6"/>
        <v/>
      </c>
      <c r="U52" s="41" t="str">
        <f t="shared" si="7"/>
        <v/>
      </c>
    </row>
    <row r="53" spans="1:21" ht="11.65" customHeight="1" x14ac:dyDescent="0.35">
      <c r="A53" s="9"/>
      <c r="B53" s="10"/>
      <c r="C53" s="9">
        <f>IFERROR(VLOOKUP(B53,DATA!$B$2:$D$18,3,0),0)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t="shared" si="0"/>
        <v/>
      </c>
      <c r="M53" s="41">
        <f t="shared" si="1"/>
        <v>0</v>
      </c>
      <c r="N53" s="118">
        <f t="shared" si="2"/>
        <v>0</v>
      </c>
      <c r="O53" s="11" t="str">
        <f t="shared" si="3"/>
        <v/>
      </c>
      <c r="P53" s="12">
        <v>3.5000000000000003E-2</v>
      </c>
      <c r="Q53" s="41">
        <f t="shared" si="4"/>
        <v>0</v>
      </c>
      <c r="R53" s="41" t="str">
        <f t="shared" si="5"/>
        <v/>
      </c>
      <c r="S53" s="11" t="str">
        <f>IFERROR(VLOOKUP(B53,DATA!$B$2:$D$6,2,0),"")</f>
        <v/>
      </c>
      <c r="T53" s="157" t="str">
        <f t="shared" si="6"/>
        <v/>
      </c>
      <c r="U53" s="41" t="str">
        <f t="shared" si="7"/>
        <v/>
      </c>
    </row>
    <row r="54" spans="1:21" ht="11.65" customHeight="1" x14ac:dyDescent="0.35">
      <c r="A54" s="9"/>
      <c r="B54" s="10"/>
      <c r="C54" s="9">
        <f>IFERROR(VLOOKUP(B54,DATA!$B$2:$D$18,3,0),0)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t="shared" si="0"/>
        <v/>
      </c>
      <c r="M54" s="41">
        <f t="shared" si="1"/>
        <v>0</v>
      </c>
      <c r="N54" s="118">
        <f t="shared" si="2"/>
        <v>0</v>
      </c>
      <c r="O54" s="11" t="str">
        <f t="shared" si="3"/>
        <v/>
      </c>
      <c r="P54" s="12">
        <v>3.5000000000000003E-2</v>
      </c>
      <c r="Q54" s="41">
        <f t="shared" si="4"/>
        <v>0</v>
      </c>
      <c r="R54" s="41" t="str">
        <f t="shared" si="5"/>
        <v/>
      </c>
      <c r="S54" s="11" t="str">
        <f>IFERROR(VLOOKUP(B54,DATA!$B$2:$D$6,2,0),"")</f>
        <v/>
      </c>
      <c r="T54" s="157" t="str">
        <f t="shared" si="6"/>
        <v/>
      </c>
      <c r="U54" s="41" t="str">
        <f t="shared" si="7"/>
        <v/>
      </c>
    </row>
    <row r="55" spans="1:21" ht="11.65" customHeight="1" x14ac:dyDescent="0.35">
      <c r="A55" s="14"/>
      <c r="B55" s="13"/>
      <c r="C55" s="14">
        <f>IFERROR(VLOOKUP(B55,DATA!$B$2:$D$18,3,0),0)</f>
        <v>0</v>
      </c>
      <c r="D55" s="46"/>
      <c r="E55" s="29"/>
      <c r="F55" s="29"/>
      <c r="G55" s="29"/>
      <c r="H55" s="23"/>
      <c r="I55" s="23"/>
      <c r="J55" s="46"/>
      <c r="K55" s="23"/>
      <c r="L55" s="12" t="str">
        <f t="shared" si="0"/>
        <v/>
      </c>
      <c r="M55" s="42">
        <f t="shared" si="1"/>
        <v>0</v>
      </c>
      <c r="N55" s="118">
        <f t="shared" si="2"/>
        <v>0</v>
      </c>
      <c r="O55" s="11" t="str">
        <f t="shared" si="3"/>
        <v/>
      </c>
      <c r="P55" s="16">
        <v>3.5000000000000003E-2</v>
      </c>
      <c r="Q55" s="42">
        <f t="shared" si="4"/>
        <v>0</v>
      </c>
      <c r="R55" s="41" t="str">
        <f t="shared" si="5"/>
        <v/>
      </c>
      <c r="S55" s="11" t="str">
        <f>IFERROR(VLOOKUP(B55,DATA!$B$2:$D$6,2,0),"")</f>
        <v/>
      </c>
      <c r="T55" s="157" t="str">
        <f t="shared" si="6"/>
        <v/>
      </c>
      <c r="U55" s="41" t="str">
        <f t="shared" si="7"/>
        <v/>
      </c>
    </row>
    <row r="56" spans="1:21" ht="11.65" customHeight="1" x14ac:dyDescent="0.35">
      <c r="A56" s="17" t="s">
        <v>85</v>
      </c>
      <c r="B56" s="18"/>
      <c r="C56" s="18"/>
      <c r="D56" s="47"/>
      <c r="E56" s="30"/>
      <c r="F56" s="31"/>
      <c r="G56" s="32"/>
      <c r="H56" s="34">
        <f>SUM(H12:H55)</f>
        <v>14</v>
      </c>
      <c r="I56" s="34"/>
      <c r="J56" s="43"/>
      <c r="K56" s="34"/>
      <c r="L56" s="37"/>
      <c r="M56" s="43"/>
      <c r="N56" s="120">
        <f>SUM(N12:N55)</f>
        <v>57.663209999999992</v>
      </c>
      <c r="O56" s="52"/>
      <c r="P56" s="50"/>
      <c r="Q56" s="53"/>
      <c r="R56" s="53"/>
      <c r="S56" s="50"/>
      <c r="T56" s="43"/>
      <c r="U56" s="43"/>
    </row>
    <row r="57" spans="1:21" ht="11.65" customHeight="1" x14ac:dyDescent="0.35">
      <c r="R57" s="54"/>
      <c r="S57" s="55"/>
    </row>
    <row r="58" spans="1:21" ht="11.65" customHeight="1" x14ac:dyDescent="0.35">
      <c r="R58" s="54"/>
      <c r="S58" s="55"/>
    </row>
    <row r="59" spans="1:21" ht="11.65" customHeight="1" x14ac:dyDescent="0.35">
      <c r="R59" s="54"/>
      <c r="S59" s="55"/>
    </row>
    <row r="60" spans="1:21" ht="11.65" customHeight="1" x14ac:dyDescent="0.35">
      <c r="R60" s="54"/>
      <c r="S60" s="55"/>
    </row>
    <row r="61" spans="1:21" ht="11.65" customHeight="1" x14ac:dyDescent="0.35">
      <c r="R61" s="54"/>
      <c r="S61" s="55"/>
    </row>
    <row r="62" spans="1:21" ht="11.65" customHeight="1" x14ac:dyDescent="0.35">
      <c r="R62" s="54"/>
      <c r="S62" s="55"/>
    </row>
  </sheetData>
  <mergeCells count="2">
    <mergeCell ref="S10:U10"/>
    <mergeCell ref="A10:R10"/>
  </mergeCells>
  <dataValidations count="1">
    <dataValidation allowBlank="1" showInputMessage="1" showErrorMessage="1" prompt="Lựa chọn nguyên liệu" sqref="A12:A55" xr:uid="{00000000-0002-0000-0400-000000000000}"/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8"/>
  <sheetViews>
    <sheetView showGridLines="0" topLeftCell="A2" workbookViewId="0">
      <selection activeCell="B15" sqref="B15"/>
    </sheetView>
  </sheetViews>
  <sheetFormatPr defaultColWidth="8.59765625" defaultRowHeight="11.65" customHeight="1" x14ac:dyDescent="0.35"/>
  <cols>
    <col min="1" max="1" width="17" style="2" customWidth="1"/>
    <col min="2" max="3" width="15" style="2" customWidth="1"/>
    <col min="4" max="5" width="11" style="2" customWidth="1"/>
    <col min="6" max="8" width="13" style="2" customWidth="1"/>
    <col min="9" max="9" width="7" style="2" customWidth="1"/>
    <col min="10" max="10" width="9" style="2" customWidth="1"/>
    <col min="11" max="11" width="11" style="2" customWidth="1"/>
    <col min="12" max="12" width="13" style="2" customWidth="1"/>
    <col min="13" max="14" width="10" style="2" customWidth="1"/>
    <col min="15" max="15" width="9" style="2" customWidth="1"/>
    <col min="16" max="16" width="8" style="2" customWidth="1"/>
    <col min="17" max="18" width="11" style="2" customWidth="1"/>
    <col min="19" max="19" width="12" style="2" customWidth="1"/>
    <col min="20" max="20" width="8" style="2" customWidth="1"/>
    <col min="21" max="21" width="10" style="2" customWidth="1"/>
    <col min="22" max="22" width="12" style="2" customWidth="1"/>
    <col min="23" max="24" width="8" style="2" customWidth="1"/>
    <col min="25" max="27" width="0" style="2" hidden="1" customWidth="1"/>
    <col min="28" max="28" width="8" style="2" customWidth="1"/>
    <col min="29" max="29" width="8.1328125" style="2" customWidth="1"/>
    <col min="30" max="30" width="8.265625" style="2" customWidth="1"/>
    <col min="31" max="31" width="8.3984375" style="2" customWidth="1"/>
    <col min="32" max="32" width="8.59765625" style="2" customWidth="1"/>
    <col min="33" max="16384" width="8.59765625" style="2"/>
  </cols>
  <sheetData>
    <row r="1" spans="1:27" ht="41.1" hidden="1" customHeight="1" x14ac:dyDescent="0.35">
      <c r="F1" s="59" t="s">
        <v>3</v>
      </c>
      <c r="G1" s="59"/>
      <c r="H1" s="60">
        <v>140000</v>
      </c>
    </row>
    <row r="2" spans="1:27" ht="14.25" customHeight="1" x14ac:dyDescent="0.35"/>
    <row r="3" spans="1:27" ht="14.25" customHeight="1" x14ac:dyDescent="0.35"/>
    <row r="4" spans="1:27" ht="14.25" customHeight="1" x14ac:dyDescent="0.35"/>
    <row r="5" spans="1:27" ht="14.25" customHeight="1" x14ac:dyDescent="0.35"/>
    <row r="6" spans="1:27" ht="14.25" customHeight="1" x14ac:dyDescent="0.35"/>
    <row r="7" spans="1:27" ht="14.25" customHeight="1" x14ac:dyDescent="0.35"/>
    <row r="8" spans="1:27" ht="14.25" customHeight="1" x14ac:dyDescent="0.35"/>
    <row r="9" spans="1:27" ht="14.25" customHeight="1" x14ac:dyDescent="0.35"/>
    <row r="10" spans="1:27" ht="25.5" customHeight="1" x14ac:dyDescent="0.35">
      <c r="A10" s="158" t="s">
        <v>56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60"/>
      <c r="T10" s="161" t="s">
        <v>68</v>
      </c>
      <c r="U10" s="162"/>
      <c r="V10" s="163"/>
      <c r="Y10" s="164" t="s">
        <v>8</v>
      </c>
      <c r="Z10" s="164"/>
      <c r="AA10" s="164"/>
    </row>
    <row r="11" spans="1:27" ht="48" customHeight="1" x14ac:dyDescent="0.35">
      <c r="A11" s="3" t="s">
        <v>38</v>
      </c>
      <c r="B11" s="3" t="s">
        <v>19</v>
      </c>
      <c r="C11" s="3" t="s">
        <v>34</v>
      </c>
      <c r="D11" s="4" t="s">
        <v>20</v>
      </c>
      <c r="E11" s="4" t="s">
        <v>6</v>
      </c>
      <c r="F11" s="4" t="s">
        <v>78</v>
      </c>
      <c r="G11" s="4" t="s">
        <v>81</v>
      </c>
      <c r="H11" s="4" t="s">
        <v>69</v>
      </c>
      <c r="I11" s="3" t="s">
        <v>104</v>
      </c>
      <c r="J11" s="4" t="s">
        <v>100</v>
      </c>
      <c r="K11" s="4" t="s">
        <v>67</v>
      </c>
      <c r="L11" s="4" t="s">
        <v>105</v>
      </c>
      <c r="M11" s="61" t="s">
        <v>108</v>
      </c>
      <c r="N11" s="62" t="s">
        <v>117</v>
      </c>
      <c r="O11" s="63" t="s">
        <v>63</v>
      </c>
      <c r="P11" s="62" t="s">
        <v>48</v>
      </c>
      <c r="Q11" s="62" t="s">
        <v>60</v>
      </c>
      <c r="R11" s="62" t="s">
        <v>112</v>
      </c>
      <c r="S11" s="38" t="s">
        <v>87</v>
      </c>
      <c r="T11" s="62" t="s">
        <v>0</v>
      </c>
      <c r="U11" s="62" t="s">
        <v>61</v>
      </c>
      <c r="V11" s="62" t="s">
        <v>84</v>
      </c>
      <c r="Y11" s="64" t="s">
        <v>4</v>
      </c>
      <c r="Z11" s="64">
        <v>100</v>
      </c>
      <c r="AA11" s="64">
        <v>3990</v>
      </c>
    </row>
    <row r="12" spans="1:27" ht="11.65" customHeight="1" x14ac:dyDescent="0.35">
      <c r="A12" s="68"/>
      <c r="B12" s="69" t="s">
        <v>102</v>
      </c>
      <c r="C12" s="69" t="s">
        <v>37</v>
      </c>
      <c r="D12" s="68">
        <f>IFERROR(VLOOKUP(B12,DATA!$G$2:$I$6,3,0),"")</f>
        <v>8.9</v>
      </c>
      <c r="E12" s="70">
        <v>130000</v>
      </c>
      <c r="F12" s="71">
        <v>25</v>
      </c>
      <c r="G12" s="71">
        <v>30</v>
      </c>
      <c r="H12" s="71">
        <v>19</v>
      </c>
      <c r="I12" s="72">
        <v>10</v>
      </c>
      <c r="J12" s="72"/>
      <c r="K12" s="70"/>
      <c r="L12" s="70"/>
      <c r="M12" s="84">
        <v>0</v>
      </c>
      <c r="N12" s="73">
        <f t="shared" ref="N12:N43" si="0">IF(C12="Tròn",PI()*(F12/2)^2/(10^2),IF(C12="Chữ nhật",F12*G12/10^2,0))</f>
        <v>4.908738521234052</v>
      </c>
      <c r="O12" s="74">
        <f t="shared" ref="O12:O43" si="1">IFERROR(N12*H12*D12*I12/10^4,"")</f>
        <v>0.8300676839406782</v>
      </c>
      <c r="P12" s="75">
        <f t="shared" ref="P12:P43" si="2">IFERROR(5/H12,"")</f>
        <v>0.26315789473684209</v>
      </c>
      <c r="Q12" s="76">
        <v>3.5000000000000003E-2</v>
      </c>
      <c r="R12" s="77">
        <f t="shared" ref="R12:R43" si="3">IFERROR(IF(N12=0,"-",IF(OR(N12&lt;=5,N12&gt;=45),2500,IF(AND(N12&gt;5,N12&lt;20),1800,2000)))*I12/O12,"")</f>
        <v>30118.0258955686</v>
      </c>
      <c r="S12" s="77">
        <f t="shared" ref="S12:S43" si="4">IFERROR((E12*(1+P12+Q12)+R12)/(1-J12*0.007/30),"")</f>
        <v>198878.55221135807</v>
      </c>
      <c r="T12" s="87">
        <v>0.12</v>
      </c>
      <c r="U12" s="78">
        <f t="shared" ref="U12:U43" si="5">IFERROR(ROUND((S12/(1-T12)+($K$12+$L$12)/$O$62)/(1-M12),-3),"")</f>
        <v>226000</v>
      </c>
      <c r="V12" s="77">
        <f t="shared" ref="V12:V43" si="6">IFERROR(ROUND(U12*O12,0),"")</f>
        <v>187595</v>
      </c>
      <c r="Y12" s="64" t="s">
        <v>4</v>
      </c>
      <c r="Z12" s="64">
        <v>250</v>
      </c>
      <c r="AA12" s="64">
        <v>3195</v>
      </c>
    </row>
    <row r="13" spans="1:27" ht="11.65" customHeight="1" x14ac:dyDescent="0.35">
      <c r="A13" s="79"/>
      <c r="B13" s="69" t="s">
        <v>102</v>
      </c>
      <c r="C13" s="69" t="s">
        <v>41</v>
      </c>
      <c r="D13" s="79">
        <f>IFERROR(VLOOKUP(B13,DATA!$G$2:$I$6,3,0),"")</f>
        <v>8.9</v>
      </c>
      <c r="E13" s="70">
        <v>240000</v>
      </c>
      <c r="F13" s="82">
        <v>40</v>
      </c>
      <c r="G13" s="82">
        <v>40</v>
      </c>
      <c r="H13" s="82">
        <v>80</v>
      </c>
      <c r="I13" s="83">
        <v>20</v>
      </c>
      <c r="J13" s="83"/>
      <c r="K13" s="81"/>
      <c r="L13" s="81"/>
      <c r="M13" s="84">
        <f t="shared" ref="M13:M44" si="7">IFERROR(IF(AND(OR(LEFT(B13,FIND(" ",B13,1)-1)="Đồng",LEFT(B13,FIND(" ",B13,1)-1)="Nhôm"),OR(F13&gt;(G13/10),C13="Tròn")),5%,0),"")</f>
        <v>0.05</v>
      </c>
      <c r="N13" s="114">
        <f t="shared" si="0"/>
        <v>16</v>
      </c>
      <c r="O13" s="86">
        <f t="shared" si="1"/>
        <v>22.783999999999999</v>
      </c>
      <c r="P13" s="87">
        <f t="shared" si="2"/>
        <v>6.25E-2</v>
      </c>
      <c r="Q13" s="88">
        <v>3.5000000000000003E-2</v>
      </c>
      <c r="R13" s="85">
        <f t="shared" si="3"/>
        <v>1580.056179775281</v>
      </c>
      <c r="S13" s="85">
        <f t="shared" si="4"/>
        <v>264980.05617977527</v>
      </c>
      <c r="T13" s="87">
        <f>IFERROR(VLOOKUP(B13,DATA!$G$2:$I$6,2,0),"")</f>
        <v>0.08</v>
      </c>
      <c r="U13" s="89">
        <f t="shared" si="5"/>
        <v>303000</v>
      </c>
      <c r="V13" s="85">
        <f t="shared" si="6"/>
        <v>6903552</v>
      </c>
      <c r="Y13" s="64" t="s">
        <v>4</v>
      </c>
      <c r="Z13" s="64">
        <v>500</v>
      </c>
      <c r="AA13" s="64">
        <v>2660</v>
      </c>
    </row>
    <row r="14" spans="1:27" ht="11.65" customHeight="1" x14ac:dyDescent="0.35">
      <c r="A14" s="79"/>
      <c r="B14" s="69" t="s">
        <v>102</v>
      </c>
      <c r="C14" s="69" t="s">
        <v>41</v>
      </c>
      <c r="D14" s="79">
        <f>IFERROR(VLOOKUP(B14,DATA!$G$2:$I$6,3,0),"")</f>
        <v>8.9</v>
      </c>
      <c r="E14" s="70">
        <v>240000</v>
      </c>
      <c r="F14" s="82">
        <v>40</v>
      </c>
      <c r="G14" s="82">
        <v>40</v>
      </c>
      <c r="H14" s="82">
        <v>2500</v>
      </c>
      <c r="I14" s="83">
        <v>1</v>
      </c>
      <c r="J14" s="83"/>
      <c r="K14" s="81"/>
      <c r="L14" s="81"/>
      <c r="M14" s="84">
        <f t="shared" si="7"/>
        <v>0.05</v>
      </c>
      <c r="N14" s="114">
        <f t="shared" si="0"/>
        <v>16</v>
      </c>
      <c r="O14" s="86">
        <f t="shared" si="1"/>
        <v>35.6</v>
      </c>
      <c r="P14" s="87">
        <f t="shared" si="2"/>
        <v>2E-3</v>
      </c>
      <c r="Q14" s="88">
        <v>3.5000000000000003E-2</v>
      </c>
      <c r="R14" s="85">
        <f t="shared" si="3"/>
        <v>50.561797752808985</v>
      </c>
      <c r="S14" s="85">
        <f t="shared" si="4"/>
        <v>248930.56179775277</v>
      </c>
      <c r="T14" s="87">
        <f>IFERROR(VLOOKUP(B14,DATA!$G$2:$I$6,2,0),"")</f>
        <v>0.08</v>
      </c>
      <c r="U14" s="89">
        <f t="shared" si="5"/>
        <v>285000</v>
      </c>
      <c r="V14" s="85">
        <f t="shared" si="6"/>
        <v>10146000</v>
      </c>
      <c r="Y14" s="64" t="s">
        <v>1</v>
      </c>
      <c r="Z14" s="64">
        <v>500</v>
      </c>
      <c r="AA14" s="64">
        <v>2130</v>
      </c>
    </row>
    <row r="15" spans="1:27" ht="11.65" customHeight="1" x14ac:dyDescent="0.35">
      <c r="A15" s="79"/>
      <c r="B15" s="69" t="s">
        <v>102</v>
      </c>
      <c r="C15" s="69" t="s">
        <v>41</v>
      </c>
      <c r="D15" s="79">
        <f>IFERROR(VLOOKUP(B15,DATA!$G$2:$I$6,3,0),"")</f>
        <v>8.9</v>
      </c>
      <c r="E15" s="70">
        <v>240000</v>
      </c>
      <c r="F15" s="82"/>
      <c r="G15" s="82"/>
      <c r="H15" s="82"/>
      <c r="I15" s="83"/>
      <c r="J15" s="83"/>
      <c r="K15" s="81"/>
      <c r="L15" s="81"/>
      <c r="M15" s="84">
        <f t="shared" si="7"/>
        <v>0</v>
      </c>
      <c r="N15" s="114">
        <f t="shared" si="0"/>
        <v>0</v>
      </c>
      <c r="O15" s="86">
        <f t="shared" si="1"/>
        <v>0</v>
      </c>
      <c r="P15" s="87" t="str">
        <f t="shared" si="2"/>
        <v/>
      </c>
      <c r="Q15" s="88">
        <v>3.5000000000000003E-2</v>
      </c>
      <c r="R15" s="85" t="str">
        <f t="shared" si="3"/>
        <v/>
      </c>
      <c r="S15" s="85" t="str">
        <f t="shared" si="4"/>
        <v/>
      </c>
      <c r="T15" s="87">
        <f>IFERROR(VLOOKUP(B15,DATA!$G$2:$I$6,2,0),"")</f>
        <v>0.08</v>
      </c>
      <c r="U15" s="89" t="str">
        <f t="shared" si="5"/>
        <v/>
      </c>
      <c r="V15" s="85" t="str">
        <f t="shared" si="6"/>
        <v/>
      </c>
      <c r="Y15" s="64" t="s">
        <v>47</v>
      </c>
      <c r="Z15" s="64"/>
      <c r="AA15" s="64"/>
    </row>
    <row r="16" spans="1:27" ht="11.65" customHeight="1" x14ac:dyDescent="0.35">
      <c r="A16" s="79"/>
      <c r="B16" s="80"/>
      <c r="C16" s="80"/>
      <c r="D16" s="79" t="str">
        <f>IFERROR(VLOOKUP(B16,DATA!$G$2:$I$6,3,0),"")</f>
        <v/>
      </c>
      <c r="E16" s="81"/>
      <c r="F16" s="82"/>
      <c r="G16" s="82"/>
      <c r="H16" s="82"/>
      <c r="I16" s="83"/>
      <c r="J16" s="83"/>
      <c r="K16" s="81"/>
      <c r="L16" s="81"/>
      <c r="M16" s="84" t="str">
        <f t="shared" si="7"/>
        <v/>
      </c>
      <c r="N16" s="114">
        <f t="shared" si="0"/>
        <v>0</v>
      </c>
      <c r="O16" s="86" t="str">
        <f t="shared" si="1"/>
        <v/>
      </c>
      <c r="P16" s="87" t="str">
        <f t="shared" si="2"/>
        <v/>
      </c>
      <c r="Q16" s="88">
        <v>3.5000000000000003E-2</v>
      </c>
      <c r="R16" s="85" t="str">
        <f t="shared" si="3"/>
        <v/>
      </c>
      <c r="S16" s="85" t="str">
        <f t="shared" si="4"/>
        <v/>
      </c>
      <c r="T16" s="87" t="str">
        <f>IFERROR(VLOOKUP(B16,DATA!$G$2:$I$6,2,0),"")</f>
        <v/>
      </c>
      <c r="U16" s="89" t="str">
        <f t="shared" si="5"/>
        <v/>
      </c>
      <c r="V16" s="85" t="str">
        <f t="shared" si="6"/>
        <v/>
      </c>
      <c r="Y16" s="64" t="s">
        <v>4</v>
      </c>
      <c r="Z16" s="64">
        <v>5</v>
      </c>
      <c r="AA16" s="65">
        <v>0.2</v>
      </c>
    </row>
    <row r="17" spans="1:27" ht="11.65" customHeight="1" x14ac:dyDescent="0.35">
      <c r="A17" s="79"/>
      <c r="B17" s="80"/>
      <c r="C17" s="80"/>
      <c r="D17" s="79" t="str">
        <f>IFERROR(VLOOKUP(B17,DATA!$G$2:$I$6,3,0),"")</f>
        <v/>
      </c>
      <c r="E17" s="81"/>
      <c r="F17" s="82"/>
      <c r="G17" s="82"/>
      <c r="H17" s="82"/>
      <c r="I17" s="83"/>
      <c r="J17" s="83"/>
      <c r="K17" s="81"/>
      <c r="L17" s="81"/>
      <c r="M17" s="84" t="str">
        <f t="shared" si="7"/>
        <v/>
      </c>
      <c r="N17" s="114">
        <f t="shared" si="0"/>
        <v>0</v>
      </c>
      <c r="O17" s="86" t="str">
        <f t="shared" si="1"/>
        <v/>
      </c>
      <c r="P17" s="87" t="str">
        <f t="shared" si="2"/>
        <v/>
      </c>
      <c r="Q17" s="88">
        <v>3.5000000000000003E-2</v>
      </c>
      <c r="R17" s="85" t="str">
        <f t="shared" si="3"/>
        <v/>
      </c>
      <c r="S17" s="85" t="str">
        <f t="shared" si="4"/>
        <v/>
      </c>
      <c r="T17" s="87" t="str">
        <f>IFERROR(VLOOKUP(B17,DATA!$G$2:$I$6,2,0),"")</f>
        <v/>
      </c>
      <c r="U17" s="89" t="str">
        <f t="shared" si="5"/>
        <v/>
      </c>
      <c r="V17" s="85" t="str">
        <f t="shared" si="6"/>
        <v/>
      </c>
      <c r="Y17" s="64" t="s">
        <v>4</v>
      </c>
      <c r="Z17" s="64">
        <v>20</v>
      </c>
      <c r="AA17" s="65">
        <v>0.1</v>
      </c>
    </row>
    <row r="18" spans="1:27" ht="11.65" customHeight="1" x14ac:dyDescent="0.35">
      <c r="A18" s="79"/>
      <c r="B18" s="80"/>
      <c r="C18" s="80"/>
      <c r="D18" s="79" t="str">
        <f>IFERROR(VLOOKUP(B18,DATA!$G$2:$I$6,3,0),"")</f>
        <v/>
      </c>
      <c r="E18" s="81"/>
      <c r="F18" s="82"/>
      <c r="G18" s="82"/>
      <c r="H18" s="82"/>
      <c r="I18" s="83"/>
      <c r="J18" s="83"/>
      <c r="K18" s="81"/>
      <c r="L18" s="81"/>
      <c r="M18" s="84" t="str">
        <f t="shared" si="7"/>
        <v/>
      </c>
      <c r="N18" s="114">
        <f t="shared" si="0"/>
        <v>0</v>
      </c>
      <c r="O18" s="86" t="str">
        <f t="shared" si="1"/>
        <v/>
      </c>
      <c r="P18" s="87" t="str">
        <f t="shared" si="2"/>
        <v/>
      </c>
      <c r="Q18" s="88">
        <v>3.5000000000000003E-2</v>
      </c>
      <c r="R18" s="85" t="str">
        <f t="shared" si="3"/>
        <v/>
      </c>
      <c r="S18" s="85" t="str">
        <f t="shared" si="4"/>
        <v/>
      </c>
      <c r="T18" s="87" t="str">
        <f>IFERROR(VLOOKUP(B18,DATA!$G$2:$I$6,2,0),"")</f>
        <v/>
      </c>
      <c r="U18" s="89" t="str">
        <f t="shared" si="5"/>
        <v/>
      </c>
      <c r="V18" s="85" t="str">
        <f t="shared" si="6"/>
        <v/>
      </c>
      <c r="Y18" s="64" t="s">
        <v>89</v>
      </c>
      <c r="Z18" s="64"/>
      <c r="AA18" s="64"/>
    </row>
    <row r="19" spans="1:27" ht="11.65" customHeight="1" x14ac:dyDescent="0.35">
      <c r="A19" s="79"/>
      <c r="B19" s="80"/>
      <c r="C19" s="80"/>
      <c r="D19" s="79" t="str">
        <f>IFERROR(VLOOKUP(B19,DATA!$G$2:$I$6,3,0),"")</f>
        <v/>
      </c>
      <c r="E19" s="81"/>
      <c r="F19" s="82"/>
      <c r="G19" s="82"/>
      <c r="H19" s="82"/>
      <c r="I19" s="83"/>
      <c r="J19" s="83"/>
      <c r="K19" s="81"/>
      <c r="L19" s="81"/>
      <c r="M19" s="84" t="str">
        <f t="shared" si="7"/>
        <v/>
      </c>
      <c r="N19" s="114">
        <f t="shared" si="0"/>
        <v>0</v>
      </c>
      <c r="O19" s="86" t="str">
        <f t="shared" si="1"/>
        <v/>
      </c>
      <c r="P19" s="87" t="str">
        <f t="shared" si="2"/>
        <v/>
      </c>
      <c r="Q19" s="88">
        <v>3.5000000000000003E-2</v>
      </c>
      <c r="R19" s="85" t="str">
        <f t="shared" si="3"/>
        <v/>
      </c>
      <c r="S19" s="85" t="str">
        <f t="shared" si="4"/>
        <v/>
      </c>
      <c r="T19" s="87" t="str">
        <f>IFERROR(VLOOKUP(B19,DATA!$G$2:$I$6,2,0),"")</f>
        <v/>
      </c>
      <c r="U19" s="89" t="str">
        <f t="shared" si="5"/>
        <v/>
      </c>
      <c r="V19" s="85" t="str">
        <f t="shared" si="6"/>
        <v/>
      </c>
      <c r="Y19" s="64" t="s">
        <v>4</v>
      </c>
      <c r="Z19" s="64">
        <v>200</v>
      </c>
      <c r="AA19" s="65">
        <v>0.5</v>
      </c>
    </row>
    <row r="20" spans="1:27" ht="11.65" customHeight="1" x14ac:dyDescent="0.35">
      <c r="A20" s="79"/>
      <c r="B20" s="80"/>
      <c r="C20" s="80"/>
      <c r="D20" s="79" t="str">
        <f>IFERROR(VLOOKUP(B20,DATA!$G$2:$I$6,3,0),"")</f>
        <v/>
      </c>
      <c r="E20" s="81"/>
      <c r="F20" s="82"/>
      <c r="G20" s="82"/>
      <c r="H20" s="82"/>
      <c r="I20" s="83"/>
      <c r="J20" s="83"/>
      <c r="K20" s="81"/>
      <c r="L20" s="81"/>
      <c r="M20" s="84" t="str">
        <f t="shared" si="7"/>
        <v/>
      </c>
      <c r="N20" s="114">
        <f t="shared" si="0"/>
        <v>0</v>
      </c>
      <c r="O20" s="86" t="str">
        <f t="shared" si="1"/>
        <v/>
      </c>
      <c r="P20" s="87" t="str">
        <f t="shared" si="2"/>
        <v/>
      </c>
      <c r="Q20" s="88">
        <v>3.5000000000000003E-2</v>
      </c>
      <c r="R20" s="85" t="str">
        <f t="shared" si="3"/>
        <v/>
      </c>
      <c r="S20" s="85" t="str">
        <f t="shared" si="4"/>
        <v/>
      </c>
      <c r="T20" s="87" t="str">
        <f>IFERROR(VLOOKUP(B20,DATA!$G$2:$I$6,2,0),"")</f>
        <v/>
      </c>
      <c r="U20" s="89" t="str">
        <f t="shared" si="5"/>
        <v/>
      </c>
      <c r="V20" s="85" t="str">
        <f t="shared" si="6"/>
        <v/>
      </c>
      <c r="Y20" s="64" t="s">
        <v>4</v>
      </c>
      <c r="Z20" s="64">
        <v>500</v>
      </c>
      <c r="AA20" s="65">
        <v>0.4</v>
      </c>
    </row>
    <row r="21" spans="1:27" ht="11.65" customHeight="1" x14ac:dyDescent="0.35">
      <c r="A21" s="79"/>
      <c r="B21" s="80"/>
      <c r="C21" s="80"/>
      <c r="D21" s="79" t="str">
        <f>IFERROR(VLOOKUP(B21,DATA!$G$2:$I$6,3,0),"")</f>
        <v/>
      </c>
      <c r="E21" s="81"/>
      <c r="F21" s="82"/>
      <c r="G21" s="82"/>
      <c r="H21" s="82"/>
      <c r="I21" s="83"/>
      <c r="J21" s="83"/>
      <c r="K21" s="81"/>
      <c r="L21" s="81"/>
      <c r="M21" s="84" t="str">
        <f t="shared" si="7"/>
        <v/>
      </c>
      <c r="N21" s="114">
        <f t="shared" si="0"/>
        <v>0</v>
      </c>
      <c r="O21" s="86" t="str">
        <f t="shared" si="1"/>
        <v/>
      </c>
      <c r="P21" s="87" t="str">
        <f t="shared" si="2"/>
        <v/>
      </c>
      <c r="Q21" s="88">
        <v>3.5000000000000003E-2</v>
      </c>
      <c r="R21" s="85" t="str">
        <f t="shared" si="3"/>
        <v/>
      </c>
      <c r="S21" s="85" t="str">
        <f t="shared" si="4"/>
        <v/>
      </c>
      <c r="T21" s="87" t="str">
        <f>IFERROR(VLOOKUP(B21,DATA!$G$2:$I$6,2,0),"")</f>
        <v/>
      </c>
      <c r="U21" s="89" t="str">
        <f t="shared" si="5"/>
        <v/>
      </c>
      <c r="V21" s="85" t="str">
        <f t="shared" si="6"/>
        <v/>
      </c>
      <c r="Y21" s="64" t="s">
        <v>4</v>
      </c>
      <c r="Z21" s="64">
        <v>1000</v>
      </c>
      <c r="AA21" s="65">
        <v>0.3</v>
      </c>
    </row>
    <row r="22" spans="1:27" ht="11.65" customHeight="1" x14ac:dyDescent="0.35">
      <c r="A22" s="79"/>
      <c r="B22" s="80"/>
      <c r="C22" s="80"/>
      <c r="D22" s="79" t="str">
        <f>IFERROR(VLOOKUP(B22,DATA!$G$2:$I$6,3,0),"")</f>
        <v/>
      </c>
      <c r="E22" s="81"/>
      <c r="F22" s="82"/>
      <c r="G22" s="82"/>
      <c r="H22" s="82"/>
      <c r="I22" s="83"/>
      <c r="J22" s="83"/>
      <c r="K22" s="81"/>
      <c r="L22" s="81"/>
      <c r="M22" s="84" t="str">
        <f t="shared" si="7"/>
        <v/>
      </c>
      <c r="N22" s="114">
        <f t="shared" si="0"/>
        <v>0</v>
      </c>
      <c r="O22" s="86" t="str">
        <f t="shared" si="1"/>
        <v/>
      </c>
      <c r="P22" s="87" t="str">
        <f t="shared" si="2"/>
        <v/>
      </c>
      <c r="Q22" s="88">
        <v>3.5000000000000003E-2</v>
      </c>
      <c r="R22" s="85" t="str">
        <f t="shared" si="3"/>
        <v/>
      </c>
      <c r="S22" s="85" t="str">
        <f t="shared" si="4"/>
        <v/>
      </c>
      <c r="T22" s="87" t="str">
        <f>IFERROR(VLOOKUP(B22,DATA!$G$2:$I$6,2,0),"")</f>
        <v/>
      </c>
      <c r="U22" s="89" t="str">
        <f t="shared" si="5"/>
        <v/>
      </c>
      <c r="V22" s="85" t="str">
        <f t="shared" si="6"/>
        <v/>
      </c>
      <c r="Y22" s="64" t="s">
        <v>4</v>
      </c>
      <c r="Z22" s="64">
        <v>10000</v>
      </c>
      <c r="AA22" s="65">
        <v>-0.1</v>
      </c>
    </row>
    <row r="23" spans="1:27" ht="11.65" customHeight="1" x14ac:dyDescent="0.35">
      <c r="A23" s="79"/>
      <c r="B23" s="80"/>
      <c r="C23" s="80"/>
      <c r="D23" s="79" t="str">
        <f>IFERROR(VLOOKUP(B23,DATA!$G$2:$I$6,3,0),"")</f>
        <v/>
      </c>
      <c r="E23" s="81"/>
      <c r="F23" s="82"/>
      <c r="G23" s="82"/>
      <c r="H23" s="82"/>
      <c r="I23" s="83"/>
      <c r="J23" s="83"/>
      <c r="K23" s="81"/>
      <c r="L23" s="81"/>
      <c r="M23" s="84" t="str">
        <f t="shared" si="7"/>
        <v/>
      </c>
      <c r="N23" s="114">
        <f t="shared" si="0"/>
        <v>0</v>
      </c>
      <c r="O23" s="86" t="str">
        <f t="shared" si="1"/>
        <v/>
      </c>
      <c r="P23" s="87" t="str">
        <f t="shared" si="2"/>
        <v/>
      </c>
      <c r="Q23" s="88">
        <v>3.5000000000000003E-2</v>
      </c>
      <c r="R23" s="85" t="str">
        <f t="shared" si="3"/>
        <v/>
      </c>
      <c r="S23" s="85" t="str">
        <f t="shared" si="4"/>
        <v/>
      </c>
      <c r="T23" s="87" t="str">
        <f>IFERROR(VLOOKUP(B23,DATA!$G$2:$I$6,2,0),"")</f>
        <v/>
      </c>
      <c r="U23" s="89" t="str">
        <f t="shared" si="5"/>
        <v/>
      </c>
      <c r="V23" s="85" t="str">
        <f t="shared" si="6"/>
        <v/>
      </c>
      <c r="Y23" s="64" t="s">
        <v>1</v>
      </c>
      <c r="Z23" s="64">
        <v>10000</v>
      </c>
      <c r="AA23" s="65">
        <v>-0.2</v>
      </c>
    </row>
    <row r="24" spans="1:27" ht="11.65" customHeight="1" x14ac:dyDescent="0.35">
      <c r="A24" s="79"/>
      <c r="B24" s="80"/>
      <c r="C24" s="80"/>
      <c r="D24" s="79" t="str">
        <f>IFERROR(VLOOKUP(B24,DATA!$G$2:$I$6,3,0),"")</f>
        <v/>
      </c>
      <c r="E24" s="81"/>
      <c r="F24" s="82"/>
      <c r="G24" s="82"/>
      <c r="H24" s="82"/>
      <c r="I24" s="83"/>
      <c r="J24" s="83"/>
      <c r="K24" s="81"/>
      <c r="L24" s="81"/>
      <c r="M24" s="84" t="str">
        <f t="shared" si="7"/>
        <v/>
      </c>
      <c r="N24" s="114">
        <f t="shared" si="0"/>
        <v>0</v>
      </c>
      <c r="O24" s="86" t="str">
        <f t="shared" si="1"/>
        <v/>
      </c>
      <c r="P24" s="87" t="str">
        <f t="shared" si="2"/>
        <v/>
      </c>
      <c r="Q24" s="88">
        <v>3.5000000000000003E-2</v>
      </c>
      <c r="R24" s="85" t="str">
        <f t="shared" si="3"/>
        <v/>
      </c>
      <c r="S24" s="85" t="str">
        <f t="shared" si="4"/>
        <v/>
      </c>
      <c r="T24" s="87" t="str">
        <f>IFERROR(VLOOKUP(B24,DATA!$G$2:$I$6,2,0),"")</f>
        <v/>
      </c>
      <c r="U24" s="89" t="str">
        <f t="shared" si="5"/>
        <v/>
      </c>
      <c r="V24" s="85" t="str">
        <f t="shared" si="6"/>
        <v/>
      </c>
    </row>
    <row r="25" spans="1:27" ht="11.65" customHeight="1" x14ac:dyDescent="0.35">
      <c r="A25" s="79"/>
      <c r="B25" s="80"/>
      <c r="C25" s="80"/>
      <c r="D25" s="79" t="str">
        <f>IFERROR(VLOOKUP(B25,DATA!$G$2:$I$6,3,0),"")</f>
        <v/>
      </c>
      <c r="E25" s="81"/>
      <c r="F25" s="82"/>
      <c r="G25" s="82"/>
      <c r="H25" s="82"/>
      <c r="I25" s="83"/>
      <c r="J25" s="83"/>
      <c r="K25" s="81"/>
      <c r="L25" s="81"/>
      <c r="M25" s="84" t="str">
        <f t="shared" si="7"/>
        <v/>
      </c>
      <c r="N25" s="114">
        <f t="shared" si="0"/>
        <v>0</v>
      </c>
      <c r="O25" s="86" t="str">
        <f t="shared" si="1"/>
        <v/>
      </c>
      <c r="P25" s="87" t="str">
        <f t="shared" si="2"/>
        <v/>
      </c>
      <c r="Q25" s="88">
        <v>3.5000000000000003E-2</v>
      </c>
      <c r="R25" s="85" t="str">
        <f t="shared" si="3"/>
        <v/>
      </c>
      <c r="S25" s="85" t="str">
        <f t="shared" si="4"/>
        <v/>
      </c>
      <c r="T25" s="87" t="str">
        <f>IFERROR(VLOOKUP(B25,DATA!$G$2:$I$6,2,0),"")</f>
        <v/>
      </c>
      <c r="U25" s="89" t="str">
        <f t="shared" si="5"/>
        <v/>
      </c>
      <c r="V25" s="85" t="str">
        <f t="shared" si="6"/>
        <v/>
      </c>
    </row>
    <row r="26" spans="1:27" ht="11.65" customHeight="1" x14ac:dyDescent="0.35">
      <c r="A26" s="79"/>
      <c r="B26" s="80"/>
      <c r="C26" s="80"/>
      <c r="D26" s="79" t="str">
        <f>IFERROR(VLOOKUP(B26,DATA!$G$2:$I$6,3,0),"")</f>
        <v/>
      </c>
      <c r="E26" s="81"/>
      <c r="F26" s="82"/>
      <c r="G26" s="82"/>
      <c r="H26" s="82"/>
      <c r="I26" s="83"/>
      <c r="J26" s="83"/>
      <c r="K26" s="81"/>
      <c r="L26" s="81"/>
      <c r="M26" s="84" t="str">
        <f t="shared" si="7"/>
        <v/>
      </c>
      <c r="N26" s="114">
        <f t="shared" si="0"/>
        <v>0</v>
      </c>
      <c r="O26" s="86" t="str">
        <f t="shared" si="1"/>
        <v/>
      </c>
      <c r="P26" s="87" t="str">
        <f t="shared" si="2"/>
        <v/>
      </c>
      <c r="Q26" s="88">
        <v>3.5000000000000003E-2</v>
      </c>
      <c r="R26" s="85" t="str">
        <f t="shared" si="3"/>
        <v/>
      </c>
      <c r="S26" s="85" t="str">
        <f t="shared" si="4"/>
        <v/>
      </c>
      <c r="T26" s="87" t="str">
        <f>IFERROR(VLOOKUP(B26,DATA!$G$2:$I$6,2,0),"")</f>
        <v/>
      </c>
      <c r="U26" s="89" t="str">
        <f t="shared" si="5"/>
        <v/>
      </c>
      <c r="V26" s="85" t="str">
        <f t="shared" si="6"/>
        <v/>
      </c>
    </row>
    <row r="27" spans="1:27" ht="11.65" customHeight="1" x14ac:dyDescent="0.35">
      <c r="A27" s="79"/>
      <c r="B27" s="80"/>
      <c r="C27" s="80"/>
      <c r="D27" s="79" t="str">
        <f>IFERROR(VLOOKUP(B27,DATA!$G$2:$I$6,3,0),"")</f>
        <v/>
      </c>
      <c r="E27" s="81"/>
      <c r="F27" s="82"/>
      <c r="G27" s="82"/>
      <c r="H27" s="82"/>
      <c r="I27" s="83"/>
      <c r="J27" s="83"/>
      <c r="K27" s="81"/>
      <c r="L27" s="81"/>
      <c r="M27" s="84" t="str">
        <f t="shared" si="7"/>
        <v/>
      </c>
      <c r="N27" s="114">
        <f t="shared" si="0"/>
        <v>0</v>
      </c>
      <c r="O27" s="86" t="str">
        <f t="shared" si="1"/>
        <v/>
      </c>
      <c r="P27" s="87" t="str">
        <f t="shared" si="2"/>
        <v/>
      </c>
      <c r="Q27" s="88">
        <v>3.5000000000000003E-2</v>
      </c>
      <c r="R27" s="85" t="str">
        <f t="shared" si="3"/>
        <v/>
      </c>
      <c r="S27" s="85" t="str">
        <f t="shared" si="4"/>
        <v/>
      </c>
      <c r="T27" s="87" t="str">
        <f>IFERROR(VLOOKUP(B27,DATA!$G$2:$I$6,2,0),"")</f>
        <v/>
      </c>
      <c r="U27" s="89" t="str">
        <f t="shared" si="5"/>
        <v/>
      </c>
      <c r="V27" s="85" t="str">
        <f t="shared" si="6"/>
        <v/>
      </c>
    </row>
    <row r="28" spans="1:27" ht="11.65" customHeight="1" x14ac:dyDescent="0.35">
      <c r="A28" s="79"/>
      <c r="B28" s="80"/>
      <c r="C28" s="80"/>
      <c r="D28" s="79" t="str">
        <f>IFERROR(VLOOKUP(B28,DATA!$G$2:$I$6,3,0),"")</f>
        <v/>
      </c>
      <c r="E28" s="81"/>
      <c r="F28" s="82"/>
      <c r="G28" s="82"/>
      <c r="H28" s="82"/>
      <c r="I28" s="83"/>
      <c r="J28" s="83"/>
      <c r="K28" s="81"/>
      <c r="L28" s="81"/>
      <c r="M28" s="84" t="str">
        <f t="shared" si="7"/>
        <v/>
      </c>
      <c r="N28" s="114">
        <f t="shared" si="0"/>
        <v>0</v>
      </c>
      <c r="O28" s="86" t="str">
        <f t="shared" si="1"/>
        <v/>
      </c>
      <c r="P28" s="87" t="str">
        <f t="shared" si="2"/>
        <v/>
      </c>
      <c r="Q28" s="88">
        <v>3.5000000000000003E-2</v>
      </c>
      <c r="R28" s="85" t="str">
        <f t="shared" si="3"/>
        <v/>
      </c>
      <c r="S28" s="85" t="str">
        <f t="shared" si="4"/>
        <v/>
      </c>
      <c r="T28" s="87" t="str">
        <f>IFERROR(VLOOKUP(B28,DATA!$G$2:$I$6,2,0),"")</f>
        <v/>
      </c>
      <c r="U28" s="89" t="str">
        <f t="shared" si="5"/>
        <v/>
      </c>
      <c r="V28" s="85" t="str">
        <f t="shared" si="6"/>
        <v/>
      </c>
    </row>
    <row r="29" spans="1:27" ht="11.65" customHeight="1" x14ac:dyDescent="0.35">
      <c r="A29" s="79"/>
      <c r="B29" s="80"/>
      <c r="C29" s="80"/>
      <c r="D29" s="79" t="str">
        <f>IFERROR(VLOOKUP(B29,DATA!$G$2:$I$6,3,0),"")</f>
        <v/>
      </c>
      <c r="E29" s="81"/>
      <c r="F29" s="82"/>
      <c r="G29" s="82"/>
      <c r="H29" s="82"/>
      <c r="I29" s="83"/>
      <c r="J29" s="83"/>
      <c r="K29" s="81"/>
      <c r="L29" s="81"/>
      <c r="M29" s="84" t="str">
        <f t="shared" si="7"/>
        <v/>
      </c>
      <c r="N29" s="114">
        <f t="shared" si="0"/>
        <v>0</v>
      </c>
      <c r="O29" s="86" t="str">
        <f t="shared" si="1"/>
        <v/>
      </c>
      <c r="P29" s="87" t="str">
        <f t="shared" si="2"/>
        <v/>
      </c>
      <c r="Q29" s="88">
        <v>3.5000000000000003E-2</v>
      </c>
      <c r="R29" s="85" t="str">
        <f t="shared" si="3"/>
        <v/>
      </c>
      <c r="S29" s="85" t="str">
        <f t="shared" si="4"/>
        <v/>
      </c>
      <c r="T29" s="87" t="str">
        <f>IFERROR(VLOOKUP(B29,DATA!$G$2:$I$6,2,0),"")</f>
        <v/>
      </c>
      <c r="U29" s="89" t="str">
        <f t="shared" si="5"/>
        <v/>
      </c>
      <c r="V29" s="85" t="str">
        <f t="shared" si="6"/>
        <v/>
      </c>
    </row>
    <row r="30" spans="1:27" ht="11.65" customHeight="1" x14ac:dyDescent="0.35">
      <c r="A30" s="79"/>
      <c r="B30" s="80"/>
      <c r="C30" s="80"/>
      <c r="D30" s="79" t="str">
        <f>IFERROR(VLOOKUP(B30,DATA!$G$2:$I$6,3,0),"")</f>
        <v/>
      </c>
      <c r="E30" s="81"/>
      <c r="F30" s="82"/>
      <c r="G30" s="82"/>
      <c r="H30" s="82"/>
      <c r="I30" s="83"/>
      <c r="J30" s="83"/>
      <c r="K30" s="81"/>
      <c r="L30" s="81"/>
      <c r="M30" s="84" t="str">
        <f t="shared" si="7"/>
        <v/>
      </c>
      <c r="N30" s="114">
        <f t="shared" si="0"/>
        <v>0</v>
      </c>
      <c r="O30" s="86" t="str">
        <f t="shared" si="1"/>
        <v/>
      </c>
      <c r="P30" s="87" t="str">
        <f t="shared" si="2"/>
        <v/>
      </c>
      <c r="Q30" s="88">
        <v>3.5000000000000003E-2</v>
      </c>
      <c r="R30" s="85" t="str">
        <f t="shared" si="3"/>
        <v/>
      </c>
      <c r="S30" s="85" t="str">
        <f t="shared" si="4"/>
        <v/>
      </c>
      <c r="T30" s="87" t="str">
        <f>IFERROR(VLOOKUP(B30,DATA!$G$2:$I$6,2,0),"")</f>
        <v/>
      </c>
      <c r="U30" s="89" t="str">
        <f t="shared" si="5"/>
        <v/>
      </c>
      <c r="V30" s="85" t="str">
        <f t="shared" si="6"/>
        <v/>
      </c>
    </row>
    <row r="31" spans="1:27" ht="11.65" customHeight="1" x14ac:dyDescent="0.35">
      <c r="A31" s="79"/>
      <c r="B31" s="80"/>
      <c r="C31" s="80"/>
      <c r="D31" s="79" t="str">
        <f>IFERROR(VLOOKUP(B31,DATA!$G$2:$I$6,3,0),"")</f>
        <v/>
      </c>
      <c r="E31" s="81"/>
      <c r="F31" s="82"/>
      <c r="G31" s="82"/>
      <c r="H31" s="82"/>
      <c r="I31" s="83"/>
      <c r="J31" s="83"/>
      <c r="K31" s="81"/>
      <c r="L31" s="81"/>
      <c r="M31" s="84" t="str">
        <f t="shared" si="7"/>
        <v/>
      </c>
      <c r="N31" s="114">
        <f t="shared" si="0"/>
        <v>0</v>
      </c>
      <c r="O31" s="86" t="str">
        <f t="shared" si="1"/>
        <v/>
      </c>
      <c r="P31" s="87" t="str">
        <f t="shared" si="2"/>
        <v/>
      </c>
      <c r="Q31" s="88">
        <v>3.5000000000000003E-2</v>
      </c>
      <c r="R31" s="85" t="str">
        <f t="shared" si="3"/>
        <v/>
      </c>
      <c r="S31" s="85" t="str">
        <f t="shared" si="4"/>
        <v/>
      </c>
      <c r="T31" s="87" t="str">
        <f>IFERROR(VLOOKUP(B31,DATA!$G$2:$I$6,2,0),"")</f>
        <v/>
      </c>
      <c r="U31" s="89" t="str">
        <f t="shared" si="5"/>
        <v/>
      </c>
      <c r="V31" s="85" t="str">
        <f t="shared" si="6"/>
        <v/>
      </c>
    </row>
    <row r="32" spans="1:27" ht="11.65" customHeight="1" x14ac:dyDescent="0.35">
      <c r="A32" s="79"/>
      <c r="B32" s="80"/>
      <c r="C32" s="80"/>
      <c r="D32" s="79" t="str">
        <f>IFERROR(VLOOKUP(B32,DATA!$G$2:$I$6,3,0),"")</f>
        <v/>
      </c>
      <c r="E32" s="81"/>
      <c r="F32" s="82"/>
      <c r="G32" s="82"/>
      <c r="H32" s="82"/>
      <c r="I32" s="83"/>
      <c r="J32" s="83"/>
      <c r="K32" s="81"/>
      <c r="L32" s="81"/>
      <c r="M32" s="84" t="str">
        <f t="shared" si="7"/>
        <v/>
      </c>
      <c r="N32" s="114">
        <f t="shared" si="0"/>
        <v>0</v>
      </c>
      <c r="O32" s="86" t="str">
        <f t="shared" si="1"/>
        <v/>
      </c>
      <c r="P32" s="87" t="str">
        <f t="shared" si="2"/>
        <v/>
      </c>
      <c r="Q32" s="88">
        <v>3.5000000000000003E-2</v>
      </c>
      <c r="R32" s="85" t="str">
        <f t="shared" si="3"/>
        <v/>
      </c>
      <c r="S32" s="85" t="str">
        <f t="shared" si="4"/>
        <v/>
      </c>
      <c r="T32" s="87" t="str">
        <f>IFERROR(VLOOKUP(B32,DATA!$G$2:$I$6,2,0),"")</f>
        <v/>
      </c>
      <c r="U32" s="89" t="str">
        <f t="shared" si="5"/>
        <v/>
      </c>
      <c r="V32" s="85" t="str">
        <f t="shared" si="6"/>
        <v/>
      </c>
    </row>
    <row r="33" spans="1:22" ht="11.65" customHeight="1" x14ac:dyDescent="0.35">
      <c r="A33" s="79"/>
      <c r="B33" s="80"/>
      <c r="C33" s="80"/>
      <c r="D33" s="79" t="str">
        <f>IFERROR(VLOOKUP(B33,DATA!$G$2:$I$6,3,0),"")</f>
        <v/>
      </c>
      <c r="E33" s="81"/>
      <c r="F33" s="82"/>
      <c r="G33" s="82"/>
      <c r="H33" s="82"/>
      <c r="I33" s="83"/>
      <c r="J33" s="83"/>
      <c r="K33" s="81"/>
      <c r="L33" s="81"/>
      <c r="M33" s="84" t="str">
        <f t="shared" si="7"/>
        <v/>
      </c>
      <c r="N33" s="114">
        <f t="shared" si="0"/>
        <v>0</v>
      </c>
      <c r="O33" s="86" t="str">
        <f t="shared" si="1"/>
        <v/>
      </c>
      <c r="P33" s="87" t="str">
        <f t="shared" si="2"/>
        <v/>
      </c>
      <c r="Q33" s="88">
        <v>3.5000000000000003E-2</v>
      </c>
      <c r="R33" s="85" t="str">
        <f t="shared" si="3"/>
        <v/>
      </c>
      <c r="S33" s="85" t="str">
        <f t="shared" si="4"/>
        <v/>
      </c>
      <c r="T33" s="87" t="str">
        <f>IFERROR(VLOOKUP(B33,DATA!$G$2:$I$6,2,0),"")</f>
        <v/>
      </c>
      <c r="U33" s="89" t="str">
        <f t="shared" si="5"/>
        <v/>
      </c>
      <c r="V33" s="85" t="str">
        <f t="shared" si="6"/>
        <v/>
      </c>
    </row>
    <row r="34" spans="1:22" ht="11.65" customHeight="1" x14ac:dyDescent="0.35">
      <c r="A34" s="79"/>
      <c r="B34" s="80"/>
      <c r="C34" s="80"/>
      <c r="D34" s="79" t="str">
        <f>IFERROR(VLOOKUP(B34,DATA!$G$2:$I$6,3,0),"")</f>
        <v/>
      </c>
      <c r="E34" s="81"/>
      <c r="F34" s="82"/>
      <c r="G34" s="82"/>
      <c r="H34" s="82"/>
      <c r="I34" s="83"/>
      <c r="J34" s="83"/>
      <c r="K34" s="81"/>
      <c r="L34" s="81"/>
      <c r="M34" s="84" t="str">
        <f t="shared" si="7"/>
        <v/>
      </c>
      <c r="N34" s="114">
        <f t="shared" si="0"/>
        <v>0</v>
      </c>
      <c r="O34" s="86" t="str">
        <f t="shared" si="1"/>
        <v/>
      </c>
      <c r="P34" s="87" t="str">
        <f t="shared" si="2"/>
        <v/>
      </c>
      <c r="Q34" s="88">
        <v>3.5000000000000003E-2</v>
      </c>
      <c r="R34" s="85" t="str">
        <f t="shared" si="3"/>
        <v/>
      </c>
      <c r="S34" s="85" t="str">
        <f t="shared" si="4"/>
        <v/>
      </c>
      <c r="T34" s="87" t="str">
        <f>IFERROR(VLOOKUP(B34,DATA!$G$2:$I$6,2,0),"")</f>
        <v/>
      </c>
      <c r="U34" s="89" t="str">
        <f t="shared" si="5"/>
        <v/>
      </c>
      <c r="V34" s="85" t="str">
        <f t="shared" si="6"/>
        <v/>
      </c>
    </row>
    <row r="35" spans="1:22" ht="11.65" customHeight="1" x14ac:dyDescent="0.35">
      <c r="A35" s="79"/>
      <c r="B35" s="80"/>
      <c r="C35" s="80"/>
      <c r="D35" s="79" t="str">
        <f>IFERROR(VLOOKUP(B35,DATA!$G$2:$I$6,3,0),"")</f>
        <v/>
      </c>
      <c r="E35" s="81"/>
      <c r="F35" s="82"/>
      <c r="G35" s="82"/>
      <c r="H35" s="82"/>
      <c r="I35" s="83"/>
      <c r="J35" s="83"/>
      <c r="K35" s="81"/>
      <c r="L35" s="81"/>
      <c r="M35" s="84" t="str">
        <f t="shared" si="7"/>
        <v/>
      </c>
      <c r="N35" s="114">
        <f t="shared" si="0"/>
        <v>0</v>
      </c>
      <c r="O35" s="86" t="str">
        <f t="shared" si="1"/>
        <v/>
      </c>
      <c r="P35" s="87" t="str">
        <f t="shared" si="2"/>
        <v/>
      </c>
      <c r="Q35" s="88">
        <v>3.5000000000000003E-2</v>
      </c>
      <c r="R35" s="85" t="str">
        <f t="shared" si="3"/>
        <v/>
      </c>
      <c r="S35" s="85" t="str">
        <f t="shared" si="4"/>
        <v/>
      </c>
      <c r="T35" s="87" t="str">
        <f>IFERROR(VLOOKUP(B35,DATA!$G$2:$I$6,2,0),"")</f>
        <v/>
      </c>
      <c r="U35" s="89" t="str">
        <f t="shared" si="5"/>
        <v/>
      </c>
      <c r="V35" s="85" t="str">
        <f t="shared" si="6"/>
        <v/>
      </c>
    </row>
    <row r="36" spans="1:22" ht="11.65" customHeight="1" x14ac:dyDescent="0.35">
      <c r="A36" s="79"/>
      <c r="B36" s="80"/>
      <c r="C36" s="80"/>
      <c r="D36" s="79" t="str">
        <f>IFERROR(VLOOKUP(B36,DATA!$G$2:$I$6,3,0),"")</f>
        <v/>
      </c>
      <c r="E36" s="81"/>
      <c r="F36" s="82"/>
      <c r="G36" s="82"/>
      <c r="H36" s="82"/>
      <c r="I36" s="83"/>
      <c r="J36" s="83"/>
      <c r="K36" s="81"/>
      <c r="L36" s="81"/>
      <c r="M36" s="84" t="str">
        <f t="shared" si="7"/>
        <v/>
      </c>
      <c r="N36" s="114">
        <f t="shared" si="0"/>
        <v>0</v>
      </c>
      <c r="O36" s="86" t="str">
        <f t="shared" si="1"/>
        <v/>
      </c>
      <c r="P36" s="87" t="str">
        <f t="shared" si="2"/>
        <v/>
      </c>
      <c r="Q36" s="88">
        <v>3.5000000000000003E-2</v>
      </c>
      <c r="R36" s="85" t="str">
        <f t="shared" si="3"/>
        <v/>
      </c>
      <c r="S36" s="85" t="str">
        <f t="shared" si="4"/>
        <v/>
      </c>
      <c r="T36" s="87" t="str">
        <f>IFERROR(VLOOKUP(B36,DATA!$G$2:$I$6,2,0),"")</f>
        <v/>
      </c>
      <c r="U36" s="89" t="str">
        <f t="shared" si="5"/>
        <v/>
      </c>
      <c r="V36" s="85" t="str">
        <f t="shared" si="6"/>
        <v/>
      </c>
    </row>
    <row r="37" spans="1:22" ht="11.65" customHeight="1" x14ac:dyDescent="0.35">
      <c r="A37" s="79"/>
      <c r="B37" s="80"/>
      <c r="C37" s="80"/>
      <c r="D37" s="79" t="str">
        <f>IFERROR(VLOOKUP(B37,DATA!$G$2:$I$6,3,0),"")</f>
        <v/>
      </c>
      <c r="E37" s="81"/>
      <c r="F37" s="82"/>
      <c r="G37" s="82"/>
      <c r="H37" s="82"/>
      <c r="I37" s="83"/>
      <c r="J37" s="83"/>
      <c r="K37" s="81"/>
      <c r="L37" s="81"/>
      <c r="M37" s="84" t="str">
        <f t="shared" si="7"/>
        <v/>
      </c>
      <c r="N37" s="114">
        <f t="shared" si="0"/>
        <v>0</v>
      </c>
      <c r="O37" s="86" t="str">
        <f t="shared" si="1"/>
        <v/>
      </c>
      <c r="P37" s="87" t="str">
        <f t="shared" si="2"/>
        <v/>
      </c>
      <c r="Q37" s="88">
        <v>3.5000000000000003E-2</v>
      </c>
      <c r="R37" s="85" t="str">
        <f t="shared" si="3"/>
        <v/>
      </c>
      <c r="S37" s="85" t="str">
        <f t="shared" si="4"/>
        <v/>
      </c>
      <c r="T37" s="87" t="str">
        <f>IFERROR(VLOOKUP(B37,DATA!$G$2:$I$6,2,0),"")</f>
        <v/>
      </c>
      <c r="U37" s="89" t="str">
        <f t="shared" si="5"/>
        <v/>
      </c>
      <c r="V37" s="85" t="str">
        <f t="shared" si="6"/>
        <v/>
      </c>
    </row>
    <row r="38" spans="1:22" ht="11.65" customHeight="1" x14ac:dyDescent="0.35">
      <c r="A38" s="79"/>
      <c r="B38" s="80"/>
      <c r="C38" s="80"/>
      <c r="D38" s="79" t="str">
        <f>IFERROR(VLOOKUP(B38,DATA!$G$2:$I$6,3,0),"")</f>
        <v/>
      </c>
      <c r="E38" s="81"/>
      <c r="F38" s="82"/>
      <c r="G38" s="82"/>
      <c r="H38" s="82"/>
      <c r="I38" s="83"/>
      <c r="J38" s="83"/>
      <c r="K38" s="81"/>
      <c r="L38" s="81"/>
      <c r="M38" s="84" t="str">
        <f t="shared" si="7"/>
        <v/>
      </c>
      <c r="N38" s="114">
        <f t="shared" si="0"/>
        <v>0</v>
      </c>
      <c r="O38" s="86" t="str">
        <f t="shared" si="1"/>
        <v/>
      </c>
      <c r="P38" s="87" t="str">
        <f t="shared" si="2"/>
        <v/>
      </c>
      <c r="Q38" s="88">
        <v>3.5000000000000003E-2</v>
      </c>
      <c r="R38" s="85" t="str">
        <f t="shared" si="3"/>
        <v/>
      </c>
      <c r="S38" s="85" t="str">
        <f t="shared" si="4"/>
        <v/>
      </c>
      <c r="T38" s="87" t="str">
        <f>IFERROR(VLOOKUP(B38,DATA!$G$2:$I$6,2,0),"")</f>
        <v/>
      </c>
      <c r="U38" s="89" t="str">
        <f t="shared" si="5"/>
        <v/>
      </c>
      <c r="V38" s="85" t="str">
        <f t="shared" si="6"/>
        <v/>
      </c>
    </row>
    <row r="39" spans="1:22" ht="11.65" customHeight="1" x14ac:dyDescent="0.35">
      <c r="A39" s="79"/>
      <c r="B39" s="80"/>
      <c r="C39" s="80"/>
      <c r="D39" s="79" t="str">
        <f>IFERROR(VLOOKUP(B39,DATA!$G$2:$I$6,3,0),"")</f>
        <v/>
      </c>
      <c r="E39" s="81"/>
      <c r="F39" s="82"/>
      <c r="G39" s="82"/>
      <c r="H39" s="82"/>
      <c r="I39" s="83"/>
      <c r="J39" s="83"/>
      <c r="K39" s="81"/>
      <c r="L39" s="81"/>
      <c r="M39" s="84" t="str">
        <f t="shared" si="7"/>
        <v/>
      </c>
      <c r="N39" s="114">
        <f t="shared" si="0"/>
        <v>0</v>
      </c>
      <c r="O39" s="86" t="str">
        <f t="shared" si="1"/>
        <v/>
      </c>
      <c r="P39" s="87" t="str">
        <f t="shared" si="2"/>
        <v/>
      </c>
      <c r="Q39" s="88">
        <v>3.5000000000000003E-2</v>
      </c>
      <c r="R39" s="85" t="str">
        <f t="shared" si="3"/>
        <v/>
      </c>
      <c r="S39" s="85" t="str">
        <f t="shared" si="4"/>
        <v/>
      </c>
      <c r="T39" s="87" t="str">
        <f>IFERROR(VLOOKUP(B39,DATA!$G$2:$I$6,2,0),"")</f>
        <v/>
      </c>
      <c r="U39" s="89" t="str">
        <f t="shared" si="5"/>
        <v/>
      </c>
      <c r="V39" s="85" t="str">
        <f t="shared" si="6"/>
        <v/>
      </c>
    </row>
    <row r="40" spans="1:22" ht="11.65" customHeight="1" x14ac:dyDescent="0.35">
      <c r="A40" s="79"/>
      <c r="B40" s="80"/>
      <c r="C40" s="80"/>
      <c r="D40" s="79" t="str">
        <f>IFERROR(VLOOKUP(B40,DATA!$G$2:$I$6,3,0),"")</f>
        <v/>
      </c>
      <c r="E40" s="81"/>
      <c r="F40" s="82"/>
      <c r="G40" s="82"/>
      <c r="H40" s="82"/>
      <c r="I40" s="83"/>
      <c r="J40" s="83"/>
      <c r="K40" s="81"/>
      <c r="L40" s="81"/>
      <c r="M40" s="84" t="str">
        <f t="shared" si="7"/>
        <v/>
      </c>
      <c r="N40" s="114">
        <f t="shared" si="0"/>
        <v>0</v>
      </c>
      <c r="O40" s="86" t="str">
        <f t="shared" si="1"/>
        <v/>
      </c>
      <c r="P40" s="87" t="str">
        <f t="shared" si="2"/>
        <v/>
      </c>
      <c r="Q40" s="88">
        <v>3.5000000000000003E-2</v>
      </c>
      <c r="R40" s="85" t="str">
        <f t="shared" si="3"/>
        <v/>
      </c>
      <c r="S40" s="85" t="str">
        <f t="shared" si="4"/>
        <v/>
      </c>
      <c r="T40" s="87" t="str">
        <f>IFERROR(VLOOKUP(B40,DATA!$G$2:$I$6,2,0),"")</f>
        <v/>
      </c>
      <c r="U40" s="89" t="str">
        <f t="shared" si="5"/>
        <v/>
      </c>
      <c r="V40" s="85" t="str">
        <f t="shared" si="6"/>
        <v/>
      </c>
    </row>
    <row r="41" spans="1:22" ht="11.65" customHeight="1" x14ac:dyDescent="0.35">
      <c r="A41" s="79"/>
      <c r="B41" s="80"/>
      <c r="C41" s="80"/>
      <c r="D41" s="79" t="str">
        <f>IFERROR(VLOOKUP(B41,DATA!$G$2:$I$6,3,0),"")</f>
        <v/>
      </c>
      <c r="E41" s="81"/>
      <c r="F41" s="82"/>
      <c r="G41" s="82"/>
      <c r="H41" s="82"/>
      <c r="I41" s="83"/>
      <c r="J41" s="83"/>
      <c r="K41" s="81"/>
      <c r="L41" s="81"/>
      <c r="M41" s="84" t="str">
        <f t="shared" si="7"/>
        <v/>
      </c>
      <c r="N41" s="114">
        <f t="shared" si="0"/>
        <v>0</v>
      </c>
      <c r="O41" s="86" t="str">
        <f t="shared" si="1"/>
        <v/>
      </c>
      <c r="P41" s="87" t="str">
        <f t="shared" si="2"/>
        <v/>
      </c>
      <c r="Q41" s="88">
        <v>3.5000000000000003E-2</v>
      </c>
      <c r="R41" s="85" t="str">
        <f t="shared" si="3"/>
        <v/>
      </c>
      <c r="S41" s="85" t="str">
        <f t="shared" si="4"/>
        <v/>
      </c>
      <c r="T41" s="87" t="str">
        <f>IFERROR(VLOOKUP(B41,DATA!$G$2:$I$6,2,0),"")</f>
        <v/>
      </c>
      <c r="U41" s="89" t="str">
        <f t="shared" si="5"/>
        <v/>
      </c>
      <c r="V41" s="85" t="str">
        <f t="shared" si="6"/>
        <v/>
      </c>
    </row>
    <row r="42" spans="1:22" ht="11.65" customHeight="1" x14ac:dyDescent="0.35">
      <c r="A42" s="79"/>
      <c r="B42" s="80"/>
      <c r="C42" s="80"/>
      <c r="D42" s="79" t="str">
        <f>IFERROR(VLOOKUP(B42,DATA!$G$2:$I$6,3,0),"")</f>
        <v/>
      </c>
      <c r="E42" s="81"/>
      <c r="F42" s="82"/>
      <c r="G42" s="82"/>
      <c r="H42" s="82"/>
      <c r="I42" s="83"/>
      <c r="J42" s="83"/>
      <c r="K42" s="81"/>
      <c r="L42" s="81"/>
      <c r="M42" s="84" t="str">
        <f t="shared" si="7"/>
        <v/>
      </c>
      <c r="N42" s="114">
        <f t="shared" si="0"/>
        <v>0</v>
      </c>
      <c r="O42" s="86" t="str">
        <f t="shared" si="1"/>
        <v/>
      </c>
      <c r="P42" s="87" t="str">
        <f t="shared" si="2"/>
        <v/>
      </c>
      <c r="Q42" s="88">
        <v>3.5000000000000003E-2</v>
      </c>
      <c r="R42" s="85" t="str">
        <f t="shared" si="3"/>
        <v/>
      </c>
      <c r="S42" s="85" t="str">
        <f t="shared" si="4"/>
        <v/>
      </c>
      <c r="T42" s="87" t="str">
        <f>IFERROR(VLOOKUP(B42,DATA!$G$2:$I$6,2,0),"")</f>
        <v/>
      </c>
      <c r="U42" s="89" t="str">
        <f t="shared" si="5"/>
        <v/>
      </c>
      <c r="V42" s="85" t="str">
        <f t="shared" si="6"/>
        <v/>
      </c>
    </row>
    <row r="43" spans="1:22" ht="11.65" customHeight="1" x14ac:dyDescent="0.35">
      <c r="A43" s="79"/>
      <c r="B43" s="80"/>
      <c r="C43" s="80"/>
      <c r="D43" s="79" t="str">
        <f>IFERROR(VLOOKUP(B43,DATA!$G$2:$I$6,3,0),"")</f>
        <v/>
      </c>
      <c r="E43" s="81"/>
      <c r="F43" s="82"/>
      <c r="G43" s="82"/>
      <c r="H43" s="82"/>
      <c r="I43" s="83"/>
      <c r="J43" s="83"/>
      <c r="K43" s="81"/>
      <c r="L43" s="81"/>
      <c r="M43" s="84" t="str">
        <f t="shared" si="7"/>
        <v/>
      </c>
      <c r="N43" s="114">
        <f t="shared" si="0"/>
        <v>0</v>
      </c>
      <c r="O43" s="86" t="str">
        <f t="shared" si="1"/>
        <v/>
      </c>
      <c r="P43" s="87" t="str">
        <f t="shared" si="2"/>
        <v/>
      </c>
      <c r="Q43" s="88">
        <v>3.5000000000000003E-2</v>
      </c>
      <c r="R43" s="85" t="str">
        <f t="shared" si="3"/>
        <v/>
      </c>
      <c r="S43" s="85" t="str">
        <f t="shared" si="4"/>
        <v/>
      </c>
      <c r="T43" s="87" t="str">
        <f>IFERROR(VLOOKUP(B43,DATA!$G$2:$I$6,2,0),"")</f>
        <v/>
      </c>
      <c r="U43" s="89" t="str">
        <f t="shared" si="5"/>
        <v/>
      </c>
      <c r="V43" s="85" t="str">
        <f t="shared" si="6"/>
        <v/>
      </c>
    </row>
    <row r="44" spans="1:22" ht="11.65" customHeight="1" x14ac:dyDescent="0.35">
      <c r="A44" s="79"/>
      <c r="B44" s="80"/>
      <c r="C44" s="80"/>
      <c r="D44" s="79" t="str">
        <f>IFERROR(VLOOKUP(B44,DATA!$G$2:$I$6,3,0),"")</f>
        <v/>
      </c>
      <c r="E44" s="81"/>
      <c r="F44" s="82"/>
      <c r="G44" s="82"/>
      <c r="H44" s="82"/>
      <c r="I44" s="83"/>
      <c r="J44" s="83"/>
      <c r="K44" s="81"/>
      <c r="L44" s="81"/>
      <c r="M44" s="84" t="str">
        <f t="shared" si="7"/>
        <v/>
      </c>
      <c r="N44" s="114">
        <f t="shared" ref="N44:N61" si="8">IF(C44="Tròn",PI()*(F44/2)^2/(10^2),IF(C44="Chữ nhật",F44*G44/10^2,0))</f>
        <v>0</v>
      </c>
      <c r="O44" s="86" t="str">
        <f t="shared" ref="O44:O61" si="9">IFERROR(N44*H44*D44*I44/10^4,"")</f>
        <v/>
      </c>
      <c r="P44" s="87" t="str">
        <f t="shared" ref="P44:P61" si="10">IFERROR(5/H44,"")</f>
        <v/>
      </c>
      <c r="Q44" s="88">
        <v>3.5000000000000003E-2</v>
      </c>
      <c r="R44" s="85" t="str">
        <f t="shared" ref="R44:R61" si="11">IFERROR(IF(N44=0,"-",IF(OR(N44&lt;=5,N44&gt;=45),2500,IF(AND(N44&gt;5,N44&lt;20),1800,2000)))*I44/O44,"")</f>
        <v/>
      </c>
      <c r="S44" s="85" t="str">
        <f t="shared" ref="S44:S61" si="12">IFERROR((E44*(1+P44+Q44)+R44)/(1-J44*0.007/30),"")</f>
        <v/>
      </c>
      <c r="T44" s="87" t="str">
        <f>IFERROR(VLOOKUP(B44,DATA!$G$2:$I$6,2,0),"")</f>
        <v/>
      </c>
      <c r="U44" s="89" t="str">
        <f t="shared" ref="U44:U61" si="13">IFERROR(ROUND((S44/(1-T44)+($K$12+$L$12)/$O$62)/(1-M44),-3),"")</f>
        <v/>
      </c>
      <c r="V44" s="85" t="str">
        <f t="shared" ref="V44:V61" si="14">IFERROR(ROUND(U44*O44,0),"")</f>
        <v/>
      </c>
    </row>
    <row r="45" spans="1:22" ht="11.65" customHeight="1" x14ac:dyDescent="0.35">
      <c r="A45" s="79"/>
      <c r="B45" s="80"/>
      <c r="C45" s="80"/>
      <c r="D45" s="79" t="str">
        <f>IFERROR(VLOOKUP(B45,DATA!$G$2:$I$6,3,0),"")</f>
        <v/>
      </c>
      <c r="E45" s="81"/>
      <c r="F45" s="82"/>
      <c r="G45" s="82"/>
      <c r="H45" s="82"/>
      <c r="I45" s="83"/>
      <c r="J45" s="83"/>
      <c r="K45" s="81"/>
      <c r="L45" s="81"/>
      <c r="M45" s="84" t="str">
        <f t="shared" ref="M45:M61" si="15">IFERROR(IF(AND(OR(LEFT(B45,FIND(" ",B45,1)-1)="Đồng",LEFT(B45,FIND(" ",B45,1)-1)="Nhôm"),OR(F45&gt;(G45/10),C45="Tròn")),5%,0),"")</f>
        <v/>
      </c>
      <c r="N45" s="114">
        <f t="shared" si="8"/>
        <v>0</v>
      </c>
      <c r="O45" s="86" t="str">
        <f t="shared" si="9"/>
        <v/>
      </c>
      <c r="P45" s="87" t="str">
        <f t="shared" si="10"/>
        <v/>
      </c>
      <c r="Q45" s="88">
        <v>3.5000000000000003E-2</v>
      </c>
      <c r="R45" s="85" t="str">
        <f t="shared" si="11"/>
        <v/>
      </c>
      <c r="S45" s="85" t="str">
        <f t="shared" si="12"/>
        <v/>
      </c>
      <c r="T45" s="87" t="str">
        <f>IFERROR(VLOOKUP(B45,DATA!$G$2:$I$6,2,0),"")</f>
        <v/>
      </c>
      <c r="U45" s="89" t="str">
        <f t="shared" si="13"/>
        <v/>
      </c>
      <c r="V45" s="85" t="str">
        <f t="shared" si="14"/>
        <v/>
      </c>
    </row>
    <row r="46" spans="1:22" ht="11.65" customHeight="1" x14ac:dyDescent="0.35">
      <c r="A46" s="79"/>
      <c r="B46" s="80"/>
      <c r="C46" s="80"/>
      <c r="D46" s="79" t="str">
        <f>IFERROR(VLOOKUP(B46,DATA!$G$2:$I$6,3,0),"")</f>
        <v/>
      </c>
      <c r="E46" s="81"/>
      <c r="F46" s="82"/>
      <c r="G46" s="82"/>
      <c r="H46" s="82"/>
      <c r="I46" s="83"/>
      <c r="J46" s="83"/>
      <c r="K46" s="81"/>
      <c r="L46" s="81"/>
      <c r="M46" s="84" t="str">
        <f t="shared" si="15"/>
        <v/>
      </c>
      <c r="N46" s="114">
        <f t="shared" si="8"/>
        <v>0</v>
      </c>
      <c r="O46" s="86" t="str">
        <f t="shared" si="9"/>
        <v/>
      </c>
      <c r="P46" s="87" t="str">
        <f t="shared" si="10"/>
        <v/>
      </c>
      <c r="Q46" s="88">
        <v>3.5000000000000003E-2</v>
      </c>
      <c r="R46" s="85" t="str">
        <f t="shared" si="11"/>
        <v/>
      </c>
      <c r="S46" s="85" t="str">
        <f t="shared" si="12"/>
        <v/>
      </c>
      <c r="T46" s="87" t="str">
        <f>IFERROR(VLOOKUP(B46,DATA!$G$2:$I$6,2,0),"")</f>
        <v/>
      </c>
      <c r="U46" s="89" t="str">
        <f t="shared" si="13"/>
        <v/>
      </c>
      <c r="V46" s="85" t="str">
        <f t="shared" si="14"/>
        <v/>
      </c>
    </row>
    <row r="47" spans="1:22" ht="11.65" customHeight="1" x14ac:dyDescent="0.35">
      <c r="A47" s="79"/>
      <c r="B47" s="80"/>
      <c r="C47" s="80"/>
      <c r="D47" s="79" t="str">
        <f>IFERROR(VLOOKUP(B47,DATA!$G$2:$I$6,3,0),"")</f>
        <v/>
      </c>
      <c r="E47" s="81"/>
      <c r="F47" s="82"/>
      <c r="G47" s="82"/>
      <c r="H47" s="82"/>
      <c r="I47" s="83"/>
      <c r="J47" s="83"/>
      <c r="K47" s="81"/>
      <c r="L47" s="81"/>
      <c r="M47" s="84" t="str">
        <f t="shared" si="15"/>
        <v/>
      </c>
      <c r="N47" s="114">
        <f t="shared" si="8"/>
        <v>0</v>
      </c>
      <c r="O47" s="86" t="str">
        <f t="shared" si="9"/>
        <v/>
      </c>
      <c r="P47" s="87" t="str">
        <f t="shared" si="10"/>
        <v/>
      </c>
      <c r="Q47" s="88">
        <v>3.5000000000000003E-2</v>
      </c>
      <c r="R47" s="85" t="str">
        <f t="shared" si="11"/>
        <v/>
      </c>
      <c r="S47" s="85" t="str">
        <f t="shared" si="12"/>
        <v/>
      </c>
      <c r="T47" s="87" t="str">
        <f>IFERROR(VLOOKUP(B47,DATA!$G$2:$I$6,2,0),"")</f>
        <v/>
      </c>
      <c r="U47" s="89" t="str">
        <f t="shared" si="13"/>
        <v/>
      </c>
      <c r="V47" s="85" t="str">
        <f t="shared" si="14"/>
        <v/>
      </c>
    </row>
    <row r="48" spans="1:22" ht="11.65" customHeight="1" x14ac:dyDescent="0.35">
      <c r="A48" s="79"/>
      <c r="B48" s="80"/>
      <c r="C48" s="80"/>
      <c r="D48" s="79" t="str">
        <f>IFERROR(VLOOKUP(B48,DATA!$G$2:$I$6,3,0),"")</f>
        <v/>
      </c>
      <c r="E48" s="81"/>
      <c r="F48" s="82"/>
      <c r="G48" s="82"/>
      <c r="H48" s="82"/>
      <c r="I48" s="83"/>
      <c r="J48" s="83"/>
      <c r="K48" s="81"/>
      <c r="L48" s="81"/>
      <c r="M48" s="84" t="str">
        <f t="shared" si="15"/>
        <v/>
      </c>
      <c r="N48" s="114">
        <f t="shared" si="8"/>
        <v>0</v>
      </c>
      <c r="O48" s="86" t="str">
        <f t="shared" si="9"/>
        <v/>
      </c>
      <c r="P48" s="87" t="str">
        <f t="shared" si="10"/>
        <v/>
      </c>
      <c r="Q48" s="88">
        <v>3.5000000000000003E-2</v>
      </c>
      <c r="R48" s="85" t="str">
        <f t="shared" si="11"/>
        <v/>
      </c>
      <c r="S48" s="85" t="str">
        <f t="shared" si="12"/>
        <v/>
      </c>
      <c r="T48" s="87" t="str">
        <f>IFERROR(VLOOKUP(B48,DATA!$G$2:$I$6,2,0),"")</f>
        <v/>
      </c>
      <c r="U48" s="89" t="str">
        <f t="shared" si="13"/>
        <v/>
      </c>
      <c r="V48" s="85" t="str">
        <f t="shared" si="14"/>
        <v/>
      </c>
    </row>
    <row r="49" spans="1:22" ht="11.65" customHeight="1" x14ac:dyDescent="0.35">
      <c r="A49" s="79"/>
      <c r="B49" s="80"/>
      <c r="C49" s="80"/>
      <c r="D49" s="79" t="str">
        <f>IFERROR(VLOOKUP(B49,DATA!$G$2:$I$6,3,0),"")</f>
        <v/>
      </c>
      <c r="E49" s="81"/>
      <c r="F49" s="82"/>
      <c r="G49" s="82"/>
      <c r="H49" s="82"/>
      <c r="I49" s="83"/>
      <c r="J49" s="83"/>
      <c r="K49" s="81"/>
      <c r="L49" s="81"/>
      <c r="M49" s="84" t="str">
        <f t="shared" si="15"/>
        <v/>
      </c>
      <c r="N49" s="114">
        <f t="shared" si="8"/>
        <v>0</v>
      </c>
      <c r="O49" s="86" t="str">
        <f t="shared" si="9"/>
        <v/>
      </c>
      <c r="P49" s="87" t="str">
        <f t="shared" si="10"/>
        <v/>
      </c>
      <c r="Q49" s="88">
        <v>3.5000000000000003E-2</v>
      </c>
      <c r="R49" s="85" t="str">
        <f t="shared" si="11"/>
        <v/>
      </c>
      <c r="S49" s="85" t="str">
        <f t="shared" si="12"/>
        <v/>
      </c>
      <c r="T49" s="87" t="str">
        <f>IFERROR(VLOOKUP(B49,DATA!$G$2:$I$6,2,0),"")</f>
        <v/>
      </c>
      <c r="U49" s="89" t="str">
        <f t="shared" si="13"/>
        <v/>
      </c>
      <c r="V49" s="85" t="str">
        <f t="shared" si="14"/>
        <v/>
      </c>
    </row>
    <row r="50" spans="1:22" ht="11.65" customHeight="1" x14ac:dyDescent="0.35">
      <c r="A50" s="79"/>
      <c r="B50" s="80"/>
      <c r="C50" s="80"/>
      <c r="D50" s="79" t="str">
        <f>IFERROR(VLOOKUP(B50,DATA!$G$2:$I$6,3,0),"")</f>
        <v/>
      </c>
      <c r="E50" s="81"/>
      <c r="F50" s="82"/>
      <c r="G50" s="82"/>
      <c r="H50" s="82"/>
      <c r="I50" s="83"/>
      <c r="J50" s="83"/>
      <c r="K50" s="81"/>
      <c r="L50" s="81"/>
      <c r="M50" s="84" t="str">
        <f t="shared" si="15"/>
        <v/>
      </c>
      <c r="N50" s="114">
        <f t="shared" si="8"/>
        <v>0</v>
      </c>
      <c r="O50" s="86" t="str">
        <f t="shared" si="9"/>
        <v/>
      </c>
      <c r="P50" s="87" t="str">
        <f t="shared" si="10"/>
        <v/>
      </c>
      <c r="Q50" s="88">
        <v>3.5000000000000003E-2</v>
      </c>
      <c r="R50" s="85" t="str">
        <f t="shared" si="11"/>
        <v/>
      </c>
      <c r="S50" s="85" t="str">
        <f t="shared" si="12"/>
        <v/>
      </c>
      <c r="T50" s="87" t="str">
        <f>IFERROR(VLOOKUP(B50,DATA!$G$2:$I$6,2,0),"")</f>
        <v/>
      </c>
      <c r="U50" s="89" t="str">
        <f t="shared" si="13"/>
        <v/>
      </c>
      <c r="V50" s="85" t="str">
        <f t="shared" si="14"/>
        <v/>
      </c>
    </row>
    <row r="51" spans="1:22" ht="11.65" customHeight="1" x14ac:dyDescent="0.35">
      <c r="A51" s="79"/>
      <c r="B51" s="80"/>
      <c r="C51" s="80"/>
      <c r="D51" s="79" t="str">
        <f>IFERROR(VLOOKUP(B51,DATA!$G$2:$I$6,3,0),"")</f>
        <v/>
      </c>
      <c r="E51" s="81"/>
      <c r="F51" s="82"/>
      <c r="G51" s="82"/>
      <c r="H51" s="82"/>
      <c r="I51" s="83"/>
      <c r="J51" s="83"/>
      <c r="K51" s="81"/>
      <c r="L51" s="81"/>
      <c r="M51" s="84" t="str">
        <f t="shared" si="15"/>
        <v/>
      </c>
      <c r="N51" s="114">
        <f t="shared" si="8"/>
        <v>0</v>
      </c>
      <c r="O51" s="86" t="str">
        <f t="shared" si="9"/>
        <v/>
      </c>
      <c r="P51" s="87" t="str">
        <f t="shared" si="10"/>
        <v/>
      </c>
      <c r="Q51" s="88">
        <v>3.5000000000000003E-2</v>
      </c>
      <c r="R51" s="85" t="str">
        <f t="shared" si="11"/>
        <v/>
      </c>
      <c r="S51" s="85" t="str">
        <f t="shared" si="12"/>
        <v/>
      </c>
      <c r="T51" s="87" t="str">
        <f>IFERROR(VLOOKUP(B51,DATA!$G$2:$I$6,2,0),"")</f>
        <v/>
      </c>
      <c r="U51" s="89" t="str">
        <f t="shared" si="13"/>
        <v/>
      </c>
      <c r="V51" s="85" t="str">
        <f t="shared" si="14"/>
        <v/>
      </c>
    </row>
    <row r="52" spans="1:22" ht="11.65" customHeight="1" x14ac:dyDescent="0.35">
      <c r="A52" s="79"/>
      <c r="B52" s="80"/>
      <c r="C52" s="80"/>
      <c r="D52" s="79" t="str">
        <f>IFERROR(VLOOKUP(B52,DATA!$G$2:$I$6,3,0),"")</f>
        <v/>
      </c>
      <c r="E52" s="81"/>
      <c r="F52" s="82"/>
      <c r="G52" s="82"/>
      <c r="H52" s="82"/>
      <c r="I52" s="83"/>
      <c r="J52" s="83"/>
      <c r="K52" s="81"/>
      <c r="L52" s="81"/>
      <c r="M52" s="84" t="str">
        <f t="shared" si="15"/>
        <v/>
      </c>
      <c r="N52" s="114">
        <f t="shared" si="8"/>
        <v>0</v>
      </c>
      <c r="O52" s="86" t="str">
        <f t="shared" si="9"/>
        <v/>
      </c>
      <c r="P52" s="87" t="str">
        <f t="shared" si="10"/>
        <v/>
      </c>
      <c r="Q52" s="88">
        <v>3.5000000000000003E-2</v>
      </c>
      <c r="R52" s="85" t="str">
        <f t="shared" si="11"/>
        <v/>
      </c>
      <c r="S52" s="85" t="str">
        <f t="shared" si="12"/>
        <v/>
      </c>
      <c r="T52" s="87" t="str">
        <f>IFERROR(VLOOKUP(B52,DATA!$G$2:$I$6,2,0),"")</f>
        <v/>
      </c>
      <c r="U52" s="89" t="str">
        <f t="shared" si="13"/>
        <v/>
      </c>
      <c r="V52" s="85" t="str">
        <f t="shared" si="14"/>
        <v/>
      </c>
    </row>
    <row r="53" spans="1:22" ht="11.65" customHeight="1" x14ac:dyDescent="0.35">
      <c r="A53" s="79"/>
      <c r="B53" s="80"/>
      <c r="C53" s="80"/>
      <c r="D53" s="79" t="str">
        <f>IFERROR(VLOOKUP(B53,DATA!$G$2:$I$6,3,0),"")</f>
        <v/>
      </c>
      <c r="E53" s="81"/>
      <c r="F53" s="82"/>
      <c r="G53" s="82"/>
      <c r="H53" s="82"/>
      <c r="I53" s="83"/>
      <c r="J53" s="83"/>
      <c r="K53" s="81"/>
      <c r="L53" s="81"/>
      <c r="M53" s="84" t="str">
        <f t="shared" si="15"/>
        <v/>
      </c>
      <c r="N53" s="114">
        <f t="shared" si="8"/>
        <v>0</v>
      </c>
      <c r="O53" s="86" t="str">
        <f t="shared" si="9"/>
        <v/>
      </c>
      <c r="P53" s="87" t="str">
        <f t="shared" si="10"/>
        <v/>
      </c>
      <c r="Q53" s="88">
        <v>3.5000000000000003E-2</v>
      </c>
      <c r="R53" s="85" t="str">
        <f t="shared" si="11"/>
        <v/>
      </c>
      <c r="S53" s="85" t="str">
        <f t="shared" si="12"/>
        <v/>
      </c>
      <c r="T53" s="87" t="str">
        <f>IFERROR(VLOOKUP(B53,DATA!$G$2:$I$6,2,0),"")</f>
        <v/>
      </c>
      <c r="U53" s="89" t="str">
        <f t="shared" si="13"/>
        <v/>
      </c>
      <c r="V53" s="85" t="str">
        <f t="shared" si="14"/>
        <v/>
      </c>
    </row>
    <row r="54" spans="1:22" ht="11.65" customHeight="1" x14ac:dyDescent="0.35">
      <c r="A54" s="79"/>
      <c r="B54" s="80"/>
      <c r="C54" s="80"/>
      <c r="D54" s="79" t="str">
        <f>IFERROR(VLOOKUP(B54,DATA!$G$2:$I$6,3,0),"")</f>
        <v/>
      </c>
      <c r="E54" s="81"/>
      <c r="F54" s="82"/>
      <c r="G54" s="82"/>
      <c r="H54" s="82"/>
      <c r="I54" s="83"/>
      <c r="J54" s="83"/>
      <c r="K54" s="81"/>
      <c r="L54" s="81"/>
      <c r="M54" s="84" t="str">
        <f t="shared" si="15"/>
        <v/>
      </c>
      <c r="N54" s="114">
        <f t="shared" si="8"/>
        <v>0</v>
      </c>
      <c r="O54" s="86" t="str">
        <f t="shared" si="9"/>
        <v/>
      </c>
      <c r="P54" s="87" t="str">
        <f t="shared" si="10"/>
        <v/>
      </c>
      <c r="Q54" s="88">
        <v>3.5000000000000003E-2</v>
      </c>
      <c r="R54" s="85" t="str">
        <f t="shared" si="11"/>
        <v/>
      </c>
      <c r="S54" s="85" t="str">
        <f t="shared" si="12"/>
        <v/>
      </c>
      <c r="T54" s="87" t="str">
        <f>IFERROR(VLOOKUP(B54,DATA!$G$2:$I$6,2,0),"")</f>
        <v/>
      </c>
      <c r="U54" s="89" t="str">
        <f t="shared" si="13"/>
        <v/>
      </c>
      <c r="V54" s="85" t="str">
        <f t="shared" si="14"/>
        <v/>
      </c>
    </row>
    <row r="55" spans="1:22" ht="11.65" customHeight="1" x14ac:dyDescent="0.35">
      <c r="A55" s="79"/>
      <c r="B55" s="80"/>
      <c r="C55" s="80"/>
      <c r="D55" s="79" t="str">
        <f>IFERROR(VLOOKUP(B55,DATA!$G$2:$I$6,3,0),"")</f>
        <v/>
      </c>
      <c r="E55" s="81"/>
      <c r="F55" s="82"/>
      <c r="G55" s="82"/>
      <c r="H55" s="82"/>
      <c r="I55" s="83"/>
      <c r="J55" s="83"/>
      <c r="K55" s="81"/>
      <c r="L55" s="81"/>
      <c r="M55" s="84" t="str">
        <f t="shared" si="15"/>
        <v/>
      </c>
      <c r="N55" s="114">
        <f t="shared" si="8"/>
        <v>0</v>
      </c>
      <c r="O55" s="86" t="str">
        <f t="shared" si="9"/>
        <v/>
      </c>
      <c r="P55" s="87" t="str">
        <f t="shared" si="10"/>
        <v/>
      </c>
      <c r="Q55" s="88">
        <v>3.5000000000000003E-2</v>
      </c>
      <c r="R55" s="85" t="str">
        <f t="shared" si="11"/>
        <v/>
      </c>
      <c r="S55" s="85" t="str">
        <f t="shared" si="12"/>
        <v/>
      </c>
      <c r="T55" s="87" t="str">
        <f>IFERROR(VLOOKUP(B55,DATA!$G$2:$I$6,2,0),"")</f>
        <v/>
      </c>
      <c r="U55" s="89" t="str">
        <f t="shared" si="13"/>
        <v/>
      </c>
      <c r="V55" s="85" t="str">
        <f t="shared" si="14"/>
        <v/>
      </c>
    </row>
    <row r="56" spans="1:22" ht="11.65" customHeight="1" x14ac:dyDescent="0.35">
      <c r="A56" s="79"/>
      <c r="B56" s="80"/>
      <c r="C56" s="80"/>
      <c r="D56" s="79" t="str">
        <f>IFERROR(VLOOKUP(B56,DATA!$G$2:$I$6,3,0),"")</f>
        <v/>
      </c>
      <c r="E56" s="81"/>
      <c r="F56" s="82"/>
      <c r="G56" s="82"/>
      <c r="H56" s="82"/>
      <c r="I56" s="83"/>
      <c r="J56" s="83"/>
      <c r="K56" s="81"/>
      <c r="L56" s="81"/>
      <c r="M56" s="84" t="str">
        <f t="shared" si="15"/>
        <v/>
      </c>
      <c r="N56" s="114">
        <f t="shared" si="8"/>
        <v>0</v>
      </c>
      <c r="O56" s="86" t="str">
        <f t="shared" si="9"/>
        <v/>
      </c>
      <c r="P56" s="87" t="str">
        <f t="shared" si="10"/>
        <v/>
      </c>
      <c r="Q56" s="88">
        <v>3.5000000000000003E-2</v>
      </c>
      <c r="R56" s="85" t="str">
        <f t="shared" si="11"/>
        <v/>
      </c>
      <c r="S56" s="85" t="str">
        <f t="shared" si="12"/>
        <v/>
      </c>
      <c r="T56" s="87" t="str">
        <f>IFERROR(VLOOKUP(B56,DATA!$G$2:$I$6,2,0),"")</f>
        <v/>
      </c>
      <c r="U56" s="89" t="str">
        <f t="shared" si="13"/>
        <v/>
      </c>
      <c r="V56" s="85" t="str">
        <f t="shared" si="14"/>
        <v/>
      </c>
    </row>
    <row r="57" spans="1:22" ht="11.65" customHeight="1" x14ac:dyDescent="0.35">
      <c r="A57" s="79"/>
      <c r="B57" s="80"/>
      <c r="C57" s="80"/>
      <c r="D57" s="79" t="str">
        <f>IFERROR(VLOOKUP(B57,DATA!$G$2:$I$6,3,0),"")</f>
        <v/>
      </c>
      <c r="E57" s="81"/>
      <c r="F57" s="82"/>
      <c r="G57" s="82"/>
      <c r="H57" s="82"/>
      <c r="I57" s="83"/>
      <c r="J57" s="83"/>
      <c r="K57" s="81"/>
      <c r="L57" s="81"/>
      <c r="M57" s="84" t="str">
        <f t="shared" si="15"/>
        <v/>
      </c>
      <c r="N57" s="114">
        <f t="shared" si="8"/>
        <v>0</v>
      </c>
      <c r="O57" s="86" t="str">
        <f t="shared" si="9"/>
        <v/>
      </c>
      <c r="P57" s="87" t="str">
        <f t="shared" si="10"/>
        <v/>
      </c>
      <c r="Q57" s="88">
        <v>3.5000000000000003E-2</v>
      </c>
      <c r="R57" s="85" t="str">
        <f t="shared" si="11"/>
        <v/>
      </c>
      <c r="S57" s="85" t="str">
        <f t="shared" si="12"/>
        <v/>
      </c>
      <c r="T57" s="87" t="str">
        <f>IFERROR(VLOOKUP(B57,DATA!$G$2:$I$6,2,0),"")</f>
        <v/>
      </c>
      <c r="U57" s="89" t="str">
        <f t="shared" si="13"/>
        <v/>
      </c>
      <c r="V57" s="85" t="str">
        <f t="shared" si="14"/>
        <v/>
      </c>
    </row>
    <row r="58" spans="1:22" ht="11.65" customHeight="1" x14ac:dyDescent="0.35">
      <c r="A58" s="79"/>
      <c r="B58" s="80"/>
      <c r="C58" s="80"/>
      <c r="D58" s="79" t="str">
        <f>IFERROR(VLOOKUP(B58,DATA!$G$2:$I$6,3,0),"")</f>
        <v/>
      </c>
      <c r="E58" s="81"/>
      <c r="F58" s="82"/>
      <c r="G58" s="82"/>
      <c r="H58" s="82"/>
      <c r="I58" s="83"/>
      <c r="J58" s="83"/>
      <c r="K58" s="81"/>
      <c r="L58" s="81"/>
      <c r="M58" s="84" t="str">
        <f t="shared" si="15"/>
        <v/>
      </c>
      <c r="N58" s="114">
        <f t="shared" si="8"/>
        <v>0</v>
      </c>
      <c r="O58" s="86" t="str">
        <f t="shared" si="9"/>
        <v/>
      </c>
      <c r="P58" s="87" t="str">
        <f t="shared" si="10"/>
        <v/>
      </c>
      <c r="Q58" s="88">
        <v>3.5000000000000003E-2</v>
      </c>
      <c r="R58" s="85" t="str">
        <f t="shared" si="11"/>
        <v/>
      </c>
      <c r="S58" s="85" t="str">
        <f t="shared" si="12"/>
        <v/>
      </c>
      <c r="T58" s="87" t="str">
        <f>IFERROR(VLOOKUP(B58,DATA!$G$2:$I$6,2,0),"")</f>
        <v/>
      </c>
      <c r="U58" s="89" t="str">
        <f t="shared" si="13"/>
        <v/>
      </c>
      <c r="V58" s="85" t="str">
        <f t="shared" si="14"/>
        <v/>
      </c>
    </row>
    <row r="59" spans="1:22" ht="11.65" customHeight="1" x14ac:dyDescent="0.35">
      <c r="A59" s="79"/>
      <c r="B59" s="80"/>
      <c r="C59" s="80"/>
      <c r="D59" s="79" t="str">
        <f>IFERROR(VLOOKUP(B59,DATA!$G$2:$I$6,3,0),"")</f>
        <v/>
      </c>
      <c r="E59" s="81"/>
      <c r="F59" s="82"/>
      <c r="G59" s="82"/>
      <c r="H59" s="82"/>
      <c r="I59" s="83"/>
      <c r="J59" s="83"/>
      <c r="K59" s="81"/>
      <c r="L59" s="81"/>
      <c r="M59" s="84" t="str">
        <f t="shared" si="15"/>
        <v/>
      </c>
      <c r="N59" s="114">
        <f t="shared" si="8"/>
        <v>0</v>
      </c>
      <c r="O59" s="86" t="str">
        <f t="shared" si="9"/>
        <v/>
      </c>
      <c r="P59" s="87" t="str">
        <f t="shared" si="10"/>
        <v/>
      </c>
      <c r="Q59" s="88">
        <v>3.5000000000000003E-2</v>
      </c>
      <c r="R59" s="85" t="str">
        <f t="shared" si="11"/>
        <v/>
      </c>
      <c r="S59" s="85" t="str">
        <f t="shared" si="12"/>
        <v/>
      </c>
      <c r="T59" s="87" t="str">
        <f>IFERROR(VLOOKUP(B59,DATA!$G$2:$I$6,2,0),"")</f>
        <v/>
      </c>
      <c r="U59" s="89" t="str">
        <f t="shared" si="13"/>
        <v/>
      </c>
      <c r="V59" s="85" t="str">
        <f t="shared" si="14"/>
        <v/>
      </c>
    </row>
    <row r="60" spans="1:22" ht="11.65" customHeight="1" x14ac:dyDescent="0.35">
      <c r="A60" s="79"/>
      <c r="B60" s="80"/>
      <c r="C60" s="80"/>
      <c r="D60" s="79" t="str">
        <f>IFERROR(VLOOKUP(B60,DATA!$G$2:$I$6,3,0),"")</f>
        <v/>
      </c>
      <c r="E60" s="81"/>
      <c r="F60" s="82"/>
      <c r="G60" s="82"/>
      <c r="H60" s="82"/>
      <c r="I60" s="83"/>
      <c r="J60" s="83"/>
      <c r="K60" s="81"/>
      <c r="L60" s="81"/>
      <c r="M60" s="84" t="str">
        <f t="shared" si="15"/>
        <v/>
      </c>
      <c r="N60" s="114">
        <f t="shared" si="8"/>
        <v>0</v>
      </c>
      <c r="O60" s="86" t="str">
        <f t="shared" si="9"/>
        <v/>
      </c>
      <c r="P60" s="87" t="str">
        <f t="shared" si="10"/>
        <v/>
      </c>
      <c r="Q60" s="88">
        <v>3.5000000000000003E-2</v>
      </c>
      <c r="R60" s="85" t="str">
        <f t="shared" si="11"/>
        <v/>
      </c>
      <c r="S60" s="85" t="str">
        <f t="shared" si="12"/>
        <v/>
      </c>
      <c r="T60" s="87" t="str">
        <f>IFERROR(VLOOKUP(B60,DATA!$G$2:$I$6,2,0),"")</f>
        <v/>
      </c>
      <c r="U60" s="89" t="str">
        <f t="shared" si="13"/>
        <v/>
      </c>
      <c r="V60" s="85" t="str">
        <f t="shared" si="14"/>
        <v/>
      </c>
    </row>
    <row r="61" spans="1:22" ht="11.65" customHeight="1" x14ac:dyDescent="0.35">
      <c r="A61" s="90"/>
      <c r="B61" s="91"/>
      <c r="C61" s="91"/>
      <c r="D61" s="90" t="str">
        <f>IFERROR(VLOOKUP(B61,DATA!$G$2:$I$6,3,0),"")</f>
        <v/>
      </c>
      <c r="E61" s="92"/>
      <c r="F61" s="93"/>
      <c r="G61" s="93"/>
      <c r="H61" s="93"/>
      <c r="I61" s="94"/>
      <c r="J61" s="94"/>
      <c r="K61" s="92"/>
      <c r="L61" s="92"/>
      <c r="M61" s="84" t="str">
        <f t="shared" si="15"/>
        <v/>
      </c>
      <c r="N61" s="115">
        <f t="shared" si="8"/>
        <v>0</v>
      </c>
      <c r="O61" s="96" t="str">
        <f t="shared" si="9"/>
        <v/>
      </c>
      <c r="P61" s="97" t="str">
        <f t="shared" si="10"/>
        <v/>
      </c>
      <c r="Q61" s="98">
        <v>3.5000000000000003E-2</v>
      </c>
      <c r="R61" s="95" t="str">
        <f t="shared" si="11"/>
        <v/>
      </c>
      <c r="S61" s="85" t="str">
        <f t="shared" si="12"/>
        <v/>
      </c>
      <c r="T61" s="87" t="str">
        <f>IFERROR(VLOOKUP(B61,DATA!$G$2:$I$6,2,0),"")</f>
        <v/>
      </c>
      <c r="U61" s="89" t="str">
        <f t="shared" si="13"/>
        <v/>
      </c>
      <c r="V61" s="95" t="str">
        <f t="shared" si="14"/>
        <v/>
      </c>
    </row>
    <row r="62" spans="1:22" s="116" customFormat="1" ht="11.65" customHeight="1" x14ac:dyDescent="0.35">
      <c r="A62" s="17" t="s">
        <v>85</v>
      </c>
      <c r="B62" s="18"/>
      <c r="C62" s="18"/>
      <c r="D62" s="18"/>
      <c r="E62" s="18"/>
      <c r="F62" s="18"/>
      <c r="G62" s="18"/>
      <c r="H62" s="66"/>
      <c r="I62" s="121">
        <f>SUM(I12:I61)</f>
        <v>31</v>
      </c>
      <c r="J62" s="122"/>
      <c r="K62" s="122"/>
      <c r="L62" s="122"/>
      <c r="M62" s="123"/>
      <c r="N62" s="123"/>
      <c r="O62" s="121">
        <f>SUM(O12:O61)</f>
        <v>59.214067683940684</v>
      </c>
      <c r="P62" s="122"/>
      <c r="Q62" s="122"/>
      <c r="R62" s="123"/>
      <c r="S62" s="123"/>
      <c r="T62" s="122"/>
      <c r="U62" s="122"/>
      <c r="V62" s="124">
        <f>SUM(V12:V61)</f>
        <v>17237147</v>
      </c>
    </row>
    <row r="63" spans="1:22" ht="11.65" customHeight="1" x14ac:dyDescent="0.35">
      <c r="S63" s="67"/>
      <c r="T63" s="67"/>
    </row>
    <row r="64" spans="1:22" ht="11.65" customHeight="1" x14ac:dyDescent="0.35">
      <c r="S64" s="67"/>
      <c r="T64" s="67"/>
    </row>
    <row r="65" spans="19:20" ht="11.65" customHeight="1" x14ac:dyDescent="0.35">
      <c r="S65" s="67"/>
      <c r="T65" s="67"/>
    </row>
    <row r="66" spans="19:20" ht="11.65" customHeight="1" x14ac:dyDescent="0.35">
      <c r="S66" s="67"/>
      <c r="T66" s="67"/>
    </row>
    <row r="67" spans="19:20" ht="11.65" customHeight="1" x14ac:dyDescent="0.35">
      <c r="S67" s="67"/>
      <c r="T67" s="67"/>
    </row>
    <row r="68" spans="19:20" ht="11.65" customHeight="1" x14ac:dyDescent="0.35">
      <c r="S68" s="67"/>
      <c r="T68" s="67"/>
    </row>
  </sheetData>
  <mergeCells count="3">
    <mergeCell ref="A10:S10"/>
    <mergeCell ref="T10:V10"/>
    <mergeCell ref="Y10:AA10"/>
  </mergeCells>
  <dataValidations count="1">
    <dataValidation allowBlank="1" showInputMessage="1" showErrorMessage="1" prompt="Lựa chọn nguyên liệu" sqref="A12:A61" xr:uid="{00000000-0002-0000-0500-000000000000}"/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9:Q88"/>
  <sheetViews>
    <sheetView workbookViewId="0">
      <pane ySplit="11" topLeftCell="A12" activePane="bottomLeft" state="frozen"/>
      <selection activeCell="A10" sqref="A10"/>
      <selection pane="bottomLeft" activeCell="B12" sqref="B12"/>
    </sheetView>
  </sheetViews>
  <sheetFormatPr defaultColWidth="8.59765625" defaultRowHeight="11.65" customHeight="1" x14ac:dyDescent="0.35"/>
  <cols>
    <col min="1" max="1" width="17" style="2" customWidth="1"/>
    <col min="2" max="2" width="18" style="2" customWidth="1"/>
    <col min="3" max="3" width="13" style="39" customWidth="1"/>
    <col min="4" max="4" width="15.73046875" style="57" customWidth="1"/>
    <col min="5" max="6" width="8" style="26" customWidth="1"/>
    <col min="7" max="7" width="7" style="19" customWidth="1"/>
    <col min="8" max="8" width="7" style="39" customWidth="1"/>
    <col min="9" max="9" width="10" style="19" customWidth="1"/>
    <col min="10" max="10" width="7" style="35" customWidth="1"/>
    <col min="11" max="11" width="10" style="35" customWidth="1"/>
    <col min="12" max="12" width="10" style="39" customWidth="1"/>
    <col min="13" max="13" width="9" style="39" customWidth="1"/>
    <col min="14" max="14" width="8" style="35" customWidth="1"/>
    <col min="15" max="15" width="10" style="39" customWidth="1"/>
    <col min="16" max="16" width="11" style="39" customWidth="1"/>
    <col min="17" max="17" width="8" style="2" customWidth="1"/>
    <col min="18" max="18" width="8.1328125" style="2" customWidth="1"/>
    <col min="19" max="19" width="8.265625" style="2" customWidth="1"/>
    <col min="20" max="20" width="8.3984375" style="2" customWidth="1"/>
    <col min="21" max="21" width="8.59765625" style="2" customWidth="1"/>
    <col min="22" max="16384" width="8.59765625" style="2"/>
  </cols>
  <sheetData>
    <row r="9" spans="1:17" ht="14.25" customHeight="1" x14ac:dyDescent="0.35">
      <c r="L9" s="106"/>
    </row>
    <row r="10" spans="1:17" ht="25.5" customHeight="1" x14ac:dyDescent="0.35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60"/>
      <c r="N10" s="161" t="s">
        <v>68</v>
      </c>
      <c r="O10" s="162"/>
      <c r="P10" s="163"/>
    </row>
    <row r="11" spans="1:17" ht="11.65" customHeight="1" x14ac:dyDescent="0.35">
      <c r="A11" s="3" t="s">
        <v>38</v>
      </c>
      <c r="B11" s="3" t="s">
        <v>19</v>
      </c>
      <c r="C11" s="20" t="s">
        <v>31</v>
      </c>
      <c r="D11" s="48" t="s">
        <v>62</v>
      </c>
      <c r="E11" s="48" t="s">
        <v>58</v>
      </c>
      <c r="F11" s="48" t="s">
        <v>63</v>
      </c>
      <c r="G11" s="20" t="s">
        <v>113</v>
      </c>
      <c r="H11" s="20" t="s">
        <v>67</v>
      </c>
      <c r="I11" s="20" t="s">
        <v>105</v>
      </c>
      <c r="J11" s="36" t="s">
        <v>108</v>
      </c>
      <c r="K11" s="49" t="s">
        <v>71</v>
      </c>
      <c r="L11" s="38" t="s">
        <v>112</v>
      </c>
      <c r="M11" s="38" t="s">
        <v>87</v>
      </c>
      <c r="N11" s="62" t="s">
        <v>0</v>
      </c>
      <c r="O11" s="62" t="s">
        <v>61</v>
      </c>
      <c r="P11" s="62" t="s">
        <v>84</v>
      </c>
    </row>
    <row r="12" spans="1:17" ht="11.65" customHeight="1" x14ac:dyDescent="0.35">
      <c r="A12" s="5"/>
      <c r="B12" s="110" t="s">
        <v>33</v>
      </c>
      <c r="C12" s="44">
        <v>120000</v>
      </c>
      <c r="D12" s="102">
        <v>0.15</v>
      </c>
      <c r="E12" s="107">
        <v>70</v>
      </c>
      <c r="F12" s="27">
        <v>800</v>
      </c>
      <c r="G12" s="21">
        <v>30</v>
      </c>
      <c r="H12" s="44"/>
      <c r="I12" s="21"/>
      <c r="J12" s="8">
        <v>0</v>
      </c>
      <c r="K12" s="8">
        <f>IFERROR(VLOOKUP(B12,DATA!$L$2:$P$6,5,0)/E12,"")</f>
        <v>2.8571428571428571E-2</v>
      </c>
      <c r="L12" s="108">
        <f t="shared" ref="L12:L43" si="0">IFERROR(IF(D12&lt;0.15,"Không GC được",IF(E12&lt;6,"Không GC được",IF(E12&lt;20,3200,IF(E12&lt;50,2150,IF(E12&lt;80,1950,1600))))*(1+IF(F12&lt;500,0.5,IF(F12&gt;10000,-0.2,IF(F12&gt;5000,-0.1,IF(F12&gt;1000,0,0.3))))+IF(D12&lt;0.3,20%,IF(D12&lt;0.5,15%,0)))),"Không GC được")</f>
        <v>2925</v>
      </c>
      <c r="M12" s="153">
        <f t="shared" ref="M12:M43" si="1">IFERROR((C12*(1+K12)+L12)/(1-G12*0.007/30),"")</f>
        <v>127244.28139835993</v>
      </c>
      <c r="N12" s="7">
        <v>0.13</v>
      </c>
      <c r="O12" s="113">
        <f t="shared" ref="O12:O43" si="2">IFERROR(ROUND((M12/(1-N12)+($H$12+$I$12)/$F$82)/(1-J12),-2),"")</f>
        <v>146300</v>
      </c>
      <c r="P12" s="40">
        <f t="shared" ref="P12:P43" si="3">IFERROR(O12*F12,"")</f>
        <v>117040000</v>
      </c>
      <c r="Q12" s="99"/>
    </row>
    <row r="13" spans="1:17" ht="11.65" customHeight="1" x14ac:dyDescent="0.35">
      <c r="A13" s="9"/>
      <c r="B13" s="111"/>
      <c r="C13" s="45"/>
      <c r="D13" s="103"/>
      <c r="E13" s="28"/>
      <c r="F13" s="28"/>
      <c r="G13" s="22"/>
      <c r="H13" s="45"/>
      <c r="I13" s="22"/>
      <c r="J13" s="12">
        <v>0</v>
      </c>
      <c r="K13" s="8" t="str">
        <f>IFERROR(VLOOKUP(B13,DATA!$L$2:$P$6,5,0)/E13,"")</f>
        <v/>
      </c>
      <c r="L13" s="108" t="str">
        <f t="shared" si="0"/>
        <v>Không GC được</v>
      </c>
      <c r="M13" s="153" t="str">
        <f t="shared" si="1"/>
        <v/>
      </c>
      <c r="N13" s="11" t="str">
        <f>IFERROR(VLOOKUP(B13,DATA!$L$2:$N$6,2,0),"")</f>
        <v/>
      </c>
      <c r="O13" s="113" t="str">
        <f t="shared" si="2"/>
        <v/>
      </c>
      <c r="P13" s="40" t="str">
        <f t="shared" si="3"/>
        <v/>
      </c>
      <c r="Q13" s="99"/>
    </row>
    <row r="14" spans="1:17" ht="11.65" customHeight="1" x14ac:dyDescent="0.35">
      <c r="A14" s="9"/>
      <c r="B14" s="111"/>
      <c r="C14" s="45"/>
      <c r="D14" s="103"/>
      <c r="E14" s="28"/>
      <c r="F14" s="28"/>
      <c r="G14" s="22"/>
      <c r="H14" s="45"/>
      <c r="I14" s="22"/>
      <c r="J14" s="12">
        <v>0</v>
      </c>
      <c r="K14" s="8" t="str">
        <f>IFERROR(VLOOKUP(B14,DATA!$L$2:$P$6,5,0)/E14,"")</f>
        <v/>
      </c>
      <c r="L14" s="108" t="str">
        <f t="shared" si="0"/>
        <v>Không GC được</v>
      </c>
      <c r="M14" s="153" t="str">
        <f t="shared" si="1"/>
        <v/>
      </c>
      <c r="N14" s="11" t="str">
        <f>IFERROR(VLOOKUP(B14,DATA!$L$2:$N$6,2,0),"")</f>
        <v/>
      </c>
      <c r="O14" s="113" t="str">
        <f t="shared" si="2"/>
        <v/>
      </c>
      <c r="P14" s="40" t="str">
        <f t="shared" si="3"/>
        <v/>
      </c>
      <c r="Q14" s="99" t="s">
        <v>109</v>
      </c>
    </row>
    <row r="15" spans="1:17" ht="11.65" customHeight="1" x14ac:dyDescent="0.35">
      <c r="A15" s="9"/>
      <c r="B15" s="111"/>
      <c r="C15" s="45"/>
      <c r="D15" s="103"/>
      <c r="E15" s="28"/>
      <c r="F15" s="28"/>
      <c r="G15" s="22"/>
      <c r="H15" s="45"/>
      <c r="I15" s="22"/>
      <c r="J15" s="12">
        <v>0</v>
      </c>
      <c r="K15" s="8" t="str">
        <f>IFERROR(VLOOKUP(B15,DATA!$L$2:$P$6,5,0)/E15,"")</f>
        <v/>
      </c>
      <c r="L15" s="108" t="str">
        <f t="shared" si="0"/>
        <v>Không GC được</v>
      </c>
      <c r="M15" s="153" t="str">
        <f t="shared" si="1"/>
        <v/>
      </c>
      <c r="N15" s="11" t="str">
        <f>IFERROR(VLOOKUP(B15,DATA!$L$2:$N$6,2,0),"")</f>
        <v/>
      </c>
      <c r="O15" s="113" t="str">
        <f t="shared" si="2"/>
        <v/>
      </c>
      <c r="P15" s="40" t="str">
        <f t="shared" si="3"/>
        <v/>
      </c>
      <c r="Q15" s="99"/>
    </row>
    <row r="16" spans="1:17" ht="11.65" customHeight="1" x14ac:dyDescent="0.35">
      <c r="A16" s="9"/>
      <c r="B16" s="111"/>
      <c r="C16" s="45"/>
      <c r="D16" s="103"/>
      <c r="E16" s="28"/>
      <c r="F16" s="28"/>
      <c r="G16" s="22"/>
      <c r="H16" s="45"/>
      <c r="I16" s="22"/>
      <c r="J16" s="12">
        <v>0</v>
      </c>
      <c r="K16" s="8" t="str">
        <f>IFERROR(VLOOKUP(B16,DATA!$L$2:$P$6,5,0)/E16,"")</f>
        <v/>
      </c>
      <c r="L16" s="108" t="str">
        <f t="shared" si="0"/>
        <v>Không GC được</v>
      </c>
      <c r="M16" s="153" t="str">
        <f t="shared" si="1"/>
        <v/>
      </c>
      <c r="N16" s="11" t="str">
        <f>IFERROR(VLOOKUP(B16,DATA!$L$2:$N$6,2,0),"")</f>
        <v/>
      </c>
      <c r="O16" s="113" t="str">
        <f t="shared" si="2"/>
        <v/>
      </c>
      <c r="P16" s="40" t="str">
        <f t="shared" si="3"/>
        <v/>
      </c>
      <c r="Q16" s="99"/>
    </row>
    <row r="17" spans="1:17" ht="11.65" customHeight="1" x14ac:dyDescent="0.35">
      <c r="A17" s="9"/>
      <c r="B17" s="111"/>
      <c r="C17" s="45"/>
      <c r="D17" s="103"/>
      <c r="E17" s="28"/>
      <c r="F17" s="28"/>
      <c r="G17" s="22"/>
      <c r="H17" s="45"/>
      <c r="I17" s="22"/>
      <c r="J17" s="12">
        <v>0</v>
      </c>
      <c r="K17" s="8" t="str">
        <f>IFERROR(VLOOKUP(B17,DATA!$L$2:$P$6,5,0)/E17,"")</f>
        <v/>
      </c>
      <c r="L17" s="108" t="str">
        <f t="shared" si="0"/>
        <v>Không GC được</v>
      </c>
      <c r="M17" s="153" t="str">
        <f t="shared" si="1"/>
        <v/>
      </c>
      <c r="N17" s="11" t="str">
        <f>IFERROR(VLOOKUP(B17,DATA!$L$2:$N$6,2,0),"")</f>
        <v/>
      </c>
      <c r="O17" s="113" t="str">
        <f t="shared" si="2"/>
        <v/>
      </c>
      <c r="P17" s="40" t="str">
        <f t="shared" si="3"/>
        <v/>
      </c>
      <c r="Q17" s="99"/>
    </row>
    <row r="18" spans="1:17" ht="11.65" customHeight="1" x14ac:dyDescent="0.35">
      <c r="A18" s="9"/>
      <c r="B18" s="111"/>
      <c r="C18" s="45"/>
      <c r="D18" s="103"/>
      <c r="E18" s="28"/>
      <c r="F18" s="28"/>
      <c r="G18" s="22"/>
      <c r="H18" s="45"/>
      <c r="I18" s="22"/>
      <c r="J18" s="12">
        <v>0</v>
      </c>
      <c r="K18" s="8" t="str">
        <f>IFERROR(VLOOKUP(B18,DATA!$L$2:$P$6,5,0)/E18,"")</f>
        <v/>
      </c>
      <c r="L18" s="108" t="str">
        <f t="shared" si="0"/>
        <v>Không GC được</v>
      </c>
      <c r="M18" s="153" t="str">
        <f t="shared" si="1"/>
        <v/>
      </c>
      <c r="N18" s="11" t="str">
        <f>IFERROR(VLOOKUP(B18,DATA!$L$2:$N$6,2,0),"")</f>
        <v/>
      </c>
      <c r="O18" s="113" t="str">
        <f t="shared" si="2"/>
        <v/>
      </c>
      <c r="P18" s="40" t="str">
        <f t="shared" si="3"/>
        <v/>
      </c>
      <c r="Q18" s="99"/>
    </row>
    <row r="19" spans="1:17" ht="11.65" customHeight="1" x14ac:dyDescent="0.35">
      <c r="A19" s="9"/>
      <c r="B19" s="111"/>
      <c r="C19" s="45"/>
      <c r="D19" s="103"/>
      <c r="E19" s="28"/>
      <c r="F19" s="28"/>
      <c r="G19" s="22"/>
      <c r="H19" s="45"/>
      <c r="I19" s="22"/>
      <c r="J19" s="12">
        <v>0</v>
      </c>
      <c r="K19" s="8" t="str">
        <f>IFERROR(VLOOKUP(B19,DATA!$L$2:$P$6,5,0)/E19,"")</f>
        <v/>
      </c>
      <c r="L19" s="108" t="str">
        <f t="shared" si="0"/>
        <v>Không GC được</v>
      </c>
      <c r="M19" s="153" t="str">
        <f t="shared" si="1"/>
        <v/>
      </c>
      <c r="N19" s="11" t="str">
        <f>IFERROR(VLOOKUP(B19,DATA!$L$2:$N$6,2,0),"")</f>
        <v/>
      </c>
      <c r="O19" s="113" t="str">
        <f t="shared" si="2"/>
        <v/>
      </c>
      <c r="P19" s="40" t="str">
        <f t="shared" si="3"/>
        <v/>
      </c>
    </row>
    <row r="20" spans="1:17" ht="11.65" customHeight="1" x14ac:dyDescent="0.35">
      <c r="A20" s="9"/>
      <c r="B20" s="111"/>
      <c r="C20" s="45"/>
      <c r="D20" s="103"/>
      <c r="E20" s="28"/>
      <c r="F20" s="28"/>
      <c r="G20" s="22"/>
      <c r="H20" s="45"/>
      <c r="I20" s="22"/>
      <c r="J20" s="12">
        <v>0</v>
      </c>
      <c r="K20" s="8" t="str">
        <f>IFERROR(VLOOKUP(B20,DATA!$L$2:$P$6,5,0)/E20,"")</f>
        <v/>
      </c>
      <c r="L20" s="108" t="str">
        <f t="shared" si="0"/>
        <v>Không GC được</v>
      </c>
      <c r="M20" s="153" t="str">
        <f t="shared" si="1"/>
        <v/>
      </c>
      <c r="N20" s="11" t="str">
        <f>IFERROR(VLOOKUP(B20,DATA!$L$2:$N$6,2,0),"")</f>
        <v/>
      </c>
      <c r="O20" s="113" t="str">
        <f t="shared" si="2"/>
        <v/>
      </c>
      <c r="P20" s="40" t="str">
        <f t="shared" si="3"/>
        <v/>
      </c>
    </row>
    <row r="21" spans="1:17" ht="11.65" customHeight="1" x14ac:dyDescent="0.35">
      <c r="A21" s="9"/>
      <c r="B21" s="111"/>
      <c r="C21" s="45"/>
      <c r="D21" s="103"/>
      <c r="E21" s="28"/>
      <c r="F21" s="28"/>
      <c r="G21" s="22"/>
      <c r="H21" s="45"/>
      <c r="I21" s="22"/>
      <c r="J21" s="12">
        <v>0</v>
      </c>
      <c r="K21" s="8" t="str">
        <f>IFERROR(VLOOKUP(B21,DATA!$L$2:$P$6,5,0)/E21,"")</f>
        <v/>
      </c>
      <c r="L21" s="108" t="str">
        <f t="shared" si="0"/>
        <v>Không GC được</v>
      </c>
      <c r="M21" s="153" t="str">
        <f t="shared" si="1"/>
        <v/>
      </c>
      <c r="N21" s="11" t="str">
        <f>IFERROR(VLOOKUP(B21,DATA!$L$2:$N$6,2,0),"")</f>
        <v/>
      </c>
      <c r="O21" s="113" t="str">
        <f t="shared" si="2"/>
        <v/>
      </c>
      <c r="P21" s="40" t="str">
        <f t="shared" si="3"/>
        <v/>
      </c>
    </row>
    <row r="22" spans="1:17" ht="11.65" customHeight="1" x14ac:dyDescent="0.35">
      <c r="A22" s="9"/>
      <c r="B22" s="111"/>
      <c r="C22" s="45"/>
      <c r="D22" s="103"/>
      <c r="E22" s="28"/>
      <c r="F22" s="28"/>
      <c r="G22" s="22"/>
      <c r="H22" s="45"/>
      <c r="I22" s="22"/>
      <c r="J22" s="12">
        <v>0</v>
      </c>
      <c r="K22" s="8" t="str">
        <f>IFERROR(VLOOKUP(B22,DATA!$L$2:$P$6,5,0)/E22,"")</f>
        <v/>
      </c>
      <c r="L22" s="108" t="str">
        <f t="shared" si="0"/>
        <v>Không GC được</v>
      </c>
      <c r="M22" s="153" t="str">
        <f t="shared" si="1"/>
        <v/>
      </c>
      <c r="N22" s="11" t="str">
        <f>IFERROR(VLOOKUP(B22,DATA!$L$2:$N$6,2,0),"")</f>
        <v/>
      </c>
      <c r="O22" s="113" t="str">
        <f t="shared" si="2"/>
        <v/>
      </c>
      <c r="P22" s="40" t="str">
        <f t="shared" si="3"/>
        <v/>
      </c>
    </row>
    <row r="23" spans="1:17" ht="11.65" customHeight="1" x14ac:dyDescent="0.35">
      <c r="A23" s="9"/>
      <c r="B23" s="111"/>
      <c r="C23" s="45"/>
      <c r="D23" s="103"/>
      <c r="E23" s="28"/>
      <c r="F23" s="28"/>
      <c r="G23" s="22"/>
      <c r="H23" s="45"/>
      <c r="I23" s="22"/>
      <c r="J23" s="12">
        <v>0</v>
      </c>
      <c r="K23" s="8" t="str">
        <f>IFERROR(VLOOKUP(B23,DATA!$L$2:$P$6,5,0)/E23,"")</f>
        <v/>
      </c>
      <c r="L23" s="108" t="str">
        <f t="shared" si="0"/>
        <v>Không GC được</v>
      </c>
      <c r="M23" s="153" t="str">
        <f t="shared" si="1"/>
        <v/>
      </c>
      <c r="N23" s="11" t="str">
        <f>IFERROR(VLOOKUP(B23,DATA!$L$2:$N$6,2,0),"")</f>
        <v/>
      </c>
      <c r="O23" s="113" t="str">
        <f t="shared" si="2"/>
        <v/>
      </c>
      <c r="P23" s="40" t="str">
        <f t="shared" si="3"/>
        <v/>
      </c>
    </row>
    <row r="24" spans="1:17" ht="11.65" customHeight="1" x14ac:dyDescent="0.35">
      <c r="A24" s="9"/>
      <c r="B24" s="111"/>
      <c r="C24" s="45"/>
      <c r="D24" s="103"/>
      <c r="E24" s="28"/>
      <c r="F24" s="28"/>
      <c r="G24" s="22"/>
      <c r="H24" s="45"/>
      <c r="I24" s="22"/>
      <c r="J24" s="12">
        <v>0</v>
      </c>
      <c r="K24" s="8" t="str">
        <f>IFERROR(VLOOKUP(B24,DATA!$L$2:$P$6,5,0)/E24,"")</f>
        <v/>
      </c>
      <c r="L24" s="108" t="str">
        <f t="shared" si="0"/>
        <v>Không GC được</v>
      </c>
      <c r="M24" s="153" t="str">
        <f t="shared" si="1"/>
        <v/>
      </c>
      <c r="N24" s="11" t="str">
        <f>IFERROR(VLOOKUP(B24,DATA!$L$2:$N$6,2,0),"")</f>
        <v/>
      </c>
      <c r="O24" s="113" t="str">
        <f t="shared" si="2"/>
        <v/>
      </c>
      <c r="P24" s="40" t="str">
        <f t="shared" si="3"/>
        <v/>
      </c>
    </row>
    <row r="25" spans="1:17" ht="11.65" customHeight="1" x14ac:dyDescent="0.35">
      <c r="A25" s="9"/>
      <c r="B25" s="111"/>
      <c r="C25" s="45"/>
      <c r="D25" s="103"/>
      <c r="E25" s="28"/>
      <c r="F25" s="28"/>
      <c r="G25" s="22"/>
      <c r="H25" s="45"/>
      <c r="I25" s="22"/>
      <c r="J25" s="12">
        <v>0</v>
      </c>
      <c r="K25" s="8" t="str">
        <f>IFERROR(VLOOKUP(B25,DATA!$L$2:$P$6,5,0)/E25,"")</f>
        <v/>
      </c>
      <c r="L25" s="108" t="str">
        <f t="shared" si="0"/>
        <v>Không GC được</v>
      </c>
      <c r="M25" s="153" t="str">
        <f t="shared" si="1"/>
        <v/>
      </c>
      <c r="N25" s="11" t="str">
        <f>IFERROR(VLOOKUP(B25,DATA!$L$2:$N$6,2,0),"")</f>
        <v/>
      </c>
      <c r="O25" s="113" t="str">
        <f t="shared" si="2"/>
        <v/>
      </c>
      <c r="P25" s="40" t="str">
        <f t="shared" si="3"/>
        <v/>
      </c>
    </row>
    <row r="26" spans="1:17" ht="11.65" customHeight="1" x14ac:dyDescent="0.35">
      <c r="A26" s="9"/>
      <c r="B26" s="111"/>
      <c r="C26" s="45"/>
      <c r="D26" s="103"/>
      <c r="E26" s="28"/>
      <c r="F26" s="28"/>
      <c r="G26" s="22"/>
      <c r="H26" s="45"/>
      <c r="I26" s="22"/>
      <c r="J26" s="12">
        <v>0</v>
      </c>
      <c r="K26" s="8" t="str">
        <f>IFERROR(VLOOKUP(B26,DATA!$L$2:$P$6,5,0)/E26,"")</f>
        <v/>
      </c>
      <c r="L26" s="108" t="str">
        <f t="shared" si="0"/>
        <v>Không GC được</v>
      </c>
      <c r="M26" s="153" t="str">
        <f t="shared" si="1"/>
        <v/>
      </c>
      <c r="N26" s="11" t="str">
        <f>IFERROR(VLOOKUP(B26,DATA!$L$2:$N$6,2,0),"")</f>
        <v/>
      </c>
      <c r="O26" s="113" t="str">
        <f t="shared" si="2"/>
        <v/>
      </c>
      <c r="P26" s="40" t="str">
        <f t="shared" si="3"/>
        <v/>
      </c>
    </row>
    <row r="27" spans="1:17" ht="11.65" customHeight="1" x14ac:dyDescent="0.35">
      <c r="A27" s="9"/>
      <c r="B27" s="111"/>
      <c r="C27" s="45"/>
      <c r="D27" s="103"/>
      <c r="E27" s="28"/>
      <c r="F27" s="28"/>
      <c r="G27" s="22"/>
      <c r="H27" s="45"/>
      <c r="I27" s="22"/>
      <c r="J27" s="12">
        <v>0</v>
      </c>
      <c r="K27" s="8" t="str">
        <f>IFERROR(VLOOKUP(B27,DATA!$L$2:$P$6,5,0)/E27,"")</f>
        <v/>
      </c>
      <c r="L27" s="108" t="str">
        <f t="shared" si="0"/>
        <v>Không GC được</v>
      </c>
      <c r="M27" s="153" t="str">
        <f t="shared" si="1"/>
        <v/>
      </c>
      <c r="N27" s="11" t="str">
        <f>IFERROR(VLOOKUP(B27,DATA!$L$2:$N$6,2,0),"")</f>
        <v/>
      </c>
      <c r="O27" s="113" t="str">
        <f t="shared" si="2"/>
        <v/>
      </c>
      <c r="P27" s="40" t="str">
        <f t="shared" si="3"/>
        <v/>
      </c>
    </row>
    <row r="28" spans="1:17" ht="11.65" customHeight="1" x14ac:dyDescent="0.35">
      <c r="A28" s="9"/>
      <c r="B28" s="111"/>
      <c r="C28" s="45"/>
      <c r="D28" s="103"/>
      <c r="E28" s="28"/>
      <c r="F28" s="28"/>
      <c r="G28" s="22"/>
      <c r="H28" s="45"/>
      <c r="I28" s="22"/>
      <c r="J28" s="12">
        <v>0</v>
      </c>
      <c r="K28" s="8" t="str">
        <f>IFERROR(VLOOKUP(B28,DATA!$L$2:$P$6,5,0)/E28,"")</f>
        <v/>
      </c>
      <c r="L28" s="108" t="str">
        <f t="shared" si="0"/>
        <v>Không GC được</v>
      </c>
      <c r="M28" s="153" t="str">
        <f t="shared" si="1"/>
        <v/>
      </c>
      <c r="N28" s="11" t="str">
        <f>IFERROR(VLOOKUP(B28,DATA!$L$2:$N$6,2,0),"")</f>
        <v/>
      </c>
      <c r="O28" s="113" t="str">
        <f t="shared" si="2"/>
        <v/>
      </c>
      <c r="P28" s="40" t="str">
        <f t="shared" si="3"/>
        <v/>
      </c>
    </row>
    <row r="29" spans="1:17" ht="11.65" customHeight="1" x14ac:dyDescent="0.35">
      <c r="A29" s="9"/>
      <c r="B29" s="111"/>
      <c r="C29" s="45"/>
      <c r="D29" s="103"/>
      <c r="E29" s="28"/>
      <c r="F29" s="28"/>
      <c r="G29" s="22"/>
      <c r="H29" s="45"/>
      <c r="I29" s="22"/>
      <c r="J29" s="12">
        <v>0</v>
      </c>
      <c r="K29" s="8" t="str">
        <f>IFERROR(VLOOKUP(B29,DATA!$L$2:$P$6,5,0)/E29,"")</f>
        <v/>
      </c>
      <c r="L29" s="108" t="str">
        <f t="shared" si="0"/>
        <v>Không GC được</v>
      </c>
      <c r="M29" s="153" t="str">
        <f t="shared" si="1"/>
        <v/>
      </c>
      <c r="N29" s="11" t="str">
        <f>IFERROR(VLOOKUP(B29,DATA!$L$2:$N$6,2,0),"")</f>
        <v/>
      </c>
      <c r="O29" s="113" t="str">
        <f t="shared" si="2"/>
        <v/>
      </c>
      <c r="P29" s="40" t="str">
        <f t="shared" si="3"/>
        <v/>
      </c>
    </row>
    <row r="30" spans="1:17" ht="11.65" customHeight="1" x14ac:dyDescent="0.35">
      <c r="A30" s="9"/>
      <c r="B30" s="111"/>
      <c r="C30" s="45"/>
      <c r="D30" s="103"/>
      <c r="E30" s="28"/>
      <c r="F30" s="28"/>
      <c r="G30" s="22"/>
      <c r="H30" s="45"/>
      <c r="I30" s="22"/>
      <c r="J30" s="12">
        <v>0</v>
      </c>
      <c r="K30" s="8" t="str">
        <f>IFERROR(VLOOKUP(B30,DATA!$L$2:$P$6,5,0)/E30,"")</f>
        <v/>
      </c>
      <c r="L30" s="108" t="str">
        <f t="shared" si="0"/>
        <v>Không GC được</v>
      </c>
      <c r="M30" s="153" t="str">
        <f t="shared" si="1"/>
        <v/>
      </c>
      <c r="N30" s="11" t="str">
        <f>IFERROR(VLOOKUP(B30,DATA!$L$2:$N$6,2,0),"")</f>
        <v/>
      </c>
      <c r="O30" s="113" t="str">
        <f t="shared" si="2"/>
        <v/>
      </c>
      <c r="P30" s="40" t="str">
        <f t="shared" si="3"/>
        <v/>
      </c>
    </row>
    <row r="31" spans="1:17" ht="11.65" customHeight="1" x14ac:dyDescent="0.35">
      <c r="A31" s="9"/>
      <c r="B31" s="111"/>
      <c r="C31" s="45"/>
      <c r="D31" s="103"/>
      <c r="E31" s="28"/>
      <c r="F31" s="28"/>
      <c r="G31" s="22"/>
      <c r="H31" s="45"/>
      <c r="I31" s="22"/>
      <c r="J31" s="12">
        <v>0</v>
      </c>
      <c r="K31" s="8" t="str">
        <f>IFERROR(VLOOKUP(B31,DATA!$L$2:$P$6,5,0)/E31,"")</f>
        <v/>
      </c>
      <c r="L31" s="108" t="str">
        <f t="shared" si="0"/>
        <v>Không GC được</v>
      </c>
      <c r="M31" s="153" t="str">
        <f t="shared" si="1"/>
        <v/>
      </c>
      <c r="N31" s="11" t="str">
        <f>IFERROR(VLOOKUP(B31,DATA!$L$2:$N$6,2,0),"")</f>
        <v/>
      </c>
      <c r="O31" s="113" t="str">
        <f t="shared" si="2"/>
        <v/>
      </c>
      <c r="P31" s="40" t="str">
        <f t="shared" si="3"/>
        <v/>
      </c>
    </row>
    <row r="32" spans="1:17" ht="11.65" customHeight="1" x14ac:dyDescent="0.35">
      <c r="A32" s="9"/>
      <c r="B32" s="111"/>
      <c r="C32" s="45"/>
      <c r="D32" s="103"/>
      <c r="E32" s="28"/>
      <c r="F32" s="28"/>
      <c r="G32" s="22"/>
      <c r="H32" s="45"/>
      <c r="I32" s="22"/>
      <c r="J32" s="12">
        <v>0</v>
      </c>
      <c r="K32" s="8" t="str">
        <f>IFERROR(VLOOKUP(B32,DATA!$L$2:$P$6,5,0)/E32,"")</f>
        <v/>
      </c>
      <c r="L32" s="108" t="str">
        <f t="shared" si="0"/>
        <v>Không GC được</v>
      </c>
      <c r="M32" s="153" t="str">
        <f t="shared" si="1"/>
        <v/>
      </c>
      <c r="N32" s="11" t="str">
        <f>IFERROR(VLOOKUP(B32,DATA!$L$2:$N$6,2,0),"")</f>
        <v/>
      </c>
      <c r="O32" s="113" t="str">
        <f t="shared" si="2"/>
        <v/>
      </c>
      <c r="P32" s="40" t="str">
        <f t="shared" si="3"/>
        <v/>
      </c>
    </row>
    <row r="33" spans="1:16" ht="11.65" customHeight="1" x14ac:dyDescent="0.35">
      <c r="A33" s="9"/>
      <c r="B33" s="111"/>
      <c r="C33" s="45"/>
      <c r="D33" s="103"/>
      <c r="E33" s="28"/>
      <c r="F33" s="28"/>
      <c r="G33" s="22"/>
      <c r="H33" s="45"/>
      <c r="I33" s="22"/>
      <c r="J33" s="12">
        <v>0</v>
      </c>
      <c r="K33" s="8" t="str">
        <f>IFERROR(VLOOKUP(B33,DATA!$L$2:$P$6,5,0)/E33,"")</f>
        <v/>
      </c>
      <c r="L33" s="108" t="str">
        <f t="shared" si="0"/>
        <v>Không GC được</v>
      </c>
      <c r="M33" s="153" t="str">
        <f t="shared" si="1"/>
        <v/>
      </c>
      <c r="N33" s="11" t="str">
        <f>IFERROR(VLOOKUP(B33,DATA!$L$2:$N$6,2,0),"")</f>
        <v/>
      </c>
      <c r="O33" s="113" t="str">
        <f t="shared" si="2"/>
        <v/>
      </c>
      <c r="P33" s="40" t="str">
        <f t="shared" si="3"/>
        <v/>
      </c>
    </row>
    <row r="34" spans="1:16" ht="11.65" customHeight="1" x14ac:dyDescent="0.35">
      <c r="A34" s="9"/>
      <c r="B34" s="111"/>
      <c r="C34" s="45"/>
      <c r="D34" s="103"/>
      <c r="E34" s="28"/>
      <c r="F34" s="28"/>
      <c r="G34" s="22"/>
      <c r="H34" s="45"/>
      <c r="I34" s="22"/>
      <c r="J34" s="12">
        <v>0</v>
      </c>
      <c r="K34" s="8" t="str">
        <f>IFERROR(VLOOKUP(B34,DATA!$L$2:$P$6,5,0)/E34,"")</f>
        <v/>
      </c>
      <c r="L34" s="108" t="str">
        <f t="shared" si="0"/>
        <v>Không GC được</v>
      </c>
      <c r="M34" s="153" t="str">
        <f t="shared" si="1"/>
        <v/>
      </c>
      <c r="N34" s="11" t="str">
        <f>IFERROR(VLOOKUP(B34,DATA!$L$2:$N$6,2,0),"")</f>
        <v/>
      </c>
      <c r="O34" s="113" t="str">
        <f t="shared" si="2"/>
        <v/>
      </c>
      <c r="P34" s="40" t="str">
        <f t="shared" si="3"/>
        <v/>
      </c>
    </row>
    <row r="35" spans="1:16" ht="11.65" customHeight="1" x14ac:dyDescent="0.35">
      <c r="A35" s="9"/>
      <c r="B35" s="111"/>
      <c r="C35" s="45"/>
      <c r="D35" s="103"/>
      <c r="E35" s="28"/>
      <c r="F35" s="28"/>
      <c r="G35" s="22"/>
      <c r="H35" s="45"/>
      <c r="I35" s="22"/>
      <c r="J35" s="12">
        <v>0</v>
      </c>
      <c r="K35" s="8" t="str">
        <f>IFERROR(VLOOKUP(B35,DATA!$L$2:$P$6,5,0)/E35,"")</f>
        <v/>
      </c>
      <c r="L35" s="108" t="str">
        <f t="shared" si="0"/>
        <v>Không GC được</v>
      </c>
      <c r="M35" s="153" t="str">
        <f t="shared" si="1"/>
        <v/>
      </c>
      <c r="N35" s="11" t="str">
        <f>IFERROR(VLOOKUP(B35,DATA!$L$2:$N$6,2,0),"")</f>
        <v/>
      </c>
      <c r="O35" s="113" t="str">
        <f t="shared" si="2"/>
        <v/>
      </c>
      <c r="P35" s="40" t="str">
        <f t="shared" si="3"/>
        <v/>
      </c>
    </row>
    <row r="36" spans="1:16" ht="11.65" customHeight="1" x14ac:dyDescent="0.35">
      <c r="A36" s="9"/>
      <c r="B36" s="111"/>
      <c r="C36" s="45"/>
      <c r="D36" s="103"/>
      <c r="E36" s="28"/>
      <c r="F36" s="28"/>
      <c r="G36" s="22"/>
      <c r="H36" s="45"/>
      <c r="I36" s="22"/>
      <c r="J36" s="12">
        <v>0</v>
      </c>
      <c r="K36" s="8" t="str">
        <f>IFERROR(VLOOKUP(B36,DATA!$L$2:$P$6,5,0)/E36,"")</f>
        <v/>
      </c>
      <c r="L36" s="108" t="str">
        <f t="shared" si="0"/>
        <v>Không GC được</v>
      </c>
      <c r="M36" s="153" t="str">
        <f t="shared" si="1"/>
        <v/>
      </c>
      <c r="N36" s="11" t="str">
        <f>IFERROR(VLOOKUP(B36,DATA!$L$2:$N$6,2,0),"")</f>
        <v/>
      </c>
      <c r="O36" s="113" t="str">
        <f t="shared" si="2"/>
        <v/>
      </c>
      <c r="P36" s="40" t="str">
        <f t="shared" si="3"/>
        <v/>
      </c>
    </row>
    <row r="37" spans="1:16" ht="11.65" customHeight="1" x14ac:dyDescent="0.35">
      <c r="A37" s="9"/>
      <c r="B37" s="111"/>
      <c r="C37" s="45"/>
      <c r="D37" s="103"/>
      <c r="E37" s="28"/>
      <c r="F37" s="28"/>
      <c r="G37" s="22"/>
      <c r="H37" s="45"/>
      <c r="I37" s="22"/>
      <c r="J37" s="12">
        <v>0</v>
      </c>
      <c r="K37" s="8" t="str">
        <f>IFERROR(VLOOKUP(B37,DATA!$L$2:$P$6,5,0)/E37,"")</f>
        <v/>
      </c>
      <c r="L37" s="108" t="str">
        <f t="shared" si="0"/>
        <v>Không GC được</v>
      </c>
      <c r="M37" s="153" t="str">
        <f t="shared" si="1"/>
        <v/>
      </c>
      <c r="N37" s="11" t="str">
        <f>IFERROR(VLOOKUP(B37,DATA!$L$2:$N$6,2,0),"")</f>
        <v/>
      </c>
      <c r="O37" s="113" t="str">
        <f t="shared" si="2"/>
        <v/>
      </c>
      <c r="P37" s="40" t="str">
        <f t="shared" si="3"/>
        <v/>
      </c>
    </row>
    <row r="38" spans="1:16" ht="11.65" customHeight="1" x14ac:dyDescent="0.35">
      <c r="A38" s="9"/>
      <c r="B38" s="111"/>
      <c r="C38" s="45"/>
      <c r="D38" s="103"/>
      <c r="E38" s="28"/>
      <c r="F38" s="28"/>
      <c r="G38" s="22"/>
      <c r="H38" s="45"/>
      <c r="I38" s="22"/>
      <c r="J38" s="12">
        <v>0</v>
      </c>
      <c r="K38" s="8" t="str">
        <f>IFERROR(VLOOKUP(B38,DATA!$L$2:$P$6,5,0)/E38,"")</f>
        <v/>
      </c>
      <c r="L38" s="108" t="str">
        <f t="shared" si="0"/>
        <v>Không GC được</v>
      </c>
      <c r="M38" s="153" t="str">
        <f t="shared" si="1"/>
        <v/>
      </c>
      <c r="N38" s="11" t="str">
        <f>IFERROR(VLOOKUP(B38,DATA!$L$2:$N$6,2,0),"")</f>
        <v/>
      </c>
      <c r="O38" s="113" t="str">
        <f t="shared" si="2"/>
        <v/>
      </c>
      <c r="P38" s="40" t="str">
        <f t="shared" si="3"/>
        <v/>
      </c>
    </row>
    <row r="39" spans="1:16" ht="11.65" customHeight="1" x14ac:dyDescent="0.35">
      <c r="A39" s="9"/>
      <c r="B39" s="111"/>
      <c r="C39" s="45"/>
      <c r="D39" s="103"/>
      <c r="E39" s="28"/>
      <c r="F39" s="28"/>
      <c r="G39" s="22"/>
      <c r="H39" s="45"/>
      <c r="I39" s="22"/>
      <c r="J39" s="12">
        <v>0</v>
      </c>
      <c r="K39" s="8" t="str">
        <f>IFERROR(VLOOKUP(B39,DATA!$L$2:$P$6,5,0)/E39,"")</f>
        <v/>
      </c>
      <c r="L39" s="108" t="str">
        <f t="shared" si="0"/>
        <v>Không GC được</v>
      </c>
      <c r="M39" s="153" t="str">
        <f t="shared" si="1"/>
        <v/>
      </c>
      <c r="N39" s="11" t="str">
        <f>IFERROR(VLOOKUP(B39,DATA!$L$2:$N$6,2,0),"")</f>
        <v/>
      </c>
      <c r="O39" s="113" t="str">
        <f t="shared" si="2"/>
        <v/>
      </c>
      <c r="P39" s="40" t="str">
        <f t="shared" si="3"/>
        <v/>
      </c>
    </row>
    <row r="40" spans="1:16" ht="11.65" customHeight="1" x14ac:dyDescent="0.35">
      <c r="A40" s="9"/>
      <c r="B40" s="111"/>
      <c r="C40" s="45"/>
      <c r="D40" s="103"/>
      <c r="E40" s="28"/>
      <c r="F40" s="28"/>
      <c r="G40" s="22"/>
      <c r="H40" s="45"/>
      <c r="I40" s="22"/>
      <c r="J40" s="12">
        <v>0</v>
      </c>
      <c r="K40" s="8" t="str">
        <f>IFERROR(VLOOKUP(B40,DATA!$L$2:$P$6,5,0)/E40,"")</f>
        <v/>
      </c>
      <c r="L40" s="108" t="str">
        <f t="shared" si="0"/>
        <v>Không GC được</v>
      </c>
      <c r="M40" s="153" t="str">
        <f t="shared" si="1"/>
        <v/>
      </c>
      <c r="N40" s="11" t="str">
        <f>IFERROR(VLOOKUP(B40,DATA!$L$2:$N$6,2,0),"")</f>
        <v/>
      </c>
      <c r="O40" s="113" t="str">
        <f t="shared" si="2"/>
        <v/>
      </c>
      <c r="P40" s="40" t="str">
        <f t="shared" si="3"/>
        <v/>
      </c>
    </row>
    <row r="41" spans="1:16" ht="11.65" customHeight="1" x14ac:dyDescent="0.35">
      <c r="A41" s="9"/>
      <c r="B41" s="111"/>
      <c r="C41" s="45"/>
      <c r="D41" s="103"/>
      <c r="E41" s="28"/>
      <c r="F41" s="28"/>
      <c r="G41" s="22"/>
      <c r="H41" s="45"/>
      <c r="I41" s="22"/>
      <c r="J41" s="12">
        <v>0</v>
      </c>
      <c r="K41" s="8" t="str">
        <f>IFERROR(VLOOKUP(B41,DATA!$L$2:$P$6,5,0)/E41,"")</f>
        <v/>
      </c>
      <c r="L41" s="108" t="str">
        <f t="shared" si="0"/>
        <v>Không GC được</v>
      </c>
      <c r="M41" s="153" t="str">
        <f t="shared" si="1"/>
        <v/>
      </c>
      <c r="N41" s="11" t="str">
        <f>IFERROR(VLOOKUP(B41,DATA!$L$2:$N$6,2,0),"")</f>
        <v/>
      </c>
      <c r="O41" s="113" t="str">
        <f t="shared" si="2"/>
        <v/>
      </c>
      <c r="P41" s="40" t="str">
        <f t="shared" si="3"/>
        <v/>
      </c>
    </row>
    <row r="42" spans="1:16" ht="11.65" customHeight="1" x14ac:dyDescent="0.35">
      <c r="A42" s="9"/>
      <c r="B42" s="111"/>
      <c r="C42" s="45"/>
      <c r="D42" s="103"/>
      <c r="E42" s="28"/>
      <c r="F42" s="28"/>
      <c r="G42" s="22"/>
      <c r="H42" s="45"/>
      <c r="I42" s="22"/>
      <c r="J42" s="12">
        <v>0</v>
      </c>
      <c r="K42" s="8" t="str">
        <f>IFERROR(VLOOKUP(B42,DATA!$L$2:$P$6,5,0)/E42,"")</f>
        <v/>
      </c>
      <c r="L42" s="108" t="str">
        <f t="shared" si="0"/>
        <v>Không GC được</v>
      </c>
      <c r="M42" s="153" t="str">
        <f t="shared" si="1"/>
        <v/>
      </c>
      <c r="N42" s="11"/>
      <c r="O42" s="113" t="str">
        <f t="shared" si="2"/>
        <v/>
      </c>
      <c r="P42" s="40" t="str">
        <f t="shared" si="3"/>
        <v/>
      </c>
    </row>
    <row r="43" spans="1:16" ht="11.65" customHeight="1" x14ac:dyDescent="0.35">
      <c r="A43" s="9"/>
      <c r="B43" s="111"/>
      <c r="C43" s="45"/>
      <c r="D43" s="103"/>
      <c r="E43" s="28"/>
      <c r="F43" s="28"/>
      <c r="G43" s="22"/>
      <c r="H43" s="45"/>
      <c r="I43" s="22"/>
      <c r="J43" s="12">
        <v>0</v>
      </c>
      <c r="K43" s="8" t="str">
        <f>IFERROR(VLOOKUP(B43,DATA!$L$2:$P$6,5,0)/E43,"")</f>
        <v/>
      </c>
      <c r="L43" s="108" t="str">
        <f t="shared" si="0"/>
        <v>Không GC được</v>
      </c>
      <c r="M43" s="153" t="str">
        <f t="shared" si="1"/>
        <v/>
      </c>
      <c r="N43" s="11"/>
      <c r="O43" s="113" t="str">
        <f t="shared" si="2"/>
        <v/>
      </c>
      <c r="P43" s="40" t="str">
        <f t="shared" si="3"/>
        <v/>
      </c>
    </row>
    <row r="44" spans="1:16" ht="11.65" customHeight="1" x14ac:dyDescent="0.35">
      <c r="A44" s="9"/>
      <c r="B44" s="111"/>
      <c r="C44" s="45"/>
      <c r="D44" s="103"/>
      <c r="E44" s="28"/>
      <c r="F44" s="28"/>
      <c r="G44" s="22"/>
      <c r="H44" s="45"/>
      <c r="I44" s="22"/>
      <c r="J44" s="12">
        <v>0</v>
      </c>
      <c r="K44" s="8" t="str">
        <f>IFERROR(VLOOKUP(B44,DATA!$L$2:$P$6,5,0)/E44,"")</f>
        <v/>
      </c>
      <c r="L44" s="108" t="str">
        <f t="shared" ref="L44:L75" si="4">IFERROR(IF(D44&lt;0.15,"Không GC được",IF(E44&lt;6,"Không GC được",IF(E44&lt;20,3200,IF(E44&lt;50,2150,IF(E44&lt;80,1950,1600))))*(1+IF(F44&lt;500,0.5,IF(F44&gt;10000,-0.2,IF(F44&gt;5000,-0.1,IF(F44&gt;1000,0,0.3))))+IF(D44&lt;0.3,20%,IF(D44&lt;0.5,15%,0)))),"Không GC được")</f>
        <v>Không GC được</v>
      </c>
      <c r="M44" s="153" t="str">
        <f t="shared" ref="M44:M75" si="5">IFERROR((C44*(1+K44)+L44)/(1-G44*0.007/30),"")</f>
        <v/>
      </c>
      <c r="N44" s="11"/>
      <c r="O44" s="113" t="str">
        <f t="shared" ref="O44:O75" si="6">IFERROR(ROUND((M44/(1-N44)+($H$12+$I$12)/$F$82)/(1-J44),-2),"")</f>
        <v/>
      </c>
      <c r="P44" s="40" t="str">
        <f t="shared" ref="P44:P75" si="7">IFERROR(O44*F44,"")</f>
        <v/>
      </c>
    </row>
    <row r="45" spans="1:16" ht="11.65" customHeight="1" x14ac:dyDescent="0.35">
      <c r="A45" s="9"/>
      <c r="B45" s="111"/>
      <c r="C45" s="45"/>
      <c r="D45" s="103"/>
      <c r="E45" s="28"/>
      <c r="F45" s="28"/>
      <c r="G45" s="22"/>
      <c r="H45" s="45"/>
      <c r="I45" s="22"/>
      <c r="J45" s="12">
        <v>0</v>
      </c>
      <c r="K45" s="8" t="str">
        <f>IFERROR(VLOOKUP(B45,DATA!$L$2:$P$6,5,0)/E45,"")</f>
        <v/>
      </c>
      <c r="L45" s="108" t="str">
        <f t="shared" si="4"/>
        <v>Không GC được</v>
      </c>
      <c r="M45" s="153" t="str">
        <f t="shared" si="5"/>
        <v/>
      </c>
      <c r="N45" s="11"/>
      <c r="O45" s="113" t="str">
        <f t="shared" si="6"/>
        <v/>
      </c>
      <c r="P45" s="40" t="str">
        <f t="shared" si="7"/>
        <v/>
      </c>
    </row>
    <row r="46" spans="1:16" ht="11.65" customHeight="1" x14ac:dyDescent="0.35">
      <c r="A46" s="9"/>
      <c r="B46" s="111"/>
      <c r="C46" s="45"/>
      <c r="D46" s="103"/>
      <c r="E46" s="28"/>
      <c r="F46" s="28"/>
      <c r="G46" s="22"/>
      <c r="H46" s="45"/>
      <c r="I46" s="22"/>
      <c r="J46" s="12">
        <v>0</v>
      </c>
      <c r="K46" s="8" t="str">
        <f>IFERROR(VLOOKUP(B46,DATA!$L$2:$P$6,5,0)/E46,"")</f>
        <v/>
      </c>
      <c r="L46" s="108" t="str">
        <f t="shared" si="4"/>
        <v>Không GC được</v>
      </c>
      <c r="M46" s="153" t="str">
        <f t="shared" si="5"/>
        <v/>
      </c>
      <c r="N46" s="11"/>
      <c r="O46" s="113" t="str">
        <f t="shared" si="6"/>
        <v/>
      </c>
      <c r="P46" s="40" t="str">
        <f t="shared" si="7"/>
        <v/>
      </c>
    </row>
    <row r="47" spans="1:16" ht="11.65" customHeight="1" x14ac:dyDescent="0.35">
      <c r="A47" s="9"/>
      <c r="B47" s="111"/>
      <c r="C47" s="45"/>
      <c r="D47" s="103"/>
      <c r="E47" s="28"/>
      <c r="F47" s="28"/>
      <c r="G47" s="22"/>
      <c r="H47" s="45"/>
      <c r="I47" s="22"/>
      <c r="J47" s="12">
        <v>0</v>
      </c>
      <c r="K47" s="8" t="str">
        <f>IFERROR(VLOOKUP(B47,DATA!$L$2:$P$6,5,0)/E47,"")</f>
        <v/>
      </c>
      <c r="L47" s="108" t="str">
        <f t="shared" si="4"/>
        <v>Không GC được</v>
      </c>
      <c r="M47" s="153" t="str">
        <f t="shared" si="5"/>
        <v/>
      </c>
      <c r="N47" s="11"/>
      <c r="O47" s="113" t="str">
        <f t="shared" si="6"/>
        <v/>
      </c>
      <c r="P47" s="40" t="str">
        <f t="shared" si="7"/>
        <v/>
      </c>
    </row>
    <row r="48" spans="1:16" ht="11.65" customHeight="1" x14ac:dyDescent="0.35">
      <c r="A48" s="9"/>
      <c r="B48" s="111"/>
      <c r="C48" s="45"/>
      <c r="D48" s="103"/>
      <c r="E48" s="28"/>
      <c r="F48" s="28"/>
      <c r="G48" s="22"/>
      <c r="H48" s="45"/>
      <c r="I48" s="22"/>
      <c r="J48" s="12">
        <v>0</v>
      </c>
      <c r="K48" s="8" t="str">
        <f>IFERROR(VLOOKUP(B48,DATA!$L$2:$P$6,5,0)/E48,"")</f>
        <v/>
      </c>
      <c r="L48" s="108" t="str">
        <f t="shared" si="4"/>
        <v>Không GC được</v>
      </c>
      <c r="M48" s="153" t="str">
        <f t="shared" si="5"/>
        <v/>
      </c>
      <c r="N48" s="11"/>
      <c r="O48" s="113" t="str">
        <f t="shared" si="6"/>
        <v/>
      </c>
      <c r="P48" s="40" t="str">
        <f t="shared" si="7"/>
        <v/>
      </c>
    </row>
    <row r="49" spans="1:16" ht="11.65" customHeight="1" x14ac:dyDescent="0.35">
      <c r="A49" s="9"/>
      <c r="B49" s="111"/>
      <c r="C49" s="45"/>
      <c r="D49" s="103"/>
      <c r="E49" s="28"/>
      <c r="F49" s="28"/>
      <c r="G49" s="22"/>
      <c r="H49" s="45"/>
      <c r="I49" s="22"/>
      <c r="J49" s="12">
        <v>0</v>
      </c>
      <c r="K49" s="8" t="str">
        <f>IFERROR(VLOOKUP(B49,DATA!$L$2:$P$6,5,0)/E49,"")</f>
        <v/>
      </c>
      <c r="L49" s="108" t="str">
        <f t="shared" si="4"/>
        <v>Không GC được</v>
      </c>
      <c r="M49" s="153" t="str">
        <f t="shared" si="5"/>
        <v/>
      </c>
      <c r="N49" s="11"/>
      <c r="O49" s="113" t="str">
        <f t="shared" si="6"/>
        <v/>
      </c>
      <c r="P49" s="40" t="str">
        <f t="shared" si="7"/>
        <v/>
      </c>
    </row>
    <row r="50" spans="1:16" ht="11.65" customHeight="1" x14ac:dyDescent="0.35">
      <c r="A50" s="9"/>
      <c r="B50" s="111"/>
      <c r="C50" s="45"/>
      <c r="D50" s="103"/>
      <c r="E50" s="28"/>
      <c r="F50" s="28"/>
      <c r="G50" s="22"/>
      <c r="H50" s="45"/>
      <c r="I50" s="22"/>
      <c r="J50" s="12">
        <v>0</v>
      </c>
      <c r="K50" s="8" t="str">
        <f>IFERROR(VLOOKUP(B50,DATA!$L$2:$P$6,5,0)/E50,"")</f>
        <v/>
      </c>
      <c r="L50" s="108" t="str">
        <f t="shared" si="4"/>
        <v>Không GC được</v>
      </c>
      <c r="M50" s="153" t="str">
        <f t="shared" si="5"/>
        <v/>
      </c>
      <c r="N50" s="11"/>
      <c r="O50" s="113" t="str">
        <f t="shared" si="6"/>
        <v/>
      </c>
      <c r="P50" s="40" t="str">
        <f t="shared" si="7"/>
        <v/>
      </c>
    </row>
    <row r="51" spans="1:16" ht="11.65" customHeight="1" x14ac:dyDescent="0.35">
      <c r="A51" s="9"/>
      <c r="B51" s="111"/>
      <c r="C51" s="45"/>
      <c r="D51" s="103"/>
      <c r="E51" s="28"/>
      <c r="F51" s="28"/>
      <c r="G51" s="22"/>
      <c r="H51" s="45"/>
      <c r="I51" s="22"/>
      <c r="J51" s="12">
        <v>0</v>
      </c>
      <c r="K51" s="8" t="str">
        <f>IFERROR(VLOOKUP(B51,DATA!$L$2:$P$6,5,0)/E51,"")</f>
        <v/>
      </c>
      <c r="L51" s="108" t="str">
        <f t="shared" si="4"/>
        <v>Không GC được</v>
      </c>
      <c r="M51" s="153" t="str">
        <f t="shared" si="5"/>
        <v/>
      </c>
      <c r="N51" s="11"/>
      <c r="O51" s="113" t="str">
        <f t="shared" si="6"/>
        <v/>
      </c>
      <c r="P51" s="40" t="str">
        <f t="shared" si="7"/>
        <v/>
      </c>
    </row>
    <row r="52" spans="1:16" ht="11.65" customHeight="1" x14ac:dyDescent="0.35">
      <c r="A52" s="9"/>
      <c r="B52" s="111"/>
      <c r="C52" s="45"/>
      <c r="D52" s="103"/>
      <c r="E52" s="28"/>
      <c r="F52" s="28"/>
      <c r="G52" s="22"/>
      <c r="H52" s="45"/>
      <c r="I52" s="22"/>
      <c r="J52" s="12">
        <v>0</v>
      </c>
      <c r="K52" s="8" t="str">
        <f>IFERROR(VLOOKUP(B52,DATA!$L$2:$P$6,5,0)/E52,"")</f>
        <v/>
      </c>
      <c r="L52" s="108" t="str">
        <f t="shared" si="4"/>
        <v>Không GC được</v>
      </c>
      <c r="M52" s="153" t="str">
        <f t="shared" si="5"/>
        <v/>
      </c>
      <c r="N52" s="11"/>
      <c r="O52" s="113" t="str">
        <f t="shared" si="6"/>
        <v/>
      </c>
      <c r="P52" s="40" t="str">
        <f t="shared" si="7"/>
        <v/>
      </c>
    </row>
    <row r="53" spans="1:16" ht="11.65" customHeight="1" x14ac:dyDescent="0.35">
      <c r="A53" s="9"/>
      <c r="B53" s="111"/>
      <c r="C53" s="45"/>
      <c r="D53" s="103"/>
      <c r="E53" s="28"/>
      <c r="F53" s="28"/>
      <c r="G53" s="22"/>
      <c r="H53" s="45"/>
      <c r="I53" s="22"/>
      <c r="J53" s="12">
        <v>0</v>
      </c>
      <c r="K53" s="8" t="str">
        <f>IFERROR(VLOOKUP(B53,DATA!$L$2:$P$6,5,0)/E53,"")</f>
        <v/>
      </c>
      <c r="L53" s="108" t="str">
        <f t="shared" si="4"/>
        <v>Không GC được</v>
      </c>
      <c r="M53" s="153" t="str">
        <f t="shared" si="5"/>
        <v/>
      </c>
      <c r="N53" s="11"/>
      <c r="O53" s="113" t="str">
        <f t="shared" si="6"/>
        <v/>
      </c>
      <c r="P53" s="40" t="str">
        <f t="shared" si="7"/>
        <v/>
      </c>
    </row>
    <row r="54" spans="1:16" ht="11.65" customHeight="1" x14ac:dyDescent="0.35">
      <c r="A54" s="9"/>
      <c r="B54" s="111"/>
      <c r="C54" s="45"/>
      <c r="D54" s="103"/>
      <c r="E54" s="28"/>
      <c r="F54" s="28"/>
      <c r="G54" s="22"/>
      <c r="H54" s="45"/>
      <c r="I54" s="22"/>
      <c r="J54" s="12">
        <v>0</v>
      </c>
      <c r="K54" s="8" t="str">
        <f>IFERROR(VLOOKUP(B54,DATA!$L$2:$P$6,5,0)/E54,"")</f>
        <v/>
      </c>
      <c r="L54" s="108" t="str">
        <f t="shared" si="4"/>
        <v>Không GC được</v>
      </c>
      <c r="M54" s="153" t="str">
        <f t="shared" si="5"/>
        <v/>
      </c>
      <c r="N54" s="11"/>
      <c r="O54" s="113" t="str">
        <f t="shared" si="6"/>
        <v/>
      </c>
      <c r="P54" s="40" t="str">
        <f t="shared" si="7"/>
        <v/>
      </c>
    </row>
    <row r="55" spans="1:16" ht="11.65" customHeight="1" x14ac:dyDescent="0.35">
      <c r="A55" s="9"/>
      <c r="B55" s="111"/>
      <c r="C55" s="45"/>
      <c r="D55" s="103"/>
      <c r="E55" s="28"/>
      <c r="F55" s="28"/>
      <c r="G55" s="22"/>
      <c r="H55" s="45"/>
      <c r="I55" s="22"/>
      <c r="J55" s="12">
        <v>0</v>
      </c>
      <c r="K55" s="8" t="str">
        <f>IFERROR(VLOOKUP(B55,DATA!$L$2:$P$6,5,0)/E55,"")</f>
        <v/>
      </c>
      <c r="L55" s="108" t="str">
        <f t="shared" si="4"/>
        <v>Không GC được</v>
      </c>
      <c r="M55" s="153" t="str">
        <f t="shared" si="5"/>
        <v/>
      </c>
      <c r="N55" s="11"/>
      <c r="O55" s="113" t="str">
        <f t="shared" si="6"/>
        <v/>
      </c>
      <c r="P55" s="40" t="str">
        <f t="shared" si="7"/>
        <v/>
      </c>
    </row>
    <row r="56" spans="1:16" ht="11.65" customHeight="1" x14ac:dyDescent="0.35">
      <c r="A56" s="9"/>
      <c r="B56" s="111"/>
      <c r="C56" s="45"/>
      <c r="D56" s="103"/>
      <c r="E56" s="28"/>
      <c r="F56" s="28"/>
      <c r="G56" s="22"/>
      <c r="H56" s="45"/>
      <c r="I56" s="22"/>
      <c r="J56" s="12">
        <v>0</v>
      </c>
      <c r="K56" s="8" t="str">
        <f>IFERROR(VLOOKUP(B56,DATA!$L$2:$P$6,5,0)/E56,"")</f>
        <v/>
      </c>
      <c r="L56" s="108" t="str">
        <f t="shared" si="4"/>
        <v>Không GC được</v>
      </c>
      <c r="M56" s="153" t="str">
        <f t="shared" si="5"/>
        <v/>
      </c>
      <c r="N56" s="11"/>
      <c r="O56" s="113" t="str">
        <f t="shared" si="6"/>
        <v/>
      </c>
      <c r="P56" s="40" t="str">
        <f t="shared" si="7"/>
        <v/>
      </c>
    </row>
    <row r="57" spans="1:16" ht="11.65" customHeight="1" x14ac:dyDescent="0.35">
      <c r="A57" s="9"/>
      <c r="B57" s="111"/>
      <c r="C57" s="45"/>
      <c r="D57" s="103"/>
      <c r="E57" s="28"/>
      <c r="F57" s="28"/>
      <c r="G57" s="22"/>
      <c r="H57" s="45"/>
      <c r="I57" s="22"/>
      <c r="J57" s="12">
        <v>0</v>
      </c>
      <c r="K57" s="8" t="str">
        <f>IFERROR(VLOOKUP(B57,DATA!$L$2:$P$6,5,0)/E57,"")</f>
        <v/>
      </c>
      <c r="L57" s="108" t="str">
        <f t="shared" si="4"/>
        <v>Không GC được</v>
      </c>
      <c r="M57" s="153" t="str">
        <f t="shared" si="5"/>
        <v/>
      </c>
      <c r="N57" s="11"/>
      <c r="O57" s="113" t="str">
        <f t="shared" si="6"/>
        <v/>
      </c>
      <c r="P57" s="40" t="str">
        <f t="shared" si="7"/>
        <v/>
      </c>
    </row>
    <row r="58" spans="1:16" ht="11.65" customHeight="1" x14ac:dyDescent="0.35">
      <c r="A58" s="9"/>
      <c r="B58" s="111"/>
      <c r="C58" s="45"/>
      <c r="D58" s="103"/>
      <c r="E58" s="28"/>
      <c r="F58" s="28"/>
      <c r="G58" s="22"/>
      <c r="H58" s="45"/>
      <c r="I58" s="22"/>
      <c r="J58" s="12">
        <v>0</v>
      </c>
      <c r="K58" s="8" t="str">
        <f>IFERROR(VLOOKUP(B58,DATA!$L$2:$P$6,5,0)/E58,"")</f>
        <v/>
      </c>
      <c r="L58" s="108" t="str">
        <f t="shared" si="4"/>
        <v>Không GC được</v>
      </c>
      <c r="M58" s="153" t="str">
        <f t="shared" si="5"/>
        <v/>
      </c>
      <c r="N58" s="11"/>
      <c r="O58" s="113" t="str">
        <f t="shared" si="6"/>
        <v/>
      </c>
      <c r="P58" s="40" t="str">
        <f t="shared" si="7"/>
        <v/>
      </c>
    </row>
    <row r="59" spans="1:16" ht="11.65" customHeight="1" x14ac:dyDescent="0.35">
      <c r="A59" s="9"/>
      <c r="B59" s="111"/>
      <c r="C59" s="45"/>
      <c r="D59" s="103"/>
      <c r="E59" s="28"/>
      <c r="F59" s="28"/>
      <c r="G59" s="22"/>
      <c r="H59" s="45"/>
      <c r="I59" s="22"/>
      <c r="J59" s="12">
        <v>0</v>
      </c>
      <c r="K59" s="8" t="str">
        <f>IFERROR(VLOOKUP(B59,DATA!$L$2:$P$6,5,0)/E59,"")</f>
        <v/>
      </c>
      <c r="L59" s="108" t="str">
        <f t="shared" si="4"/>
        <v>Không GC được</v>
      </c>
      <c r="M59" s="153" t="str">
        <f t="shared" si="5"/>
        <v/>
      </c>
      <c r="N59" s="11"/>
      <c r="O59" s="113" t="str">
        <f t="shared" si="6"/>
        <v/>
      </c>
      <c r="P59" s="40" t="str">
        <f t="shared" si="7"/>
        <v/>
      </c>
    </row>
    <row r="60" spans="1:16" ht="11.65" customHeight="1" x14ac:dyDescent="0.35">
      <c r="A60" s="9"/>
      <c r="B60" s="111"/>
      <c r="C60" s="45"/>
      <c r="D60" s="103"/>
      <c r="E60" s="28"/>
      <c r="F60" s="28"/>
      <c r="G60" s="22"/>
      <c r="H60" s="45"/>
      <c r="I60" s="22"/>
      <c r="J60" s="12">
        <v>0</v>
      </c>
      <c r="K60" s="8" t="str">
        <f>IFERROR(VLOOKUP(B60,DATA!$L$2:$P$6,5,0)/E60,"")</f>
        <v/>
      </c>
      <c r="L60" s="108" t="str">
        <f t="shared" si="4"/>
        <v>Không GC được</v>
      </c>
      <c r="M60" s="153" t="str">
        <f t="shared" si="5"/>
        <v/>
      </c>
      <c r="N60" s="11"/>
      <c r="O60" s="113" t="str">
        <f t="shared" si="6"/>
        <v/>
      </c>
      <c r="P60" s="40" t="str">
        <f t="shared" si="7"/>
        <v/>
      </c>
    </row>
    <row r="61" spans="1:16" ht="11.65" customHeight="1" x14ac:dyDescent="0.35">
      <c r="A61" s="9"/>
      <c r="B61" s="111"/>
      <c r="C61" s="45"/>
      <c r="D61" s="103"/>
      <c r="E61" s="28"/>
      <c r="F61" s="28"/>
      <c r="G61" s="22"/>
      <c r="H61" s="45"/>
      <c r="I61" s="22"/>
      <c r="J61" s="12">
        <v>0</v>
      </c>
      <c r="K61" s="8" t="str">
        <f>IFERROR(VLOOKUP(B61,DATA!$L$2:$P$6,5,0)/E61,"")</f>
        <v/>
      </c>
      <c r="L61" s="108" t="str">
        <f t="shared" si="4"/>
        <v>Không GC được</v>
      </c>
      <c r="M61" s="153" t="str">
        <f t="shared" si="5"/>
        <v/>
      </c>
      <c r="N61" s="11"/>
      <c r="O61" s="113" t="str">
        <f t="shared" si="6"/>
        <v/>
      </c>
      <c r="P61" s="40" t="str">
        <f t="shared" si="7"/>
        <v/>
      </c>
    </row>
    <row r="62" spans="1:16" ht="11.65" customHeight="1" x14ac:dyDescent="0.35">
      <c r="A62" s="9"/>
      <c r="B62" s="111"/>
      <c r="C62" s="45"/>
      <c r="D62" s="103"/>
      <c r="E62" s="28"/>
      <c r="F62" s="28"/>
      <c r="G62" s="22"/>
      <c r="H62" s="45"/>
      <c r="I62" s="22"/>
      <c r="J62" s="12">
        <v>0</v>
      </c>
      <c r="K62" s="8" t="str">
        <f>IFERROR(VLOOKUP(B62,DATA!$L$2:$P$6,5,0)/E62,"")</f>
        <v/>
      </c>
      <c r="L62" s="108" t="str">
        <f t="shared" si="4"/>
        <v>Không GC được</v>
      </c>
      <c r="M62" s="153" t="str">
        <f t="shared" si="5"/>
        <v/>
      </c>
      <c r="N62" s="11" t="str">
        <f>IFERROR(VLOOKUP(B62,DATA!$L$2:$N$6,2,0),"")</f>
        <v/>
      </c>
      <c r="O62" s="113" t="str">
        <f t="shared" si="6"/>
        <v/>
      </c>
      <c r="P62" s="40" t="str">
        <f t="shared" si="7"/>
        <v/>
      </c>
    </row>
    <row r="63" spans="1:16" ht="11.65" customHeight="1" x14ac:dyDescent="0.35">
      <c r="A63" s="9"/>
      <c r="B63" s="111"/>
      <c r="C63" s="45"/>
      <c r="D63" s="103"/>
      <c r="E63" s="28"/>
      <c r="F63" s="28"/>
      <c r="G63" s="22"/>
      <c r="H63" s="45"/>
      <c r="I63" s="22"/>
      <c r="J63" s="12">
        <v>0</v>
      </c>
      <c r="K63" s="8" t="str">
        <f>IFERROR(VLOOKUP(B63,DATA!$L$2:$P$6,5,0)/E63,"")</f>
        <v/>
      </c>
      <c r="L63" s="108" t="str">
        <f t="shared" si="4"/>
        <v>Không GC được</v>
      </c>
      <c r="M63" s="153" t="str">
        <f t="shared" si="5"/>
        <v/>
      </c>
      <c r="N63" s="11" t="str">
        <f>IFERROR(VLOOKUP(B63,DATA!$L$2:$N$6,2,0),"")</f>
        <v/>
      </c>
      <c r="O63" s="113" t="str">
        <f t="shared" si="6"/>
        <v/>
      </c>
      <c r="P63" s="40" t="str">
        <f t="shared" si="7"/>
        <v/>
      </c>
    </row>
    <row r="64" spans="1:16" ht="11.65" customHeight="1" x14ac:dyDescent="0.35">
      <c r="A64" s="9"/>
      <c r="B64" s="111"/>
      <c r="C64" s="45"/>
      <c r="D64" s="103"/>
      <c r="E64" s="28"/>
      <c r="F64" s="28"/>
      <c r="G64" s="22"/>
      <c r="H64" s="45"/>
      <c r="I64" s="22"/>
      <c r="J64" s="12">
        <v>0</v>
      </c>
      <c r="K64" s="8" t="str">
        <f>IFERROR(VLOOKUP(B64,DATA!$L$2:$P$6,5,0)/E64,"")</f>
        <v/>
      </c>
      <c r="L64" s="108" t="str">
        <f t="shared" si="4"/>
        <v>Không GC được</v>
      </c>
      <c r="M64" s="153" t="str">
        <f t="shared" si="5"/>
        <v/>
      </c>
      <c r="N64" s="11" t="str">
        <f>IFERROR(VLOOKUP(B64,DATA!$L$2:$N$6,2,0),"")</f>
        <v/>
      </c>
      <c r="O64" s="113" t="str">
        <f t="shared" si="6"/>
        <v/>
      </c>
      <c r="P64" s="40" t="str">
        <f t="shared" si="7"/>
        <v/>
      </c>
    </row>
    <row r="65" spans="1:16" ht="11.65" customHeight="1" x14ac:dyDescent="0.35">
      <c r="A65" s="9"/>
      <c r="B65" s="111"/>
      <c r="C65" s="45"/>
      <c r="D65" s="103"/>
      <c r="E65" s="28"/>
      <c r="F65" s="28"/>
      <c r="G65" s="22"/>
      <c r="H65" s="45"/>
      <c r="I65" s="22"/>
      <c r="J65" s="12">
        <v>0</v>
      </c>
      <c r="K65" s="8" t="str">
        <f>IFERROR(VLOOKUP(B65,DATA!$L$2:$P$6,5,0)/E65,"")</f>
        <v/>
      </c>
      <c r="L65" s="108" t="str">
        <f t="shared" si="4"/>
        <v>Không GC được</v>
      </c>
      <c r="M65" s="153" t="str">
        <f t="shared" si="5"/>
        <v/>
      </c>
      <c r="N65" s="11" t="str">
        <f>IFERROR(VLOOKUP(B65,DATA!$L$2:$N$6,2,0),"")</f>
        <v/>
      </c>
      <c r="O65" s="113" t="str">
        <f t="shared" si="6"/>
        <v/>
      </c>
      <c r="P65" s="40" t="str">
        <f t="shared" si="7"/>
        <v/>
      </c>
    </row>
    <row r="66" spans="1:16" ht="11.65" customHeight="1" x14ac:dyDescent="0.35">
      <c r="A66" s="9"/>
      <c r="B66" s="111"/>
      <c r="C66" s="45"/>
      <c r="D66" s="103"/>
      <c r="E66" s="28"/>
      <c r="F66" s="28"/>
      <c r="G66" s="22"/>
      <c r="H66" s="45"/>
      <c r="I66" s="22"/>
      <c r="J66" s="12">
        <v>0</v>
      </c>
      <c r="K66" s="8" t="str">
        <f>IFERROR(VLOOKUP(B66,DATA!$L$2:$P$6,5,0)/E66,"")</f>
        <v/>
      </c>
      <c r="L66" s="108" t="str">
        <f t="shared" si="4"/>
        <v>Không GC được</v>
      </c>
      <c r="M66" s="153" t="str">
        <f t="shared" si="5"/>
        <v/>
      </c>
      <c r="N66" s="11" t="str">
        <f>IFERROR(VLOOKUP(B66,DATA!$L$2:$N$6,2,0),"")</f>
        <v/>
      </c>
      <c r="O66" s="113" t="str">
        <f t="shared" si="6"/>
        <v/>
      </c>
      <c r="P66" s="40" t="str">
        <f t="shared" si="7"/>
        <v/>
      </c>
    </row>
    <row r="67" spans="1:16" ht="11.65" customHeight="1" x14ac:dyDescent="0.35">
      <c r="A67" s="9"/>
      <c r="B67" s="111"/>
      <c r="C67" s="45"/>
      <c r="D67" s="103"/>
      <c r="E67" s="28"/>
      <c r="F67" s="28"/>
      <c r="G67" s="22"/>
      <c r="H67" s="45"/>
      <c r="I67" s="22"/>
      <c r="J67" s="12">
        <v>0</v>
      </c>
      <c r="K67" s="8" t="str">
        <f>IFERROR(VLOOKUP(B67,DATA!$L$2:$P$6,5,0)/E67,"")</f>
        <v/>
      </c>
      <c r="L67" s="108" t="str">
        <f t="shared" si="4"/>
        <v>Không GC được</v>
      </c>
      <c r="M67" s="153" t="str">
        <f t="shared" si="5"/>
        <v/>
      </c>
      <c r="N67" s="11" t="str">
        <f>IFERROR(VLOOKUP(B67,DATA!$L$2:$N$6,2,0),"")</f>
        <v/>
      </c>
      <c r="O67" s="113" t="str">
        <f t="shared" si="6"/>
        <v/>
      </c>
      <c r="P67" s="40" t="str">
        <f t="shared" si="7"/>
        <v/>
      </c>
    </row>
    <row r="68" spans="1:16" ht="11.65" customHeight="1" x14ac:dyDescent="0.35">
      <c r="A68" s="9"/>
      <c r="B68" s="111"/>
      <c r="C68" s="45"/>
      <c r="D68" s="103"/>
      <c r="E68" s="28"/>
      <c r="F68" s="28"/>
      <c r="G68" s="22"/>
      <c r="H68" s="45"/>
      <c r="I68" s="22"/>
      <c r="J68" s="12">
        <v>0</v>
      </c>
      <c r="K68" s="8" t="str">
        <f>IFERROR(VLOOKUP(B68,DATA!$L$2:$P$6,5,0)/E68,"")</f>
        <v/>
      </c>
      <c r="L68" s="108" t="str">
        <f t="shared" si="4"/>
        <v>Không GC được</v>
      </c>
      <c r="M68" s="153" t="str">
        <f t="shared" si="5"/>
        <v/>
      </c>
      <c r="N68" s="11" t="str">
        <f>IFERROR(VLOOKUP(B68,DATA!$L$2:$N$6,2,0),"")</f>
        <v/>
      </c>
      <c r="O68" s="113" t="str">
        <f t="shared" si="6"/>
        <v/>
      </c>
      <c r="P68" s="40" t="str">
        <f t="shared" si="7"/>
        <v/>
      </c>
    </row>
    <row r="69" spans="1:16" ht="11.65" customHeight="1" x14ac:dyDescent="0.35">
      <c r="A69" s="9"/>
      <c r="B69" s="111"/>
      <c r="C69" s="45"/>
      <c r="D69" s="103"/>
      <c r="E69" s="28"/>
      <c r="F69" s="28"/>
      <c r="G69" s="22"/>
      <c r="H69" s="45"/>
      <c r="I69" s="22"/>
      <c r="J69" s="12">
        <v>0</v>
      </c>
      <c r="K69" s="8" t="str">
        <f>IFERROR(VLOOKUP(B69,DATA!$L$2:$P$6,5,0)/E69,"")</f>
        <v/>
      </c>
      <c r="L69" s="108" t="str">
        <f t="shared" si="4"/>
        <v>Không GC được</v>
      </c>
      <c r="M69" s="153" t="str">
        <f t="shared" si="5"/>
        <v/>
      </c>
      <c r="N69" s="11" t="str">
        <f>IFERROR(VLOOKUP(B69,DATA!$L$2:$N$6,2,0),"")</f>
        <v/>
      </c>
      <c r="O69" s="113" t="str">
        <f t="shared" si="6"/>
        <v/>
      </c>
      <c r="P69" s="40" t="str">
        <f t="shared" si="7"/>
        <v/>
      </c>
    </row>
    <row r="70" spans="1:16" ht="11.65" customHeight="1" x14ac:dyDescent="0.35">
      <c r="A70" s="9"/>
      <c r="B70" s="111"/>
      <c r="C70" s="45"/>
      <c r="D70" s="103"/>
      <c r="E70" s="28"/>
      <c r="F70" s="28"/>
      <c r="G70" s="22"/>
      <c r="H70" s="45"/>
      <c r="I70" s="22"/>
      <c r="J70" s="12">
        <v>0</v>
      </c>
      <c r="K70" s="8" t="str">
        <f>IFERROR(VLOOKUP(B70,DATA!$L$2:$P$6,5,0)/E70,"")</f>
        <v/>
      </c>
      <c r="L70" s="108" t="str">
        <f t="shared" si="4"/>
        <v>Không GC được</v>
      </c>
      <c r="M70" s="153" t="str">
        <f t="shared" si="5"/>
        <v/>
      </c>
      <c r="N70" s="11" t="str">
        <f>IFERROR(VLOOKUP(B70,DATA!$L$2:$N$6,2,0),"")</f>
        <v/>
      </c>
      <c r="O70" s="113" t="str">
        <f t="shared" si="6"/>
        <v/>
      </c>
      <c r="P70" s="40" t="str">
        <f t="shared" si="7"/>
        <v/>
      </c>
    </row>
    <row r="71" spans="1:16" ht="11.65" customHeight="1" x14ac:dyDescent="0.35">
      <c r="A71" s="9"/>
      <c r="B71" s="111"/>
      <c r="C71" s="45"/>
      <c r="D71" s="103"/>
      <c r="E71" s="28"/>
      <c r="F71" s="28"/>
      <c r="G71" s="22"/>
      <c r="H71" s="45"/>
      <c r="I71" s="22"/>
      <c r="J71" s="12">
        <v>0</v>
      </c>
      <c r="K71" s="8" t="str">
        <f>IFERROR(VLOOKUP(B71,DATA!$L$2:$P$6,5,0)/E71,"")</f>
        <v/>
      </c>
      <c r="L71" s="108" t="str">
        <f t="shared" si="4"/>
        <v>Không GC được</v>
      </c>
      <c r="M71" s="153" t="str">
        <f t="shared" si="5"/>
        <v/>
      </c>
      <c r="N71" s="11" t="str">
        <f>IFERROR(VLOOKUP(B71,DATA!$L$2:$N$6,2,0),"")</f>
        <v/>
      </c>
      <c r="O71" s="113" t="str">
        <f t="shared" si="6"/>
        <v/>
      </c>
      <c r="P71" s="40" t="str">
        <f t="shared" si="7"/>
        <v/>
      </c>
    </row>
    <row r="72" spans="1:16" ht="11.65" customHeight="1" x14ac:dyDescent="0.35">
      <c r="A72" s="9"/>
      <c r="B72" s="111"/>
      <c r="C72" s="45"/>
      <c r="D72" s="103"/>
      <c r="E72" s="28"/>
      <c r="F72" s="28"/>
      <c r="G72" s="22"/>
      <c r="H72" s="45"/>
      <c r="I72" s="22"/>
      <c r="J72" s="12">
        <v>0</v>
      </c>
      <c r="K72" s="8" t="str">
        <f>IFERROR(VLOOKUP(B72,DATA!$L$2:$P$6,5,0)/E72,"")</f>
        <v/>
      </c>
      <c r="L72" s="108" t="str">
        <f t="shared" si="4"/>
        <v>Không GC được</v>
      </c>
      <c r="M72" s="153" t="str">
        <f t="shared" si="5"/>
        <v/>
      </c>
      <c r="N72" s="11" t="str">
        <f>IFERROR(VLOOKUP(B72,DATA!$L$2:$N$6,2,0),"")</f>
        <v/>
      </c>
      <c r="O72" s="113" t="str">
        <f t="shared" si="6"/>
        <v/>
      </c>
      <c r="P72" s="40" t="str">
        <f t="shared" si="7"/>
        <v/>
      </c>
    </row>
    <row r="73" spans="1:16" ht="11.65" customHeight="1" x14ac:dyDescent="0.35">
      <c r="A73" s="9"/>
      <c r="B73" s="111"/>
      <c r="C73" s="45"/>
      <c r="D73" s="103"/>
      <c r="E73" s="28"/>
      <c r="F73" s="28"/>
      <c r="G73" s="22"/>
      <c r="H73" s="45"/>
      <c r="I73" s="22"/>
      <c r="J73" s="12">
        <v>0</v>
      </c>
      <c r="K73" s="8" t="str">
        <f>IFERROR(VLOOKUP(B73,DATA!$L$2:$P$6,5,0)/E73,"")</f>
        <v/>
      </c>
      <c r="L73" s="108" t="str">
        <f t="shared" si="4"/>
        <v>Không GC được</v>
      </c>
      <c r="M73" s="153" t="str">
        <f t="shared" si="5"/>
        <v/>
      </c>
      <c r="N73" s="11" t="str">
        <f>IFERROR(VLOOKUP(B73,DATA!$L$2:$N$6,2,0),"")</f>
        <v/>
      </c>
      <c r="O73" s="113" t="str">
        <f t="shared" si="6"/>
        <v/>
      </c>
      <c r="P73" s="40" t="str">
        <f t="shared" si="7"/>
        <v/>
      </c>
    </row>
    <row r="74" spans="1:16" ht="11.65" customHeight="1" x14ac:dyDescent="0.35">
      <c r="A74" s="9"/>
      <c r="B74" s="111"/>
      <c r="C74" s="45"/>
      <c r="D74" s="103"/>
      <c r="E74" s="28"/>
      <c r="F74" s="28"/>
      <c r="G74" s="22"/>
      <c r="H74" s="45"/>
      <c r="I74" s="22"/>
      <c r="J74" s="12">
        <v>0</v>
      </c>
      <c r="K74" s="8" t="str">
        <f>IFERROR(VLOOKUP(B74,DATA!$L$2:$P$6,5,0)/E74,"")</f>
        <v/>
      </c>
      <c r="L74" s="108" t="str">
        <f t="shared" si="4"/>
        <v>Không GC được</v>
      </c>
      <c r="M74" s="153" t="str">
        <f t="shared" si="5"/>
        <v/>
      </c>
      <c r="N74" s="11" t="str">
        <f>IFERROR(VLOOKUP(B74,DATA!$L$2:$N$6,2,0),"")</f>
        <v/>
      </c>
      <c r="O74" s="113" t="str">
        <f t="shared" si="6"/>
        <v/>
      </c>
      <c r="P74" s="40" t="str">
        <f t="shared" si="7"/>
        <v/>
      </c>
    </row>
    <row r="75" spans="1:16" ht="11.65" customHeight="1" x14ac:dyDescent="0.35">
      <c r="A75" s="9"/>
      <c r="B75" s="111"/>
      <c r="C75" s="45"/>
      <c r="D75" s="103"/>
      <c r="E75" s="28"/>
      <c r="F75" s="28"/>
      <c r="G75" s="22"/>
      <c r="H75" s="45"/>
      <c r="I75" s="22"/>
      <c r="J75" s="12">
        <v>0</v>
      </c>
      <c r="K75" s="8" t="str">
        <f>IFERROR(VLOOKUP(B75,DATA!$L$2:$P$6,5,0)/E75,"")</f>
        <v/>
      </c>
      <c r="L75" s="108" t="str">
        <f t="shared" si="4"/>
        <v>Không GC được</v>
      </c>
      <c r="M75" s="153" t="str">
        <f t="shared" si="5"/>
        <v/>
      </c>
      <c r="N75" s="11" t="str">
        <f>IFERROR(VLOOKUP(B75,DATA!$L$2:$N$6,2,0),"")</f>
        <v/>
      </c>
      <c r="O75" s="113" t="str">
        <f t="shared" si="6"/>
        <v/>
      </c>
      <c r="P75" s="40" t="str">
        <f t="shared" si="7"/>
        <v/>
      </c>
    </row>
    <row r="76" spans="1:16" ht="11.65" customHeight="1" x14ac:dyDescent="0.35">
      <c r="A76" s="9"/>
      <c r="B76" s="111"/>
      <c r="C76" s="45"/>
      <c r="D76" s="103"/>
      <c r="E76" s="28"/>
      <c r="F76" s="28"/>
      <c r="G76" s="22"/>
      <c r="H76" s="45"/>
      <c r="I76" s="22"/>
      <c r="J76" s="12">
        <v>0</v>
      </c>
      <c r="K76" s="8" t="str">
        <f>IFERROR(VLOOKUP(B76,DATA!$L$2:$P$6,5,0)/E76,"")</f>
        <v/>
      </c>
      <c r="L76" s="108" t="str">
        <f t="shared" ref="L76:L81" si="8">IFERROR(IF(D76&lt;0.15,"Không GC được",IF(E76&lt;6,"Không GC được",IF(E76&lt;20,3200,IF(E76&lt;50,2150,IF(E76&lt;80,1950,1600))))*(1+IF(F76&lt;500,0.5,IF(F76&gt;10000,-0.2,IF(F76&gt;5000,-0.1,IF(F76&gt;1000,0,0.3))))+IF(D76&lt;0.3,20%,IF(D76&lt;0.5,15%,0)))),"Không GC được")</f>
        <v>Không GC được</v>
      </c>
      <c r="M76" s="153" t="str">
        <f t="shared" ref="M76:M81" si="9">IFERROR((C76*(1+K76)+L76)/(1-G76*0.007/30),"")</f>
        <v/>
      </c>
      <c r="N76" s="11" t="str">
        <f>IFERROR(VLOOKUP(B76,DATA!$L$2:$N$6,2,0),"")</f>
        <v/>
      </c>
      <c r="O76" s="113" t="str">
        <f t="shared" ref="O76:O81" si="10">IFERROR(ROUND((M76/(1-N76)+($H$12+$I$12)/$F$82)/(1-J76),-2),"")</f>
        <v/>
      </c>
      <c r="P76" s="40" t="str">
        <f t="shared" ref="P76:P81" si="11">IFERROR(O76*F76,"")</f>
        <v/>
      </c>
    </row>
    <row r="77" spans="1:16" ht="11.65" customHeight="1" x14ac:dyDescent="0.35">
      <c r="A77" s="9"/>
      <c r="B77" s="111"/>
      <c r="C77" s="45"/>
      <c r="D77" s="103"/>
      <c r="E77" s="28"/>
      <c r="F77" s="28"/>
      <c r="G77" s="22"/>
      <c r="H77" s="45"/>
      <c r="I77" s="22"/>
      <c r="J77" s="12">
        <v>0</v>
      </c>
      <c r="K77" s="8" t="str">
        <f>IFERROR(VLOOKUP(B77,DATA!$L$2:$P$6,5,0)/E77,"")</f>
        <v/>
      </c>
      <c r="L77" s="108" t="str">
        <f t="shared" si="8"/>
        <v>Không GC được</v>
      </c>
      <c r="M77" s="153" t="str">
        <f t="shared" si="9"/>
        <v/>
      </c>
      <c r="N77" s="11" t="str">
        <f>IFERROR(VLOOKUP(B77,DATA!$L$2:$N$6,2,0),"")</f>
        <v/>
      </c>
      <c r="O77" s="113" t="str">
        <f t="shared" si="10"/>
        <v/>
      </c>
      <c r="P77" s="40" t="str">
        <f t="shared" si="11"/>
        <v/>
      </c>
    </row>
    <row r="78" spans="1:16" ht="11.65" customHeight="1" x14ac:dyDescent="0.35">
      <c r="A78" s="9"/>
      <c r="B78" s="111"/>
      <c r="C78" s="45"/>
      <c r="D78" s="103"/>
      <c r="E78" s="28"/>
      <c r="F78" s="28"/>
      <c r="G78" s="22"/>
      <c r="H78" s="45"/>
      <c r="I78" s="22"/>
      <c r="J78" s="12">
        <v>0</v>
      </c>
      <c r="K78" s="8" t="str">
        <f>IFERROR(VLOOKUP(B78,DATA!$L$2:$P$6,5,0)/E78,"")</f>
        <v/>
      </c>
      <c r="L78" s="108" t="str">
        <f t="shared" si="8"/>
        <v>Không GC được</v>
      </c>
      <c r="M78" s="153" t="str">
        <f t="shared" si="9"/>
        <v/>
      </c>
      <c r="N78" s="11" t="str">
        <f>IFERROR(VLOOKUP(B78,DATA!$L$2:$N$6,2,0),"")</f>
        <v/>
      </c>
      <c r="O78" s="113" t="str">
        <f t="shared" si="10"/>
        <v/>
      </c>
      <c r="P78" s="40" t="str">
        <f t="shared" si="11"/>
        <v/>
      </c>
    </row>
    <row r="79" spans="1:16" ht="11.65" customHeight="1" x14ac:dyDescent="0.35">
      <c r="A79" s="9"/>
      <c r="B79" s="111"/>
      <c r="C79" s="45"/>
      <c r="D79" s="103"/>
      <c r="E79" s="28"/>
      <c r="F79" s="28"/>
      <c r="G79" s="22"/>
      <c r="H79" s="45"/>
      <c r="I79" s="22"/>
      <c r="J79" s="12">
        <v>0</v>
      </c>
      <c r="K79" s="8" t="str">
        <f>IFERROR(VLOOKUP(B79,DATA!$L$2:$P$6,5,0)/E79,"")</f>
        <v/>
      </c>
      <c r="L79" s="108" t="str">
        <f t="shared" si="8"/>
        <v>Không GC được</v>
      </c>
      <c r="M79" s="153" t="str">
        <f t="shared" si="9"/>
        <v/>
      </c>
      <c r="N79" s="11" t="str">
        <f>IFERROR(VLOOKUP(B79,DATA!$L$2:$N$6,2,0),"")</f>
        <v/>
      </c>
      <c r="O79" s="113" t="str">
        <f t="shared" si="10"/>
        <v/>
      </c>
      <c r="P79" s="40" t="str">
        <f t="shared" si="11"/>
        <v/>
      </c>
    </row>
    <row r="80" spans="1:16" ht="11.65" customHeight="1" x14ac:dyDescent="0.35">
      <c r="A80" s="9"/>
      <c r="B80" s="111"/>
      <c r="C80" s="45"/>
      <c r="D80" s="103"/>
      <c r="E80" s="28"/>
      <c r="F80" s="28"/>
      <c r="G80" s="22"/>
      <c r="H80" s="45"/>
      <c r="I80" s="22"/>
      <c r="J80" s="12">
        <v>0</v>
      </c>
      <c r="K80" s="8" t="str">
        <f>IFERROR(VLOOKUP(B80,DATA!$L$2:$P$6,5,0)/E80,"")</f>
        <v/>
      </c>
      <c r="L80" s="108" t="str">
        <f t="shared" si="8"/>
        <v>Không GC được</v>
      </c>
      <c r="M80" s="153" t="str">
        <f t="shared" si="9"/>
        <v/>
      </c>
      <c r="N80" s="11" t="str">
        <f>IFERROR(VLOOKUP(B80,DATA!$L$2:$N$6,2,0),"")</f>
        <v/>
      </c>
      <c r="O80" s="113" t="str">
        <f t="shared" si="10"/>
        <v/>
      </c>
      <c r="P80" s="40" t="str">
        <f t="shared" si="11"/>
        <v/>
      </c>
    </row>
    <row r="81" spans="1:17" ht="11.65" customHeight="1" x14ac:dyDescent="0.35">
      <c r="A81" s="14"/>
      <c r="B81" s="112"/>
      <c r="C81" s="46"/>
      <c r="D81" s="104"/>
      <c r="E81" s="29"/>
      <c r="F81" s="29"/>
      <c r="G81" s="23"/>
      <c r="H81" s="46"/>
      <c r="I81" s="23"/>
      <c r="J81" s="16">
        <v>0</v>
      </c>
      <c r="K81" s="8" t="str">
        <f>IFERROR(VLOOKUP(B81,DATA!$L$2:$P$6,5,0)/E81,"")</f>
        <v/>
      </c>
      <c r="L81" s="108" t="str">
        <f t="shared" si="8"/>
        <v>Không GC được</v>
      </c>
      <c r="M81" s="153" t="str">
        <f t="shared" si="9"/>
        <v/>
      </c>
      <c r="N81" s="15" t="str">
        <f>IFERROR(VLOOKUP(B81,DATA!$L$2:$N$6,2,0),"")</f>
        <v/>
      </c>
      <c r="O81" s="113" t="str">
        <f t="shared" si="10"/>
        <v/>
      </c>
      <c r="P81" s="40" t="str">
        <f t="shared" si="11"/>
        <v/>
      </c>
    </row>
    <row r="82" spans="1:17" ht="11.65" customHeight="1" x14ac:dyDescent="0.35">
      <c r="A82" s="17" t="s">
        <v>85</v>
      </c>
      <c r="B82" s="18"/>
      <c r="C82" s="47"/>
      <c r="D82" s="105"/>
      <c r="E82" s="30"/>
      <c r="F82" s="109">
        <f>SUM(F12:F81)</f>
        <v>800</v>
      </c>
      <c r="G82" s="34"/>
      <c r="H82" s="43"/>
      <c r="I82" s="34"/>
      <c r="J82" s="37"/>
      <c r="K82" s="50"/>
      <c r="L82" s="53"/>
      <c r="M82" s="53"/>
      <c r="N82" s="50"/>
      <c r="O82" s="43"/>
      <c r="P82" s="43"/>
    </row>
    <row r="83" spans="1:17" ht="11.65" customHeight="1" x14ac:dyDescent="0.35">
      <c r="M83" s="54"/>
      <c r="N83" s="55"/>
    </row>
    <row r="84" spans="1:17" ht="11.65" customHeight="1" x14ac:dyDescent="0.35">
      <c r="M84" s="54"/>
      <c r="N84" s="55"/>
    </row>
    <row r="85" spans="1:17" s="39" customFormat="1" ht="11.65" customHeight="1" x14ac:dyDescent="0.35">
      <c r="A85" s="2"/>
      <c r="B85" s="2"/>
      <c r="D85" s="57"/>
      <c r="E85" s="26"/>
      <c r="F85" s="26"/>
      <c r="G85" s="19"/>
      <c r="I85" s="19"/>
      <c r="J85" s="35"/>
      <c r="K85" s="35"/>
      <c r="M85" s="54"/>
      <c r="N85" s="55"/>
      <c r="Q85" s="2"/>
    </row>
    <row r="86" spans="1:17" s="39" customFormat="1" ht="11.65" customHeight="1" x14ac:dyDescent="0.35">
      <c r="A86" s="2"/>
      <c r="B86" s="2"/>
      <c r="D86" s="57"/>
      <c r="E86" s="26"/>
      <c r="F86" s="26"/>
      <c r="G86" s="19"/>
      <c r="I86" s="19"/>
      <c r="J86" s="35"/>
      <c r="K86" s="35"/>
      <c r="M86" s="54"/>
      <c r="N86" s="55"/>
      <c r="Q86" s="2"/>
    </row>
    <row r="87" spans="1:17" s="39" customFormat="1" ht="11.65" customHeight="1" x14ac:dyDescent="0.35">
      <c r="A87" s="2"/>
      <c r="B87" s="2"/>
      <c r="D87" s="57"/>
      <c r="E87" s="26"/>
      <c r="F87" s="26"/>
      <c r="G87" s="19"/>
      <c r="I87" s="19"/>
      <c r="J87" s="35"/>
      <c r="K87" s="35"/>
      <c r="M87" s="54"/>
      <c r="N87" s="55"/>
      <c r="Q87" s="2"/>
    </row>
    <row r="88" spans="1:17" s="39" customFormat="1" ht="11.65" customHeight="1" x14ac:dyDescent="0.35">
      <c r="A88" s="2"/>
      <c r="B88" s="2"/>
      <c r="D88" s="57"/>
      <c r="E88" s="26"/>
      <c r="F88" s="26"/>
      <c r="G88" s="19"/>
      <c r="I88" s="19"/>
      <c r="J88" s="35"/>
      <c r="K88" s="35"/>
      <c r="M88" s="54"/>
      <c r="N88" s="55"/>
      <c r="Q88" s="2"/>
    </row>
  </sheetData>
  <mergeCells count="2">
    <mergeCell ref="A10:M10"/>
    <mergeCell ref="N10:P10"/>
  </mergeCells>
  <dataValidations count="1">
    <dataValidation allowBlank="1" showInputMessage="1" showErrorMessage="1" prompt="Lựa chọn nguyên liệu" sqref="A12:A81" xr:uid="{00000000-0002-0000-0600-000000000000}"/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E16" sqref="E16"/>
    </sheetView>
  </sheetViews>
  <sheetFormatPr defaultColWidth="9.1328125" defaultRowHeight="11.65" customHeight="1" x14ac:dyDescent="0.35"/>
  <cols>
    <col min="1" max="1" width="16" style="117" customWidth="1"/>
    <col min="2" max="2" width="11" style="117" customWidth="1"/>
    <col min="3" max="3" width="9" style="117" customWidth="1"/>
    <col min="4" max="4" width="20" style="117" customWidth="1"/>
    <col min="5" max="5" width="12" style="117" customWidth="1"/>
    <col min="6" max="6" width="10" style="117" customWidth="1"/>
    <col min="7" max="11" width="9" style="117" customWidth="1"/>
    <col min="12" max="12" width="9.1328125" style="117" customWidth="1"/>
    <col min="13" max="16384" width="9.1328125" style="117"/>
  </cols>
  <sheetData>
    <row r="1" spans="1:11" ht="11.65" customHeight="1" x14ac:dyDescent="0.45">
      <c r="A1" s="125" t="s">
        <v>28</v>
      </c>
      <c r="B1" s="126">
        <v>600</v>
      </c>
      <c r="C1" s="126"/>
      <c r="D1" s="127" t="s">
        <v>96</v>
      </c>
      <c r="E1" s="128">
        <f>B2/B1</f>
        <v>0.83333333333333337</v>
      </c>
      <c r="F1" s="129" t="s">
        <v>36</v>
      </c>
      <c r="G1" s="130">
        <v>20</v>
      </c>
      <c r="H1" s="131"/>
      <c r="I1" s="131"/>
      <c r="J1" s="167" t="s">
        <v>91</v>
      </c>
      <c r="K1" s="167"/>
    </row>
    <row r="2" spans="1:11" ht="11.65" customHeight="1" x14ac:dyDescent="0.45">
      <c r="A2" s="125" t="s">
        <v>55</v>
      </c>
      <c r="B2" s="126">
        <v>500</v>
      </c>
      <c r="C2" s="126"/>
      <c r="D2" s="129" t="s">
        <v>19</v>
      </c>
      <c r="E2" s="126" t="s">
        <v>103</v>
      </c>
      <c r="F2" s="129" t="s">
        <v>57</v>
      </c>
      <c r="G2" s="132">
        <f>IFERROR(VLOOKUP(E2,$J$2:$K$4,2,0),"")</f>
        <v>6</v>
      </c>
      <c r="H2" s="131"/>
      <c r="I2" s="131"/>
      <c r="J2" s="133" t="s">
        <v>103</v>
      </c>
      <c r="K2" s="133">
        <v>6</v>
      </c>
    </row>
    <row r="3" spans="1:11" ht="11.65" customHeight="1" x14ac:dyDescent="0.45">
      <c r="A3" s="134"/>
      <c r="B3" s="135" t="s">
        <v>76</v>
      </c>
      <c r="C3" s="135" t="s">
        <v>27</v>
      </c>
      <c r="D3" s="136" t="s">
        <v>25</v>
      </c>
      <c r="E3" s="137" t="s">
        <v>79</v>
      </c>
      <c r="F3" s="138"/>
      <c r="G3" s="130"/>
      <c r="H3" s="131"/>
      <c r="I3" s="131"/>
      <c r="J3" s="133" t="s">
        <v>15</v>
      </c>
      <c r="K3" s="133">
        <v>6</v>
      </c>
    </row>
    <row r="4" spans="1:11" ht="11.65" customHeight="1" x14ac:dyDescent="0.45">
      <c r="A4" s="139" t="s">
        <v>72</v>
      </c>
      <c r="B4" s="140">
        <v>200</v>
      </c>
      <c r="C4" s="141">
        <v>2</v>
      </c>
      <c r="D4" s="142">
        <f t="shared" ref="D4:D11" si="0">C4*B4</f>
        <v>400</v>
      </c>
      <c r="E4" s="143">
        <f t="shared" ref="E4:E11" si="1">D4*$E$1</f>
        <v>333.33333333333337</v>
      </c>
      <c r="F4" s="138"/>
      <c r="G4" s="130"/>
      <c r="H4" s="131"/>
      <c r="I4" s="131"/>
      <c r="J4" s="133" t="s">
        <v>66</v>
      </c>
      <c r="K4" s="133">
        <v>4</v>
      </c>
    </row>
    <row r="5" spans="1:11" ht="11.65" customHeight="1" x14ac:dyDescent="0.35">
      <c r="A5" s="139" t="s">
        <v>80</v>
      </c>
      <c r="B5" s="140">
        <v>90</v>
      </c>
      <c r="C5" s="141">
        <v>2</v>
      </c>
      <c r="D5" s="142">
        <f t="shared" si="0"/>
        <v>180</v>
      </c>
      <c r="E5" s="143">
        <f t="shared" si="1"/>
        <v>150</v>
      </c>
      <c r="F5" s="138"/>
      <c r="G5" s="130"/>
      <c r="H5" s="131"/>
      <c r="I5" s="131"/>
      <c r="J5" s="131"/>
      <c r="K5" s="131"/>
    </row>
    <row r="6" spans="1:11" ht="11.65" customHeight="1" x14ac:dyDescent="0.35">
      <c r="A6" s="139" t="s">
        <v>116</v>
      </c>
      <c r="B6" s="140"/>
      <c r="C6" s="141"/>
      <c r="D6" s="142">
        <f t="shared" si="0"/>
        <v>0</v>
      </c>
      <c r="E6" s="143">
        <f t="shared" si="1"/>
        <v>0</v>
      </c>
      <c r="F6" s="138"/>
      <c r="G6" s="130"/>
      <c r="H6" s="131"/>
      <c r="I6" s="131"/>
      <c r="J6" s="131"/>
      <c r="K6" s="131"/>
    </row>
    <row r="7" spans="1:11" ht="11.65" customHeight="1" x14ac:dyDescent="0.35">
      <c r="A7" s="139" t="s">
        <v>94</v>
      </c>
      <c r="B7" s="140"/>
      <c r="C7" s="141"/>
      <c r="D7" s="142">
        <f t="shared" si="0"/>
        <v>0</v>
      </c>
      <c r="E7" s="143">
        <f t="shared" si="1"/>
        <v>0</v>
      </c>
      <c r="F7" s="138"/>
      <c r="G7" s="130"/>
      <c r="H7" s="131"/>
      <c r="I7" s="131"/>
      <c r="J7" s="131"/>
      <c r="K7" s="131"/>
    </row>
    <row r="8" spans="1:11" ht="11.65" customHeight="1" x14ac:dyDescent="0.35">
      <c r="A8" s="139" t="s">
        <v>49</v>
      </c>
      <c r="B8" s="140"/>
      <c r="C8" s="141"/>
      <c r="D8" s="142">
        <f t="shared" si="0"/>
        <v>0</v>
      </c>
      <c r="E8" s="143">
        <f t="shared" si="1"/>
        <v>0</v>
      </c>
      <c r="F8" s="138"/>
      <c r="G8" s="130"/>
      <c r="H8" s="131"/>
      <c r="I8" s="131"/>
      <c r="J8" s="131"/>
      <c r="K8" s="131"/>
    </row>
    <row r="9" spans="1:11" ht="11.65" customHeight="1" x14ac:dyDescent="0.35">
      <c r="A9" s="139" t="s">
        <v>42</v>
      </c>
      <c r="B9" s="140"/>
      <c r="C9" s="141"/>
      <c r="D9" s="142">
        <f t="shared" si="0"/>
        <v>0</v>
      </c>
      <c r="E9" s="143">
        <f t="shared" si="1"/>
        <v>0</v>
      </c>
      <c r="F9" s="138"/>
      <c r="G9" s="130"/>
      <c r="H9" s="131"/>
      <c r="I9" s="131"/>
      <c r="J9" s="131"/>
      <c r="K9" s="131"/>
    </row>
    <row r="10" spans="1:11" ht="11.65" customHeight="1" x14ac:dyDescent="0.35">
      <c r="A10" s="139" t="s">
        <v>70</v>
      </c>
      <c r="B10" s="144">
        <f>IF(F10&lt;$G$1,0,F10-$G$2)</f>
        <v>0</v>
      </c>
      <c r="C10" s="141">
        <v>1</v>
      </c>
      <c r="D10" s="142">
        <f t="shared" si="0"/>
        <v>0</v>
      </c>
      <c r="E10" s="143">
        <f t="shared" si="1"/>
        <v>0</v>
      </c>
      <c r="F10" s="142">
        <f>B1-SUM(D4:D9)-$G$2</f>
        <v>14</v>
      </c>
      <c r="G10" s="130"/>
      <c r="H10" s="131"/>
      <c r="I10" s="131"/>
      <c r="J10" s="131"/>
      <c r="K10" s="131"/>
    </row>
    <row r="11" spans="1:11" ht="11.65" customHeight="1" x14ac:dyDescent="0.35">
      <c r="A11" s="139" t="s">
        <v>88</v>
      </c>
      <c r="B11" s="144">
        <f>IF(F10&lt;$G$1,(F10+$G$2)/2,$G$2)</f>
        <v>10</v>
      </c>
      <c r="C11" s="145">
        <f>IF(F10&lt;$G$1,2,1)</f>
        <v>2</v>
      </c>
      <c r="D11" s="142">
        <f t="shared" si="0"/>
        <v>20</v>
      </c>
      <c r="E11" s="143">
        <f t="shared" si="1"/>
        <v>16.666666666666668</v>
      </c>
      <c r="F11" s="138"/>
      <c r="G11" s="130"/>
      <c r="H11" s="131"/>
      <c r="I11" s="131"/>
      <c r="J11" s="131"/>
      <c r="K11" s="131"/>
    </row>
    <row r="12" spans="1:11" ht="11.65" customHeight="1" x14ac:dyDescent="0.35">
      <c r="A12" s="146" t="s">
        <v>107</v>
      </c>
      <c r="B12" s="146"/>
      <c r="C12" s="147"/>
      <c r="D12" s="165">
        <f>D11/(SUM(D4:D9))</f>
        <v>3.4482758620689655E-2</v>
      </c>
      <c r="E12" s="166"/>
      <c r="F12" s="138"/>
      <c r="G12" s="130"/>
      <c r="H12" s="131"/>
      <c r="I12" s="131"/>
      <c r="J12" s="131"/>
      <c r="K12" s="131"/>
    </row>
  </sheetData>
  <mergeCells count="2">
    <mergeCell ref="D12:E12"/>
    <mergeCell ref="J1:K1"/>
  </mergeCells>
  <dataValidations count="1">
    <dataValidation type="list" allowBlank="1" showInputMessage="1" showErrorMessage="1" sqref="E2" xr:uid="{00000000-0002-0000-0700-000000000000}">
      <formula1>$J$2:$J$4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51"/>
  <sheetViews>
    <sheetView workbookViewId="0">
      <selection activeCell="O20" sqref="O20"/>
    </sheetView>
  </sheetViews>
  <sheetFormatPr defaultColWidth="8.86328125" defaultRowHeight="14.25" customHeight="1" x14ac:dyDescent="0.45"/>
  <cols>
    <col min="2" max="2" width="20" customWidth="1"/>
    <col min="4" max="4" width="17" customWidth="1"/>
    <col min="7" max="7" width="19" customWidth="1"/>
    <col min="12" max="12" width="19" customWidth="1"/>
  </cols>
  <sheetData>
    <row r="1" spans="2:16" ht="14.25" customHeight="1" x14ac:dyDescent="0.45">
      <c r="B1" s="148" t="s">
        <v>74</v>
      </c>
      <c r="C1" s="148" t="s">
        <v>32</v>
      </c>
      <c r="D1" s="148" t="s">
        <v>53</v>
      </c>
      <c r="G1" s="148" t="s">
        <v>74</v>
      </c>
      <c r="H1" s="148" t="s">
        <v>32</v>
      </c>
      <c r="I1" s="148" t="s">
        <v>53</v>
      </c>
      <c r="L1" s="148" t="s">
        <v>74</v>
      </c>
      <c r="M1" s="148" t="s">
        <v>32</v>
      </c>
      <c r="N1" s="148" t="s">
        <v>53</v>
      </c>
      <c r="O1" s="148" t="s">
        <v>82</v>
      </c>
    </row>
    <row r="2" spans="2:16" ht="14.25" customHeight="1" x14ac:dyDescent="0.45">
      <c r="B2" s="148" t="s">
        <v>30</v>
      </c>
      <c r="C2" s="148">
        <f>ROUND(VLOOKUP(B2,$G$33:$J$50,4,0),2)</f>
        <v>0.11</v>
      </c>
      <c r="D2" s="148">
        <v>8.9</v>
      </c>
      <c r="G2" s="148" t="s">
        <v>102</v>
      </c>
      <c r="H2" s="148">
        <f>ROUND(VLOOKUP(G2,$G$33:$J$50,4,0),2)</f>
        <v>0.08</v>
      </c>
      <c r="I2" s="148">
        <v>8.9</v>
      </c>
      <c r="L2" s="148" t="s">
        <v>33</v>
      </c>
      <c r="M2" s="148">
        <v>0.13</v>
      </c>
      <c r="N2" s="148">
        <v>2.75</v>
      </c>
      <c r="O2" s="148">
        <v>28182</v>
      </c>
      <c r="P2" s="156">
        <v>2</v>
      </c>
    </row>
    <row r="3" spans="2:16" ht="14.25" customHeight="1" x14ac:dyDescent="0.45">
      <c r="B3" s="148" t="s">
        <v>95</v>
      </c>
      <c r="C3" s="148">
        <f>ROUND(VLOOKUP(B3,$G$33:$J$50,4,0),2)</f>
        <v>0.15</v>
      </c>
      <c r="D3" s="148">
        <v>8.9</v>
      </c>
      <c r="G3" s="148" t="s">
        <v>93</v>
      </c>
      <c r="H3" s="148">
        <f>ROUND(VLOOKUP(G3,$G$33:$J$50,4,0),2)</f>
        <v>0.14000000000000001</v>
      </c>
      <c r="I3" s="148">
        <v>8.9</v>
      </c>
      <c r="L3" s="148" t="s">
        <v>83</v>
      </c>
      <c r="M3" s="148">
        <v>0.17</v>
      </c>
      <c r="N3" s="148">
        <v>2.75</v>
      </c>
      <c r="O3" s="148">
        <v>28182</v>
      </c>
      <c r="P3" s="156">
        <v>2</v>
      </c>
    </row>
    <row r="4" spans="2:16" ht="14.25" customHeight="1" x14ac:dyDescent="0.45">
      <c r="B4" s="148" t="s">
        <v>75</v>
      </c>
      <c r="C4" s="148">
        <f>ROUND(VLOOKUP(B4,$G$33:$J$50,4,0),2)</f>
        <v>0.2</v>
      </c>
      <c r="D4" s="148">
        <v>8.9</v>
      </c>
      <c r="G4" s="148" t="s">
        <v>11</v>
      </c>
      <c r="H4" s="148">
        <f>ROUND(VLOOKUP(G4,$G$33:$J$50,4,0),2)</f>
        <v>0.15</v>
      </c>
      <c r="I4" s="148">
        <v>2.75</v>
      </c>
      <c r="L4" s="148" t="s">
        <v>16</v>
      </c>
      <c r="M4" s="148">
        <v>0.11</v>
      </c>
      <c r="N4" s="148">
        <v>8.9</v>
      </c>
      <c r="O4" s="148">
        <v>115445</v>
      </c>
      <c r="P4" s="156">
        <v>3</v>
      </c>
    </row>
    <row r="5" spans="2:16" ht="14.25" customHeight="1" x14ac:dyDescent="0.45">
      <c r="B5" s="148" t="s">
        <v>115</v>
      </c>
      <c r="C5" s="148">
        <f>ROUND(VLOOKUP(B5,$G$33:$J$50,4,0),2)</f>
        <v>0.17</v>
      </c>
      <c r="D5" s="148">
        <v>2.75</v>
      </c>
      <c r="G5" s="148" t="s">
        <v>46</v>
      </c>
      <c r="H5" s="148">
        <v>0.25</v>
      </c>
      <c r="I5" s="148">
        <v>7.9</v>
      </c>
      <c r="L5" s="148" t="s">
        <v>92</v>
      </c>
      <c r="M5" s="148">
        <v>0.11</v>
      </c>
      <c r="N5" s="148">
        <v>8.9</v>
      </c>
      <c r="O5" s="148">
        <v>90000</v>
      </c>
      <c r="P5" s="156">
        <v>3</v>
      </c>
    </row>
    <row r="6" spans="2:16" ht="14.25" customHeight="1" x14ac:dyDescent="0.45">
      <c r="B6" s="148" t="s">
        <v>45</v>
      </c>
      <c r="C6" s="148">
        <f>ROUND(VLOOKUP(B6,$G$33:$J$50,4,0),2)</f>
        <v>0.17</v>
      </c>
      <c r="D6" s="148">
        <v>2.75</v>
      </c>
      <c r="G6" s="149" t="s">
        <v>40</v>
      </c>
      <c r="H6" s="148">
        <v>0.18</v>
      </c>
      <c r="I6" s="149">
        <v>8.9</v>
      </c>
      <c r="L6" s="148" t="s">
        <v>18</v>
      </c>
      <c r="M6" s="148">
        <v>0.12</v>
      </c>
      <c r="N6" s="148">
        <v>7.9</v>
      </c>
      <c r="O6" s="148">
        <v>17272</v>
      </c>
      <c r="P6" s="156">
        <v>3</v>
      </c>
    </row>
    <row r="7" spans="2:16" ht="14.25" customHeight="1" x14ac:dyDescent="0.45">
      <c r="G7" s="1"/>
      <c r="H7" s="1"/>
      <c r="I7" s="1"/>
    </row>
    <row r="8" spans="2:16" ht="14.25" customHeight="1" x14ac:dyDescent="0.45">
      <c r="G8" s="148" t="s">
        <v>37</v>
      </c>
      <c r="H8" s="1"/>
      <c r="I8" s="1"/>
    </row>
    <row r="9" spans="2:16" ht="14.25" customHeight="1" x14ac:dyDescent="0.45">
      <c r="G9" s="148" t="s">
        <v>41</v>
      </c>
    </row>
    <row r="12" spans="2:16" ht="14.25" customHeight="1" x14ac:dyDescent="0.45">
      <c r="B12" s="148" t="s">
        <v>24</v>
      </c>
      <c r="C12" s="148">
        <v>0.1</v>
      </c>
      <c r="D12" s="148">
        <v>7.95</v>
      </c>
      <c r="G12" t="s">
        <v>103</v>
      </c>
      <c r="H12">
        <v>6</v>
      </c>
    </row>
    <row r="13" spans="2:16" ht="14.25" customHeight="1" x14ac:dyDescent="0.45">
      <c r="B13" s="148" t="s">
        <v>9</v>
      </c>
      <c r="C13" s="148">
        <v>0.18</v>
      </c>
      <c r="D13" s="148">
        <v>8.9</v>
      </c>
      <c r="G13" t="s">
        <v>15</v>
      </c>
      <c r="H13">
        <v>6</v>
      </c>
    </row>
    <row r="14" spans="2:16" ht="14.25" customHeight="1" x14ac:dyDescent="0.45">
      <c r="G14" t="s">
        <v>66</v>
      </c>
      <c r="H14">
        <v>4</v>
      </c>
    </row>
    <row r="16" spans="2:16" ht="14.25" customHeight="1" x14ac:dyDescent="0.45">
      <c r="G16" s="100"/>
      <c r="H16" s="100"/>
    </row>
    <row r="17" spans="2:10" ht="14.25" customHeight="1" x14ac:dyDescent="0.45">
      <c r="B17" s="148" t="s">
        <v>54</v>
      </c>
      <c r="C17" s="148">
        <v>0.25</v>
      </c>
      <c r="D17" s="148">
        <v>7.95</v>
      </c>
      <c r="G17" s="100"/>
      <c r="H17" s="100"/>
    </row>
    <row r="18" spans="2:10" ht="14.25" customHeight="1" x14ac:dyDescent="0.45">
      <c r="B18" s="148" t="s">
        <v>50</v>
      </c>
      <c r="C18" s="148">
        <v>0.12</v>
      </c>
      <c r="D18" s="148">
        <v>7.95</v>
      </c>
      <c r="G18" s="100"/>
      <c r="H18" s="101"/>
    </row>
    <row r="19" spans="2:10" ht="14.25" customHeight="1" x14ac:dyDescent="0.45">
      <c r="G19" s="100"/>
      <c r="H19" s="101"/>
    </row>
    <row r="20" spans="2:10" ht="14.25" customHeight="1" x14ac:dyDescent="0.45">
      <c r="G20" s="100"/>
      <c r="H20" s="101"/>
    </row>
    <row r="21" spans="2:10" ht="14.25" customHeight="1" x14ac:dyDescent="0.45">
      <c r="G21" s="100"/>
      <c r="H21" s="101"/>
    </row>
    <row r="22" spans="2:10" ht="14.25" customHeight="1" x14ac:dyDescent="0.45">
      <c r="G22" s="100"/>
      <c r="H22" s="100"/>
    </row>
    <row r="23" spans="2:10" ht="14.25" customHeight="1" x14ac:dyDescent="0.45">
      <c r="G23" s="100"/>
      <c r="H23" s="100"/>
    </row>
    <row r="24" spans="2:10" ht="14.25" customHeight="1" x14ac:dyDescent="0.45">
      <c r="G24" s="100"/>
      <c r="H24" s="100"/>
    </row>
    <row r="25" spans="2:10" ht="14.25" customHeight="1" x14ac:dyDescent="0.45">
      <c r="G25" s="100"/>
      <c r="H25" s="100"/>
    </row>
    <row r="26" spans="2:10" ht="14.25" customHeight="1" x14ac:dyDescent="0.45">
      <c r="G26" s="100"/>
      <c r="H26" s="100"/>
    </row>
    <row r="27" spans="2:10" ht="14.25" customHeight="1" x14ac:dyDescent="0.45">
      <c r="G27" s="100"/>
      <c r="H27" s="100"/>
    </row>
    <row r="28" spans="2:10" ht="14.25" customHeight="1" x14ac:dyDescent="0.45">
      <c r="G28" s="100"/>
      <c r="H28" s="100"/>
    </row>
    <row r="29" spans="2:10" ht="14.25" customHeight="1" x14ac:dyDescent="0.45">
      <c r="G29" s="100"/>
      <c r="H29" s="100"/>
    </row>
    <row r="32" spans="2:10" ht="14.25" customHeight="1" x14ac:dyDescent="0.45">
      <c r="G32" t="s">
        <v>2</v>
      </c>
      <c r="H32" t="s">
        <v>51</v>
      </c>
      <c r="I32" t="s">
        <v>29</v>
      </c>
      <c r="J32" t="s">
        <v>0</v>
      </c>
    </row>
    <row r="33" spans="7:10" ht="14.25" customHeight="1" x14ac:dyDescent="0.45">
      <c r="G33" t="s">
        <v>9</v>
      </c>
      <c r="H33">
        <v>1100000000</v>
      </c>
      <c r="I33">
        <v>198000000</v>
      </c>
      <c r="J33">
        <f t="shared" ref="J33:J51" si="0">I33/H33</f>
        <v>0.18</v>
      </c>
    </row>
    <row r="34" spans="7:10" ht="14.25" customHeight="1" x14ac:dyDescent="0.45">
      <c r="G34" t="s">
        <v>95</v>
      </c>
      <c r="H34">
        <v>661500000</v>
      </c>
      <c r="I34">
        <v>99225000</v>
      </c>
      <c r="J34" s="152">
        <f t="shared" si="0"/>
        <v>0.15</v>
      </c>
    </row>
    <row r="35" spans="7:10" ht="14.25" customHeight="1" x14ac:dyDescent="0.45">
      <c r="G35" t="s">
        <v>93</v>
      </c>
      <c r="H35">
        <v>10392500000</v>
      </c>
      <c r="I35">
        <v>1452500000</v>
      </c>
      <c r="J35" s="152">
        <f t="shared" si="0"/>
        <v>0.13976425306711571</v>
      </c>
    </row>
    <row r="36" spans="7:10" ht="14.25" customHeight="1" x14ac:dyDescent="0.45">
      <c r="G36" t="s">
        <v>75</v>
      </c>
      <c r="H36">
        <v>1434000000</v>
      </c>
      <c r="I36">
        <v>286800000</v>
      </c>
      <c r="J36" s="152">
        <f t="shared" si="0"/>
        <v>0.2</v>
      </c>
    </row>
    <row r="37" spans="7:10" ht="14.25" customHeight="1" x14ac:dyDescent="0.45">
      <c r="G37" t="s">
        <v>30</v>
      </c>
      <c r="H37">
        <v>68705500000</v>
      </c>
      <c r="I37">
        <v>7714205000</v>
      </c>
      <c r="J37" s="152">
        <f t="shared" si="0"/>
        <v>0.11227929350634229</v>
      </c>
    </row>
    <row r="38" spans="7:10" ht="14.25" customHeight="1" x14ac:dyDescent="0.45">
      <c r="G38" t="s">
        <v>102</v>
      </c>
      <c r="H38">
        <v>142514000000</v>
      </c>
      <c r="I38">
        <v>10782300000</v>
      </c>
      <c r="J38" s="152">
        <f t="shared" si="0"/>
        <v>7.5657830107919224E-2</v>
      </c>
    </row>
    <row r="39" spans="7:10" ht="14.25" customHeight="1" x14ac:dyDescent="0.45">
      <c r="G39" t="s">
        <v>115</v>
      </c>
      <c r="H39">
        <v>208577500000</v>
      </c>
      <c r="I39">
        <v>34956260000</v>
      </c>
      <c r="J39" s="152">
        <f t="shared" si="0"/>
        <v>0.1675936282676703</v>
      </c>
    </row>
    <row r="40" spans="7:10" ht="14.25" customHeight="1" x14ac:dyDescent="0.45">
      <c r="G40" t="s">
        <v>45</v>
      </c>
      <c r="H40">
        <v>24486000000</v>
      </c>
      <c r="I40">
        <v>4042920000</v>
      </c>
      <c r="J40" s="152">
        <f t="shared" si="0"/>
        <v>0.16511149228130359</v>
      </c>
    </row>
    <row r="41" spans="7:10" ht="14.25" customHeight="1" x14ac:dyDescent="0.45">
      <c r="G41" t="s">
        <v>35</v>
      </c>
      <c r="H41">
        <v>27533000000</v>
      </c>
      <c r="I41">
        <v>3496180000</v>
      </c>
      <c r="J41" s="152">
        <f t="shared" si="0"/>
        <v>0.12698144045327425</v>
      </c>
    </row>
    <row r="42" spans="7:10" ht="14.25" customHeight="1" x14ac:dyDescent="0.45">
      <c r="G42" t="s">
        <v>14</v>
      </c>
      <c r="H42">
        <v>1440000000</v>
      </c>
      <c r="I42">
        <v>216000000</v>
      </c>
      <c r="J42" s="152">
        <f t="shared" si="0"/>
        <v>0.15</v>
      </c>
    </row>
    <row r="43" spans="7:10" ht="14.25" customHeight="1" x14ac:dyDescent="0.45">
      <c r="G43" t="s">
        <v>39</v>
      </c>
      <c r="H43">
        <v>1080000000</v>
      </c>
      <c r="I43">
        <v>144000000</v>
      </c>
      <c r="J43" s="152">
        <f t="shared" si="0"/>
        <v>0.13333333333333333</v>
      </c>
    </row>
    <row r="44" spans="7:10" ht="14.25" customHeight="1" x14ac:dyDescent="0.45">
      <c r="G44" t="s">
        <v>11</v>
      </c>
      <c r="H44">
        <v>4044000000</v>
      </c>
      <c r="I44">
        <v>593880000</v>
      </c>
      <c r="J44" s="152">
        <f t="shared" si="0"/>
        <v>0.1468545994065282</v>
      </c>
    </row>
    <row r="45" spans="7:10" ht="14.25" customHeight="1" x14ac:dyDescent="0.45">
      <c r="G45" t="s">
        <v>65</v>
      </c>
      <c r="H45">
        <v>10215000000</v>
      </c>
      <c r="I45">
        <v>1225800000</v>
      </c>
      <c r="J45" s="152">
        <f t="shared" si="0"/>
        <v>0.12</v>
      </c>
    </row>
    <row r="46" spans="7:10" ht="14.25" customHeight="1" x14ac:dyDescent="0.45">
      <c r="G46" t="s">
        <v>110</v>
      </c>
      <c r="H46">
        <v>2760000000</v>
      </c>
      <c r="I46">
        <v>414000000</v>
      </c>
      <c r="J46" s="152">
        <f t="shared" si="0"/>
        <v>0.15</v>
      </c>
    </row>
    <row r="47" spans="7:10" ht="14.25" customHeight="1" x14ac:dyDescent="0.45">
      <c r="G47" t="s">
        <v>59</v>
      </c>
      <c r="H47">
        <v>10920000000</v>
      </c>
      <c r="I47">
        <v>1310400000</v>
      </c>
      <c r="J47" s="152">
        <f t="shared" si="0"/>
        <v>0.12</v>
      </c>
    </row>
    <row r="48" spans="7:10" ht="14.25" customHeight="1" x14ac:dyDescent="0.45">
      <c r="G48" t="s">
        <v>26</v>
      </c>
      <c r="H48">
        <v>625000000</v>
      </c>
      <c r="I48">
        <v>156250000</v>
      </c>
      <c r="J48" s="152">
        <f t="shared" si="0"/>
        <v>0.25</v>
      </c>
    </row>
    <row r="49" spans="7:10" ht="14.25" customHeight="1" x14ac:dyDescent="0.45">
      <c r="G49" t="s">
        <v>7</v>
      </c>
      <c r="H49">
        <v>120000000</v>
      </c>
      <c r="I49">
        <v>30000000</v>
      </c>
      <c r="J49" s="152">
        <f t="shared" si="0"/>
        <v>0.25</v>
      </c>
    </row>
    <row r="50" spans="7:10" ht="14.25" customHeight="1" x14ac:dyDescent="0.45">
      <c r="G50" t="s">
        <v>18</v>
      </c>
      <c r="H50">
        <v>1800000000</v>
      </c>
      <c r="I50">
        <v>540000000</v>
      </c>
      <c r="J50" s="152">
        <f t="shared" si="0"/>
        <v>0.3</v>
      </c>
    </row>
    <row r="51" spans="7:10" ht="14.25" customHeight="1" x14ac:dyDescent="0.45">
      <c r="G51" t="s">
        <v>22</v>
      </c>
      <c r="H51">
        <v>518408000000</v>
      </c>
      <c r="I51">
        <v>67658720000</v>
      </c>
      <c r="J51" s="152">
        <f t="shared" si="0"/>
        <v>0.13051249209117144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HÀNG TẤM (Bohler)</vt:lpstr>
      <vt:lpstr>HÀNG TẤM (thép ko gỉ)</vt:lpstr>
      <vt:lpstr>HÀNG TẤM (bery)</vt:lpstr>
      <vt:lpstr>HÀNG TẤM (đồng nhôm)</vt:lpstr>
      <vt:lpstr>hàng thanh</vt:lpstr>
      <vt:lpstr>hàng cuộn</vt:lpstr>
      <vt:lpstr>Hao phí hàng cuộn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2022-04-04T17:34:30Z</dcterms:modified>
  <cp:category/>
</cp:coreProperties>
</file>