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ms-office.legacyDrawing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comments5.xml" ContentType="application/vnd.openxmlformats-officedocument.spreadsheetml.comments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worksheets/sheet7.xml" ContentType="application/vnd.openxmlformats-officedocument.spreadsheetml.worksheet+xml"/>
  <Override PartName="/xl/comments7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4931"/>
  <workbookPr filterPrivacy="1" defaultThemeVersion="124226"/>
  <bookViews>
    <workbookView xWindow="240" yWindow="120" windowWidth="14940" windowHeight="9225" activeTab="6" firstSheet="1"/>
  </bookViews>
  <sheets>
    <sheet name="Input" sheetId="1" r:id="rId1"/>
    <sheet name="HÀNG TẤM (Bohler)" sheetId="2" r:id="rId2"/>
    <sheet name="HÀNG TẤM (thép ko gỉ)" sheetId="3" r:id="rId3"/>
    <sheet name="HÀNG TẤM (bery)" sheetId="4" r:id="rId4"/>
    <sheet name="HÀNG TẤM (đồng nhôm)" sheetId="5" r:id="rId5"/>
    <sheet name="hàng thanh" sheetId="6" r:id="rId6"/>
    <sheet name="hàng cuộn" sheetId="7" r:id="rId7"/>
    <sheet name="Hao phí hàng cuộn" sheetId="8" r:id="rId8"/>
    <sheet name="DATA" sheetId="9" r:id="rId9"/>
  </sheets>
  <definedNames/>
  <calcPr calcId="125725"/>
  <webPublishing/>
</workbook>
</file>

<file path=xl/comments2.xml><?xml version="1.0" encoding="utf-8"?>
<comments xmlns="http://schemas.openxmlformats.org/spreadsheetml/2006/main">
  <authors>
    <author>PC</author>
  </authors>
  <commentList>
    <comment ref="J12" authorId="0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dưới_x000D_</t>
        </r>
      </text>
    </comment>
    <comment ref="K12" authorId="0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J12" authorId="0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J12" authorId="0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dưới_x000D_</t>
        </r>
      </text>
    </comment>
    <comment ref="K12" authorId="0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5.xml><?xml version="1.0" encoding="utf-8"?>
<comments xmlns="http://schemas.openxmlformats.org/spreadsheetml/2006/main">
  <authors>
    <author>PC</author>
  </authors>
  <commentList>
    <comment ref="J12" authorId="0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6.xml><?xml version="1.0" encoding="utf-8"?>
<comments xmlns="http://schemas.openxmlformats.org/spreadsheetml/2006/main">
  <authors>
    <author>PC</author>
  </authors>
  <commentList>
    <comment ref="K12" authorId="0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L12" authorId="0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M12" authorId="0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7.xml><?xml version="1.0" encoding="utf-8"?>
<comments xmlns="http://schemas.openxmlformats.org/spreadsheetml/2006/main">
  <authors>
    <author>PC</author>
  </authors>
  <commentList>
    <comment ref="K11" authorId="0">
      <text>
        <r>
          <rPr>
            <sz val="8"/>
            <color indexed="81"/>
            <rFont val="Tahoma"/>
            <family val="2"/>
          </rPr>
          <t>Author:_x000D__x000D__x000D__x000D__x000D__x000D_
Điền hao phí theo Hao phí trong sheet hao phí hàng cuộn_x000D_</t>
        </r>
      </text>
    </comment>
    <comment ref="H12" authorId="0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</t>
        </r>
      </text>
    </comment>
    <comment ref="I12" authorId="0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J12" authorId="0">
      <text>
        <r>
          <rPr>
            <sz val="8"/>
            <color indexed="81"/>
            <rFont val="Tahoma"/>
            <family val="2"/>
          </rPr>
          <t>Thuế xuất khẩu hàng cuộn là 0%_x000D_</t>
        </r>
      </text>
    </comment>
  </commentList>
</comments>
</file>

<file path=xl/sharedStrings.xml><?xml version="1.0" encoding="utf-8"?>
<sst xmlns="http://schemas.openxmlformats.org/spreadsheetml/2006/main" count="360" uniqueCount="118">
  <si>
    <t>TSLN</t>
  </si>
  <si>
    <t>&gt;</t>
  </si>
  <si>
    <t>Row Labels</t>
  </si>
  <si>
    <t>Giá nguyên tấm</t>
  </si>
  <si>
    <t>&lt;</t>
  </si>
  <si>
    <t>S= 2n x (Dài x Dày + Rộng x Dày)</t>
  </si>
  <si>
    <t>Giá vốn nguyên tấm</t>
  </si>
  <si>
    <t>Thép không gỉ thanh</t>
  </si>
  <si>
    <t>Phí gia công thanh</t>
  </si>
  <si>
    <t>Đồng bery</t>
  </si>
  <si>
    <t>Dày _x000D__x000D__x000D__x000D__x000D__x000D_
(mm)</t>
  </si>
  <si>
    <t>Nhôm thanh</t>
  </si>
  <si>
    <t>Đơn giá theo TSLNĐK</t>
  </si>
  <si>
    <t>GIÁ VỐN</t>
  </si>
  <si>
    <t>Nhôm ống</t>
  </si>
  <si>
    <t>Đồng</t>
  </si>
  <si>
    <t>Đồng tinh chế tấm lá</t>
  </si>
  <si>
    <t>Theo ngôn ngữ phần mềm</t>
  </si>
  <si>
    <t>Thép lá cuộn</t>
  </si>
  <si>
    <t>Loại vật liệu</t>
  </si>
  <si>
    <t>Trọng lượng riêng_x000D__x000D__x000D__x000D__x000D__x000D_
(kg/cm3)</t>
  </si>
  <si>
    <t>S = 2*(pcs) * (KT3*KT1 + KT2*KT1)</t>
  </si>
  <si>
    <t>Grand Total</t>
  </si>
  <si>
    <t>S= 2n x Dài x Dày + (n+1) x Rộng x Dày</t>
  </si>
  <si>
    <t>Thép dụng cụ</t>
  </si>
  <si>
    <t>số cuộn * khổ rộng</t>
  </si>
  <si>
    <t>Thép không gỉ tấm dày</t>
  </si>
  <si>
    <t>Số cuộn</t>
  </si>
  <si>
    <t>Khổ rộng phôi (mm)</t>
  </si>
  <si>
    <t>Sum of LNG 2022</t>
  </si>
  <si>
    <t>Đồng tấm lá</t>
  </si>
  <si>
    <t>Giá vốn nguyên khổ</t>
  </si>
  <si>
    <t>TSLNĐK</t>
  </si>
  <si>
    <t>Nhôm không hợp kim cuộn</t>
  </si>
  <si>
    <t>Hình thái</t>
  </si>
  <si>
    <t>Nhôm không hợp kim</t>
  </si>
  <si>
    <t xml:space="preserve">Khổ rộng MIN </t>
  </si>
  <si>
    <t>Tròn</t>
  </si>
  <si>
    <t>Mác</t>
  </si>
  <si>
    <t>Nhôm phản quang</t>
  </si>
  <si>
    <t>Đồng bery thanh</t>
  </si>
  <si>
    <t>Chữ nhật</t>
  </si>
  <si>
    <t>SPC6</t>
  </si>
  <si>
    <t>Thể tích (mm3)_x000D__x000D__x000D__x000D__x000D__x000D_
Tổng số sp</t>
  </si>
  <si>
    <t>S = (pcs)*KT3*KT1 + (pcs+2)*KT2*KT1</t>
  </si>
  <si>
    <t>Nhôm hợp kim mỏng</t>
  </si>
  <si>
    <t>Thép thanh</t>
  </si>
  <si>
    <t>Dày</t>
  </si>
  <si>
    <t>Hao phí mạch cắt (%)</t>
  </si>
  <si>
    <t>SPC5</t>
  </si>
  <si>
    <t>Thép tấm lá</t>
  </si>
  <si>
    <t>Sum of DS 2022</t>
  </si>
  <si>
    <t>S= n x Dài x Dày + (n+2) x Rộng x Dày</t>
  </si>
  <si>
    <t>Trọng lượng riêng</t>
  </si>
  <si>
    <t>Thép tấm dày</t>
  </si>
  <si>
    <t>Trọng lượng phôi (kg)</t>
  </si>
  <si>
    <t>Giá vốn</t>
  </si>
  <si>
    <t>Dải via min</t>
  </si>
  <si>
    <t>Khổ rộng _x000D__x000D__x000D__x000D__x000D__x000D_
(mm)</t>
  </si>
  <si>
    <t>Thép không gỉ lá cuộn</t>
  </si>
  <si>
    <t>Hao phí phế liệu (trung bình)</t>
  </si>
  <si>
    <t>Đơn giá bán</t>
  </si>
  <si>
    <t>Chiều dày_x000D__x000D__x000D__x000D__x000D__x000D_
(mm)</t>
  </si>
  <si>
    <t>Số kg</t>
  </si>
  <si>
    <t>i</t>
  </si>
  <si>
    <t>Thép dây</t>
  </si>
  <si>
    <t>Nhôm</t>
  </si>
  <si>
    <t>Vận phí</t>
  </si>
  <si>
    <t>Tính giá bán</t>
  </si>
  <si>
    <t>Kích thước 3_x000D__x000D__x000D__x000D__x000D__x000D_
(mm)</t>
  </si>
  <si>
    <t>SPP</t>
  </si>
  <si>
    <t>Hao phí phế liệu</t>
  </si>
  <si>
    <t>SPC1</t>
  </si>
  <si>
    <t>Dài _x000D__x000D__x000D__x000D__x000D__x000D_
(mm)</t>
  </si>
  <si>
    <t>Loại</t>
  </si>
  <si>
    <t>Đồng tấm dày</t>
  </si>
  <si>
    <t>Khổ</t>
  </si>
  <si>
    <t>Từ 11 - 50 tấm</t>
  </si>
  <si>
    <t>Kích thước 1_x000D__x000D__x000D__x000D__x000D__x000D_
(mm)</t>
  </si>
  <si>
    <t>Trọng lượng_x000D__x000D__x000D__x000D__x000D__x000D_
(Kg)</t>
  </si>
  <si>
    <t>SPC2</t>
  </si>
  <si>
    <t>Kích thước 2_x000D__x000D__x000D__x000D__x000D__x000D_
(mm)</t>
  </si>
  <si>
    <t>Giá phế liệu</t>
  </si>
  <si>
    <t>Nhôm hợp kim cuộn</t>
  </si>
  <si>
    <t>Thành tiền bán</t>
  </si>
  <si>
    <t>Tổng</t>
  </si>
  <si>
    <t>TSLN ĐK</t>
  </si>
  <si>
    <t>Giá vốn không gồm vc &amp; hải quan (vnd/kg)</t>
  </si>
  <si>
    <t xml:space="preserve">Dải via </t>
  </si>
  <si>
    <t>Trọng lượng</t>
  </si>
  <si>
    <t>&gt; 50 tấm</t>
  </si>
  <si>
    <t>Bỏ via 1 bên</t>
  </si>
  <si>
    <t>Đồng hợp kim tấm lá</t>
  </si>
  <si>
    <t>Đồng hợp kim thanh</t>
  </si>
  <si>
    <t>SPC4</t>
  </si>
  <si>
    <t>Đồng hợp kim tấm dày</t>
  </si>
  <si>
    <t>Trọng lượng dải 1mm (kg)</t>
  </si>
  <si>
    <t>Từ 1 - 10 tấm</t>
  </si>
  <si>
    <t>Diện tích (S)</t>
  </si>
  <si>
    <t>Thành tiền theo TSLNĐK</t>
  </si>
  <si>
    <t>Công nợ_x000D__x000D__x000D__x000D__x000D__x000D_
(ngày)</t>
  </si>
  <si>
    <t>Số tấm (n)</t>
  </si>
  <si>
    <t>Đồng thanh</t>
  </si>
  <si>
    <t>Thép</t>
  </si>
  <si>
    <t>Số pcs</t>
  </si>
  <si>
    <t>Phí hải quan</t>
  </si>
  <si>
    <t>Đơn giá (vnd/kg)</t>
  </si>
  <si>
    <t>Hao phí</t>
  </si>
  <si>
    <t>Thuế XK (%)</t>
  </si>
  <si>
    <t xml:space="preserve">     </t>
  </si>
  <si>
    <t>Thép không gỉ dây</t>
  </si>
  <si>
    <t>S = 2*(pcs)*KT3*KT1 + (pcs+1)*KT2*KT1</t>
  </si>
  <si>
    <t>Phí gia công_x000D__x000D__x000D__x000D__x000D__x000D_
(VNĐ/kg)</t>
  </si>
  <si>
    <t>Công nợ_x000D_
_x000D_
_x000D_
(ngày)</t>
  </si>
  <si>
    <t>Rộng_x000D__x000D__x000D__x000D__x000D__x000D_
 (mm)</t>
  </si>
  <si>
    <t>Nhôm hợp kim dày</t>
  </si>
  <si>
    <t>SPC3</t>
  </si>
  <si>
    <t>Tiết diện_x000D__x000D__x000D__x000D__x000D__x000D_
(cm2)</t>
  </si>
</sst>
</file>

<file path=xl/styles.xml><?xml version="1.0" encoding="utf-8"?>
<styleSheet xmlns="http://schemas.openxmlformats.org/spreadsheetml/2006/main">
  <numFmts count="6">
    <numFmt numFmtId="164" formatCode="_-* #,##0.00\ _₫_-;\-* #,##0.00\ _₫_-;_-* &quot;-&quot;??\ _₫_-;_-@_-"/>
    <numFmt numFmtId="165" formatCode="_(* #,##0_);_(* \(#,##0\);_(* &quot;-&quot;??_);_(@_)"/>
    <numFmt numFmtId="166" formatCode="0.0%"/>
    <numFmt numFmtId="167" formatCode="#,##0.0"/>
    <numFmt numFmtId="168" formatCode="_-* #,##0\ _₫_-;\-* #,##0\ _₫_-;_-* &quot;-&quot;??\ _₫_-;_-@_-"/>
    <numFmt numFmtId="169" formatCode="0.0"/>
  </numFmts>
  <fonts count="12">
    <font>
      <sz val="11"/>
      <name val="Calibri"/>
      <family val="2"/>
      <color theme="1"/>
    </font>
    <font>
      <sz val="10"/>
      <name val="Arial"/>
      <family val="0"/>
    </font>
    <font>
      <sz val="9"/>
      <name val="Arial"/>
      <family val="2"/>
      <color theme="1"/>
    </font>
    <font>
      <b/>
      <sz val="9"/>
      <name val="Arial"/>
      <family val="2"/>
      <color theme="1"/>
    </font>
    <font>
      <b/>
      <sz val="9"/>
      <name val="Arial"/>
      <family val="2"/>
      <color rgb="FFFF0000"/>
    </font>
    <font>
      <sz val="12"/>
      <name val="Times New Roman"/>
      <family val="2"/>
      <color theme="1"/>
    </font>
    <font>
      <sz val="9"/>
      <name val="Calibri"/>
      <family val="2"/>
      <color theme="1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color theme="1"/>
    </font>
    <font>
      <sz val="8"/>
      <name val="Tahoma"/>
      <family val="2"/>
    </font>
    <font>
      <b/>
      <sz val="8"/>
      <name val="Arial"/>
      <family val="0"/>
    </font>
  </fonts>
  <fills count="7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hair"/>
      <diagonal/>
    </border>
    <border>
      <left style="thin"/>
      <right style="thin"/>
      <top style="hair"/>
      <bottom style="hair"/>
      <diagonal/>
    </border>
    <border>
      <left style="thin"/>
      <right style="thin"/>
      <top style="hair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21">
    <xf numFmtId="0" fontId="0" fillId="0" borderId="1"/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9" fontId="0" fillId="0" borderId="1"/>
    <xf numFmtId="44" fontId="1" fillId="0" borderId="1">
      <alignment vertical="center"/>
    </xf>
    <xf numFmtId="42" fontId="1" fillId="0" borderId="1">
      <alignment vertical="center"/>
    </xf>
    <xf numFmtId="164" fontId="0" fillId="0" borderId="1"/>
    <xf numFmtId="41" fontId="1" fillId="0" borderId="1">
      <alignment vertical="center"/>
    </xf>
    <xf numFmtId="0" fontId="5" fillId="0" borderId="1"/>
  </cellStyleXfs>
  <cellXfs count="168">
    <xf numFmtId="0" fontId="0" fillId="0" borderId="1" xfId="0"/>
    <xf numFmtId="0" fontId="0" fillId="0" borderId="1" xfId="0"/>
    <xf numFmtId="0" fontId="2" fillId="0" borderId="1" xfId="0" applyFo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6" fontId="2" fillId="0" borderId="3" xfId="15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66" fontId="2" fillId="0" borderId="4" xfId="15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166" fontId="2" fillId="0" borderId="5" xfId="15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3" fontId="2" fillId="0" borderId="1" xfId="0" applyNumberFormat="1" applyFont="1"/>
    <xf numFmtId="3" fontId="3" fillId="2" borderId="2" xfId="0" applyNumberFormat="1" applyFont="1" applyFill="1" applyBorder="1" applyAlignment="1">
      <alignment horizontal="center" vertical="center" wrapText="1"/>
    </xf>
    <xf numFmtId="3" fontId="2" fillId="0" borderId="3" xfId="18" applyNumberFormat="1" applyFont="1" applyFill="1" applyBorder="1" applyAlignment="1">
      <alignment horizontal="center" vertical="center"/>
    </xf>
    <xf numFmtId="3" fontId="2" fillId="0" borderId="4" xfId="18" applyNumberFormat="1" applyFont="1" applyFill="1" applyBorder="1" applyAlignment="1">
      <alignment horizontal="center" vertical="center"/>
    </xf>
    <xf numFmtId="3" fontId="2" fillId="0" borderId="5" xfId="18" applyNumberFormat="1" applyFont="1" applyFill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7" fontId="2" fillId="0" borderId="2" xfId="18" applyNumberFormat="1" applyFont="1" applyBorder="1" applyAlignment="1">
      <alignment horizontal="center" vertical="center"/>
    </xf>
    <xf numFmtId="167" fontId="2" fillId="0" borderId="1" xfId="0" applyNumberFormat="1" applyFont="1"/>
    <xf numFmtId="167" fontId="2" fillId="0" borderId="3" xfId="18" applyNumberFormat="1" applyFont="1" applyFill="1" applyBorder="1" applyAlignment="1">
      <alignment horizontal="center" vertical="center"/>
    </xf>
    <xf numFmtId="167" fontId="2" fillId="0" borderId="4" xfId="18" applyNumberFormat="1" applyFont="1" applyFill="1" applyBorder="1" applyAlignment="1">
      <alignment horizontal="center" vertical="center"/>
    </xf>
    <xf numFmtId="167" fontId="2" fillId="0" borderId="5" xfId="18" applyNumberFormat="1" applyFont="1" applyFill="1" applyBorder="1" applyAlignment="1">
      <alignment horizontal="center" vertical="center"/>
    </xf>
    <xf numFmtId="167" fontId="4" fillId="0" borderId="7" xfId="0" applyNumberFormat="1" applyFont="1" applyBorder="1" applyAlignment="1">
      <alignment vertical="center"/>
    </xf>
    <xf numFmtId="167" fontId="4" fillId="0" borderId="8" xfId="0" applyNumberFormat="1" applyFont="1" applyBorder="1" applyAlignment="1">
      <alignment vertical="center"/>
    </xf>
    <xf numFmtId="167" fontId="2" fillId="0" borderId="2" xfId="0" applyNumberFormat="1" applyFont="1" applyBorder="1" applyAlignment="1">
      <alignment vertical="center"/>
    </xf>
    <xf numFmtId="3" fontId="3" fillId="2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166" fontId="2" fillId="0" borderId="1" xfId="0" applyNumberFormat="1" applyFont="1"/>
    <xf numFmtId="166" fontId="3" fillId="3" borderId="2" xfId="0" applyNumberFormat="1" applyFont="1" applyFill="1" applyBorder="1" applyAlignment="1">
      <alignment horizontal="center" vertical="center" wrapText="1"/>
    </xf>
    <xf numFmtId="166" fontId="2" fillId="0" borderId="2" xfId="18" applyNumberFormat="1" applyFont="1" applyBorder="1" applyAlignment="1">
      <alignment vertical="center"/>
    </xf>
    <xf numFmtId="3" fontId="3" fillId="4" borderId="2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Alignment="1">
      <alignment horizontal="right"/>
    </xf>
    <xf numFmtId="3" fontId="2" fillId="0" borderId="3" xfId="18" applyNumberFormat="1" applyFont="1" applyBorder="1" applyAlignment="1">
      <alignment horizontal="right" vertical="center"/>
    </xf>
    <xf numFmtId="3" fontId="2" fillId="0" borderId="4" xfId="18" applyNumberFormat="1" applyFont="1" applyBorder="1" applyAlignment="1">
      <alignment horizontal="right" vertical="center"/>
    </xf>
    <xf numFmtId="3" fontId="2" fillId="0" borderId="5" xfId="18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18" applyNumberFormat="1" applyFont="1" applyFill="1" applyBorder="1" applyAlignment="1">
      <alignment horizontal="right" vertical="center"/>
    </xf>
    <xf numFmtId="3" fontId="2" fillId="0" borderId="4" xfId="18" applyNumberFormat="1" applyFont="1" applyFill="1" applyBorder="1" applyAlignment="1">
      <alignment horizontal="right" vertical="center"/>
    </xf>
    <xf numFmtId="3" fontId="2" fillId="0" borderId="5" xfId="18" applyNumberFormat="1" applyFont="1" applyFill="1" applyBorder="1" applyAlignment="1">
      <alignment horizontal="right" vertical="center"/>
    </xf>
    <xf numFmtId="3" fontId="4" fillId="0" borderId="7" xfId="0" applyNumberFormat="1" applyFont="1" applyBorder="1" applyAlignment="1">
      <alignment horizontal="right" vertical="center"/>
    </xf>
    <xf numFmtId="167" fontId="3" fillId="2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vertical="center"/>
    </xf>
    <xf numFmtId="166" fontId="2" fillId="0" borderId="1" xfId="0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 vertical="center"/>
    </xf>
    <xf numFmtId="3" fontId="2" fillId="0" borderId="2" xfId="18" applyNumberFormat="1" applyFont="1" applyBorder="1" applyAlignment="1">
      <alignment horizontal="right" vertical="center"/>
    </xf>
    <xf numFmtId="3" fontId="2" fillId="0" borderId="1" xfId="18" applyNumberFormat="1" applyFont="1" applyAlignment="1">
      <alignment horizontal="right"/>
    </xf>
    <xf numFmtId="166" fontId="2" fillId="0" borderId="1" xfId="18" applyNumberFormat="1" applyFont="1"/>
    <xf numFmtId="3" fontId="2" fillId="0" borderId="4" xfId="0" applyNumberFormat="1" applyFont="1" applyBorder="1" applyAlignment="1">
      <alignment horizontal="right" vertical="center"/>
    </xf>
    <xf numFmtId="167" fontId="2" fillId="0" borderId="1" xfId="0" applyNumberFormat="1" applyFont="1" applyAlignment="1">
      <alignment horizontal="right"/>
    </xf>
    <xf numFmtId="167" fontId="3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2" fillId="0" borderId="2" xfId="18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2" fillId="0" borderId="2" xfId="0" applyFont="1" applyBorder="1"/>
    <xf numFmtId="9" fontId="2" fillId="0" borderId="2" xfId="0" applyNumberFormat="1" applyFont="1" applyBorder="1"/>
    <xf numFmtId="0" fontId="4" fillId="0" borderId="8" xfId="0" applyFont="1" applyBorder="1" applyAlignment="1">
      <alignment vertical="center"/>
    </xf>
    <xf numFmtId="164" fontId="2" fillId="0" borderId="1" xfId="18" applyFont="1"/>
    <xf numFmtId="0" fontId="2" fillId="0" borderId="3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left" vertical="center" shrinkToFit="1"/>
    </xf>
    <xf numFmtId="168" fontId="2" fillId="0" borderId="3" xfId="18" applyNumberFormat="1" applyFont="1" applyFill="1" applyBorder="1" applyAlignment="1">
      <alignment horizontal="center" vertical="center" shrinkToFit="1"/>
    </xf>
    <xf numFmtId="169" fontId="2" fillId="0" borderId="3" xfId="18" applyNumberFormat="1" applyFont="1" applyFill="1" applyBorder="1" applyAlignment="1">
      <alignment horizontal="center" vertical="center" shrinkToFit="1"/>
    </xf>
    <xf numFmtId="1" fontId="2" fillId="0" borderId="3" xfId="18" applyNumberFormat="1" applyFont="1" applyFill="1" applyBorder="1" applyAlignment="1">
      <alignment horizontal="center" vertical="center" shrinkToFit="1"/>
    </xf>
    <xf numFmtId="2" fontId="2" fillId="0" borderId="3" xfId="0" applyNumberFormat="1" applyFont="1" applyBorder="1" applyAlignment="1">
      <alignment horizontal="center" vertical="center" shrinkToFit="1"/>
    </xf>
    <xf numFmtId="164" fontId="2" fillId="0" borderId="3" xfId="18" applyNumberFormat="1" applyFont="1" applyBorder="1" applyAlignment="1">
      <alignment horizontal="center" vertical="center" shrinkToFit="1"/>
    </xf>
    <xf numFmtId="166" fontId="2" fillId="0" borderId="3" xfId="15" applyNumberFormat="1" applyFont="1" applyBorder="1" applyAlignment="1">
      <alignment horizontal="center" vertical="center" shrinkToFit="1"/>
    </xf>
    <xf numFmtId="166" fontId="2" fillId="0" borderId="3" xfId="0" applyNumberFormat="1" applyFont="1" applyBorder="1" applyAlignment="1">
      <alignment horizontal="center" vertical="center" shrinkToFit="1"/>
    </xf>
    <xf numFmtId="168" fontId="2" fillId="0" borderId="3" xfId="18" applyNumberFormat="1" applyFont="1" applyBorder="1" applyAlignment="1">
      <alignment horizontal="center" vertical="center" shrinkToFit="1"/>
    </xf>
    <xf numFmtId="165" fontId="2" fillId="0" borderId="3" xfId="0" applyNumberFormat="1" applyFont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left" vertical="center" shrinkToFit="1"/>
    </xf>
    <xf numFmtId="168" fontId="2" fillId="0" borderId="4" xfId="18" applyNumberFormat="1" applyFont="1" applyFill="1" applyBorder="1" applyAlignment="1">
      <alignment horizontal="center" vertical="center" shrinkToFit="1"/>
    </xf>
    <xf numFmtId="169" fontId="2" fillId="0" borderId="4" xfId="18" applyNumberFormat="1" applyFont="1" applyFill="1" applyBorder="1" applyAlignment="1">
      <alignment horizontal="center" vertical="center" shrinkToFit="1"/>
    </xf>
    <xf numFmtId="1" fontId="2" fillId="0" borderId="4" xfId="18" applyNumberFormat="1" applyFont="1" applyFill="1" applyBorder="1" applyAlignment="1">
      <alignment horizontal="center" vertical="center" shrinkToFit="1"/>
    </xf>
    <xf numFmtId="9" fontId="2" fillId="0" borderId="4" xfId="0" applyNumberFormat="1" applyFont="1" applyBorder="1" applyAlignment="1">
      <alignment horizontal="center" vertical="center" shrinkToFit="1"/>
    </xf>
    <xf numFmtId="168" fontId="2" fillId="0" borderId="4" xfId="18" applyNumberFormat="1" applyFont="1" applyBorder="1" applyAlignment="1">
      <alignment horizontal="center" vertical="center" shrinkToFit="1"/>
    </xf>
    <xf numFmtId="164" fontId="2" fillId="0" borderId="4" xfId="18" applyNumberFormat="1" applyFont="1" applyBorder="1" applyAlignment="1">
      <alignment horizontal="center" vertical="center" shrinkToFit="1"/>
    </xf>
    <xf numFmtId="166" fontId="2" fillId="0" borderId="4" xfId="15" applyNumberFormat="1" applyFont="1" applyBorder="1" applyAlignment="1">
      <alignment horizontal="center" vertical="center" shrinkToFit="1"/>
    </xf>
    <xf numFmtId="166" fontId="2" fillId="0" borderId="4" xfId="0" applyNumberFormat="1" applyFont="1" applyBorder="1" applyAlignment="1">
      <alignment horizontal="center" vertical="center" shrinkToFit="1"/>
    </xf>
    <xf numFmtId="165" fontId="2" fillId="0" borderId="4" xfId="0" applyNumberFormat="1" applyFont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left" vertical="center" shrinkToFit="1"/>
    </xf>
    <xf numFmtId="168" fontId="2" fillId="0" borderId="5" xfId="18" applyNumberFormat="1" applyFont="1" applyFill="1" applyBorder="1" applyAlignment="1">
      <alignment horizontal="center" vertical="center" shrinkToFit="1"/>
    </xf>
    <xf numFmtId="169" fontId="2" fillId="0" borderId="5" xfId="18" applyNumberFormat="1" applyFont="1" applyFill="1" applyBorder="1" applyAlignment="1">
      <alignment horizontal="center" vertical="center" shrinkToFit="1"/>
    </xf>
    <xf numFmtId="1" fontId="2" fillId="0" borderId="5" xfId="18" applyNumberFormat="1" applyFont="1" applyFill="1" applyBorder="1" applyAlignment="1">
      <alignment horizontal="center" vertical="center" shrinkToFit="1"/>
    </xf>
    <xf numFmtId="168" fontId="2" fillId="0" borderId="5" xfId="18" applyNumberFormat="1" applyFont="1" applyBorder="1" applyAlignment="1">
      <alignment horizontal="center" vertical="center" shrinkToFit="1"/>
    </xf>
    <xf numFmtId="164" fontId="2" fillId="0" borderId="5" xfId="18" applyNumberFormat="1" applyFont="1" applyBorder="1" applyAlignment="1">
      <alignment horizontal="center" vertical="center" shrinkToFit="1"/>
    </xf>
    <xf numFmtId="166" fontId="2" fillId="0" borderId="5" xfId="15" applyNumberFormat="1" applyFont="1" applyBorder="1" applyAlignment="1">
      <alignment horizontal="center" vertical="center" shrinkToFit="1"/>
    </xf>
    <xf numFmtId="166" fontId="2" fillId="0" borderId="5" xfId="0" applyNumberFormat="1" applyFont="1" applyBorder="1" applyAlignment="1">
      <alignment horizontal="center" vertical="center" shrinkToFit="1"/>
    </xf>
    <xf numFmtId="9" fontId="2" fillId="0" borderId="1" xfId="0" applyNumberFormat="1" applyFont="1"/>
    <xf numFmtId="0" fontId="0" fillId="0" borderId="1" xfId="0"/>
    <xf numFmtId="3" fontId="0" fillId="0" borderId="1" xfId="0" applyNumberFormat="1"/>
    <xf numFmtId="167" fontId="2" fillId="0" borderId="3" xfId="18" applyNumberFormat="1" applyFont="1" applyFill="1" applyBorder="1" applyAlignment="1">
      <alignment horizontal="right" vertical="center"/>
    </xf>
    <xf numFmtId="167" fontId="2" fillId="0" borderId="4" xfId="18" applyNumberFormat="1" applyFont="1" applyFill="1" applyBorder="1" applyAlignment="1">
      <alignment horizontal="right" vertical="center"/>
    </xf>
    <xf numFmtId="167" fontId="2" fillId="0" borderId="5" xfId="18" applyNumberFormat="1" applyFont="1" applyFill="1" applyBorder="1" applyAlignment="1">
      <alignment horizontal="right" vertical="center"/>
    </xf>
    <xf numFmtId="167" fontId="4" fillId="0" borderId="7" xfId="0" applyNumberFormat="1" applyFont="1" applyBorder="1" applyAlignment="1">
      <alignment horizontal="right" vertical="center"/>
    </xf>
    <xf numFmtId="4" fontId="2" fillId="0" borderId="1" xfId="0" applyNumberFormat="1" applyFont="1" applyAlignment="1">
      <alignment horizontal="right"/>
    </xf>
    <xf numFmtId="4" fontId="2" fillId="0" borderId="3" xfId="18" applyNumberFormat="1" applyFont="1" applyFill="1" applyBorder="1" applyAlignment="1">
      <alignment horizontal="center" vertical="center"/>
    </xf>
    <xf numFmtId="3" fontId="2" fillId="0" borderId="3" xfId="18" applyNumberFormat="1" applyFont="1" applyBorder="1" applyAlignment="1">
      <alignment horizontal="center" vertical="center" wrapText="1"/>
    </xf>
    <xf numFmtId="167" fontId="3" fillId="0" borderId="2" xfId="0" applyNumberFormat="1" applyFont="1" applyBorder="1" applyAlignment="1">
      <alignment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 shrinkToFit="1"/>
    </xf>
    <xf numFmtId="2" fontId="2" fillId="0" borderId="5" xfId="0" applyNumberFormat="1" applyFont="1" applyBorder="1" applyAlignment="1">
      <alignment horizontal="center" vertical="center" shrinkToFit="1"/>
    </xf>
    <xf numFmtId="0" fontId="3" fillId="0" borderId="1" xfId="0" applyFont="1"/>
    <xf numFmtId="0" fontId="6" fillId="0" borderId="1" xfId="0" applyFont="1"/>
    <xf numFmtId="4" fontId="2" fillId="0" borderId="4" xfId="18" applyNumberFormat="1" applyFont="1" applyBorder="1" applyAlignment="1">
      <alignment horizontal="right" vertical="center"/>
    </xf>
    <xf numFmtId="4" fontId="2" fillId="0" borderId="5" xfId="18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2" xfId="18" applyFont="1" applyBorder="1" applyAlignment="1">
      <alignment vertical="center"/>
    </xf>
    <xf numFmtId="168" fontId="3" fillId="0" borderId="2" xfId="18" applyNumberFormat="1" applyFont="1" applyBorder="1" applyAlignment="1">
      <alignment vertical="center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Protection="1">
      <protection locked="0"/>
    </xf>
    <xf numFmtId="0" fontId="3" fillId="5" borderId="2" xfId="0" applyFont="1" applyFill="1" applyBorder="1" applyAlignment="1" applyProtection="1">
      <alignment wrapText="1"/>
      <protection locked="0"/>
    </xf>
    <xf numFmtId="0" fontId="3" fillId="0" borderId="2" xfId="0" applyFont="1" applyBorder="1" applyProtection="1"/>
    <xf numFmtId="0" fontId="3" fillId="5" borderId="2" xfId="0" applyFont="1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1" xfId="0" applyFont="1" applyProtection="1">
      <protection locked="0"/>
    </xf>
    <xf numFmtId="0" fontId="6" fillId="0" borderId="2" xfId="0" applyFont="1" applyBorder="1" applyProtection="1"/>
    <xf numFmtId="0" fontId="0" fillId="0" borderId="2" xfId="0" applyBorder="1" applyProtection="1">
      <protection locked="0"/>
    </xf>
    <xf numFmtId="0" fontId="7" fillId="0" borderId="9" xfId="20" applyFont="1" applyBorder="1" applyAlignment="1" applyProtection="1">
      <alignment horizontal="center" vertical="center" wrapText="1"/>
      <protection locked="0"/>
    </xf>
    <xf numFmtId="0" fontId="8" fillId="0" borderId="9" xfId="20" applyFont="1" applyBorder="1" applyAlignment="1" applyProtection="1">
      <alignment horizontal="center" vertical="center" wrapText="1"/>
      <protection locked="0"/>
    </xf>
    <xf numFmtId="0" fontId="8" fillId="0" borderId="9" xfId="2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wrapText="1"/>
      <protection locked="0"/>
    </xf>
    <xf numFmtId="0" fontId="2" fillId="0" borderId="2" xfId="0" applyFont="1" applyBorder="1" applyProtection="1">
      <protection locked="0"/>
    </xf>
    <xf numFmtId="0" fontId="8" fillId="0" borderId="2" xfId="20" applyFont="1" applyBorder="1" applyAlignment="1" applyProtection="1">
      <alignment horizontal="center" vertical="center"/>
      <protection locked="0"/>
    </xf>
    <xf numFmtId="4" fontId="7" fillId="0" borderId="2" xfId="20" applyNumberFormat="1" applyFont="1" applyBorder="1" applyAlignment="1" applyProtection="1">
      <alignment horizontal="center" vertical="center"/>
      <protection locked="0"/>
    </xf>
    <xf numFmtId="1" fontId="7" fillId="0" borderId="2" xfId="2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Protection="1"/>
    <xf numFmtId="2" fontId="2" fillId="0" borderId="2" xfId="0" applyNumberFormat="1" applyFont="1" applyBorder="1" applyProtection="1"/>
    <xf numFmtId="4" fontId="7" fillId="0" borderId="2" xfId="20" applyNumberFormat="1" applyFont="1" applyBorder="1" applyAlignment="1" applyProtection="1">
      <alignment horizontal="center" vertical="center"/>
    </xf>
    <xf numFmtId="1" fontId="7" fillId="0" borderId="2" xfId="20" applyNumberFormat="1" applyFont="1" applyBorder="1" applyAlignment="1" applyProtection="1">
      <alignment horizontal="center" vertical="center"/>
    </xf>
    <xf numFmtId="0" fontId="8" fillId="5" borderId="2" xfId="20" applyFont="1" applyFill="1" applyBorder="1" applyAlignment="1" applyProtection="1">
      <alignment horizontal="center" vertical="center"/>
      <protection locked="0"/>
    </xf>
    <xf numFmtId="49" fontId="8" fillId="5" borderId="2" xfId="2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9" xfId="0" applyFill="1" applyBorder="1"/>
    <xf numFmtId="2" fontId="2" fillId="0" borderId="1" xfId="0" applyNumberFormat="1" applyFont="1"/>
    <xf numFmtId="43" fontId="2" fillId="0" borderId="1" xfId="0" applyNumberFormat="1" applyFont="1"/>
    <xf numFmtId="0" fontId="0" fillId="0" borderId="1" xfId="0"/>
    <xf numFmtId="3" fontId="2" fillId="0" borderId="4" xfId="18" applyNumberFormat="1" applyFont="1" applyBorder="1" applyAlignment="1">
      <alignment horizontal="center" vertical="center"/>
    </xf>
    <xf numFmtId="4" fontId="2" fillId="0" borderId="4" xfId="18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0" fillId="0" borderId="10" xfId="0" applyFill="1" applyBorder="1"/>
    <xf numFmtId="3" fontId="2" fillId="0" borderId="4" xfId="0" applyNumberFormat="1" applyFont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10" fontId="3" fillId="5" borderId="6" xfId="15" applyNumberFormat="1" applyFont="1" applyFill="1" applyBorder="1" applyAlignment="1" applyProtection="1">
      <alignment horizontal="center"/>
    </xf>
    <xf numFmtId="10" fontId="3" fillId="5" borderId="8" xfId="15" applyNumberFormat="1" applyFont="1" applyFill="1" applyBorder="1" applyAlignment="1" applyProtection="1">
      <alignment horizontal="center"/>
    </xf>
    <xf numFmtId="0" fontId="9" fillId="5" borderId="2" xfId="0" applyFont="1" applyFill="1" applyBorder="1" applyAlignment="1" applyProtection="1">
      <alignment horizontal="center"/>
      <protection locked="0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tableStyles xmlns="http://schemas.openxmlformats.org/spreadsheetml/2006/main"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12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/Relationships>
</file>

<file path=xl/worksheets/_rels/sheet3.xml.rels>&#65279;<?xml version="1.0" encoding="utf-8" standalone="yes"?><Relationships xmlns="http://schemas.openxmlformats.org/package/2006/relationships"><Relationship Id="rId1" Type="http://schemas.openxmlformats.org/officeDocument/2006/relationships/comments" Target="../comments3.xml" /><Relationship Id="rId2" Type="http://schemas.openxmlformats.org/officeDocument/2006/relationships/vmlDrawing" Target="../drawings/vmlDrawing2.vml" /></Relationships>
</file>

<file path=xl/worksheets/_rels/sheet4.xml.rels>&#65279;<?xml version="1.0" encoding="utf-8" standalone="yes"?><Relationships xmlns="http://schemas.openxmlformats.org/package/2006/relationships"><Relationship Id="rId1" Type="http://schemas.openxmlformats.org/officeDocument/2006/relationships/comments" Target="../comments4.xml" /><Relationship Id="rId2" Type="http://schemas.openxmlformats.org/officeDocument/2006/relationships/vmlDrawing" Target="../drawings/vmlDrawing3.vml" /></Relationships>
</file>

<file path=xl/worksheets/_rels/sheet5.xml.rels>&#65279;<?xml version="1.0" encoding="utf-8" standalone="yes"?><Relationships xmlns="http://schemas.openxmlformats.org/package/2006/relationships"><Relationship Id="rId1" Type="http://schemas.openxmlformats.org/officeDocument/2006/relationships/comments" Target="../comments5.xml" /><Relationship Id="rId2" Type="http://schemas.openxmlformats.org/officeDocument/2006/relationships/vmlDrawing" Target="../drawings/vmlDrawing4.vml" /></Relationships>
</file>

<file path=xl/worksheets/_rels/sheet6.xml.rels>&#65279;<?xml version="1.0" encoding="utf-8" standalone="yes"?><Relationships xmlns="http://schemas.openxmlformats.org/package/2006/relationships"><Relationship Id="rId1" Type="http://schemas.openxmlformats.org/officeDocument/2006/relationships/comments" Target="../comments6.xml" /><Relationship Id="rId2" Type="http://schemas.openxmlformats.org/officeDocument/2006/relationships/vmlDrawing" Target="../drawings/vmlDrawing5.vml" /></Relationships>
</file>

<file path=xl/worksheets/_rels/sheet7.xml.rels>&#65279;<?xml version="1.0" encoding="utf-8" standalone="yes"?><Relationships xmlns="http://schemas.openxmlformats.org/package/2006/relationships"><Relationship Id="rId1" Type="http://schemas.openxmlformats.org/officeDocument/2006/relationships/comments" Target="../comments7.xml" /><Relationship Id="rId2" Type="http://schemas.openxmlformats.org/officeDocument/2006/relationships/vmlDrawing" Target="../drawings/vmlDrawing6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>
      <selection pane="topLeft" activeCell="F11" sqref="F11"/>
    </sheetView>
  </sheetViews>
  <sheetFormatPr defaultColWidth="9.142857142857142" defaultRowHeight="14.25" customHeight="1"/>
  <sheetData>
    <row r="1" spans="1:1" ht="14.25" customHeight="1">
      <c r="A1" t="s">
        <v>64</v>
      </c>
    </row>
  </sheetData>
  <printOptions/>
  <pageMargins left="0.7" right="0.7" top="0.75" bottom="0.75" header="0.3" footer="0.3"/>
  <pageSetup horizontalDpi="600" verticalDpi="6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8"/>
  <sheetViews>
    <sheetView workbookViewId="0" topLeftCell="D10">
      <pane ySplit="2" topLeftCell="A12" activePane="bottomLeft" state="frozen"/>
      <selection pane="topLeft" activeCell="A10" sqref="A10"/>
      <selection pane="bottomLeft" activeCell="U12" sqref="U12"/>
    </sheetView>
  </sheetViews>
  <sheetFormatPr defaultColWidth="8.571428571428571" defaultRowHeight="11.65" customHeight="1"/>
  <cols>
    <col min="1" max="1" width="17" style="2" customWidth="1"/>
    <col min="2" max="2" width="18" style="2" customWidth="1"/>
    <col min="3" max="3" width="11" style="2" customWidth="1"/>
    <col min="4" max="4" width="13" style="39" customWidth="1"/>
    <col min="5" max="7" width="8" style="26" customWidth="1"/>
    <col min="8" max="8" width="6" style="19" customWidth="1"/>
    <col min="9" max="9" width="7" style="19" customWidth="1"/>
    <col min="10" max="10" width="7" style="39" customWidth="1"/>
    <col min="11" max="11" width="10" style="19" customWidth="1"/>
    <col min="12" max="12" width="7" style="35" customWidth="1"/>
    <col min="13" max="13" width="11" style="39" customWidth="1"/>
    <col min="14" max="14" width="7" style="57" customWidth="1"/>
    <col min="15" max="15" width="12" style="51" customWidth="1"/>
    <col min="16" max="16" width="10" style="35" customWidth="1"/>
    <col min="17" max="17" width="10" style="39" customWidth="1"/>
    <col min="18" max="18" width="9" style="39" customWidth="1"/>
    <col min="19" max="19" width="8" style="35" customWidth="1"/>
    <col min="20" max="20" width="10" style="39" customWidth="1"/>
    <col min="21" max="21" width="11" style="39" customWidth="1"/>
    <col min="22" max="22" width="8" style="2" customWidth="1"/>
    <col min="23" max="23" width="8.142857142857142" style="2" customWidth="1"/>
    <col min="24" max="24" width="8.285714285714286" style="2" customWidth="1"/>
    <col min="25" max="25" width="8.428571428571429" style="2" customWidth="1"/>
    <col min="26" max="16384" width="8.571428571428571" style="2" customWidth="1"/>
  </cols>
  <sheetData>
    <row r="1" spans="5:7" ht="41.1" customHeight="1" hidden="1">
      <c r="E1" s="24" t="s">
        <v>3</v>
      </c>
      <c r="F1" s="25">
        <v>140000</v>
      </c>
    </row>
    <row r="2" spans="1:4" ht="14.25" customHeight="1" hidden="1">
      <c r="A2" s="2" t="s">
        <v>101</v>
      </c>
      <c r="B2" s="2" t="s">
        <v>98</v>
      </c>
      <c r="C2" s="2" t="s">
        <v>17</v>
      </c>
    </row>
    <row r="3" spans="1:4" ht="14.25" customHeight="1" hidden="1">
      <c r="A3" s="2" t="s">
        <v>97</v>
      </c>
      <c r="B3" s="2" t="s">
        <v>5</v>
      </c>
      <c r="C3" s="2" t="s">
        <v>21</v>
      </c>
    </row>
    <row r="4" spans="1:4" ht="14.25" customHeight="1" hidden="1">
      <c r="A4" s="2" t="s">
        <v>77</v>
      </c>
      <c r="B4" s="2" t="s">
        <v>23</v>
      </c>
      <c r="C4" s="2" t="s">
        <v>111</v>
      </c>
    </row>
    <row r="5" spans="1:4" ht="14.25" customHeight="1" hidden="1">
      <c r="A5" s="2" t="s">
        <v>90</v>
      </c>
      <c r="B5" s="2" t="s">
        <v>52</v>
      </c>
      <c r="C5" s="2" t="s">
        <v>44</v>
      </c>
    </row>
    <row r="6" spans="1:22" ht="14.25" customHeight="1" hidden="1"/>
    <row r="7" spans="1:22" ht="14.25" customHeight="1" hidden="1"/>
    <row r="8" spans="1:22" ht="14.25" customHeight="1" hidden="1"/>
    <row r="9" spans="1:22" ht="14.25" customHeight="1" hidden="1"/>
    <row r="10" spans="1:22" ht="25.5" customHeight="1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68</v>
      </c>
      <c r="T10" s="162"/>
      <c r="U10" s="163"/>
    </row>
    <row r="11" spans="1:22" ht="11.65" customHeight="1">
      <c r="A11" s="3" t="s">
        <v>38</v>
      </c>
      <c r="B11" s="3" t="s">
        <v>19</v>
      </c>
      <c r="C11" s="4" t="s">
        <v>20</v>
      </c>
      <c r="D11" s="20" t="s">
        <v>6</v>
      </c>
      <c r="E11" s="48" t="s">
        <v>10</v>
      </c>
      <c r="F11" s="48" t="s">
        <v>114</v>
      </c>
      <c r="G11" s="48" t="s">
        <v>73</v>
      </c>
      <c r="H11" s="33" t="s">
        <v>104</v>
      </c>
      <c r="I11" s="20" t="s">
        <v>100</v>
      </c>
      <c r="J11" s="20" t="s">
        <v>67</v>
      </c>
      <c r="K11" s="20" t="s">
        <v>105</v>
      </c>
      <c r="L11" s="36" t="s">
        <v>108</v>
      </c>
      <c r="M11" s="38" t="s">
        <v>43</v>
      </c>
      <c r="N11" s="58" t="s">
        <v>63</v>
      </c>
      <c r="O11" s="49" t="s">
        <v>48</v>
      </c>
      <c r="P11" s="49" t="s">
        <v>60</v>
      </c>
      <c r="Q11" s="38" t="s">
        <v>112</v>
      </c>
      <c r="R11" s="38" t="s">
        <v>106</v>
      </c>
      <c r="S11" s="49" t="s">
        <v>86</v>
      </c>
      <c r="T11" s="38" t="s">
        <v>12</v>
      </c>
      <c r="U11" s="38" t="s">
        <v>99</v>
      </c>
    </row>
    <row r="12" spans="1:22" ht="11.65" customHeight="1">
      <c r="A12" s="5"/>
      <c r="B12" s="6" t="s">
        <v>24</v>
      </c>
      <c r="C12" s="5">
        <f ca="1">IFERROR(VLOOKUP(B12,DATA!$B$12:$D$13,3,0),0)</f>
        <v>7.95</v>
      </c>
      <c r="D12" s="44">
        <v>130000</v>
      </c>
      <c r="E12" s="27">
        <v>25</v>
      </c>
      <c r="F12" s="27">
        <v>30</v>
      </c>
      <c r="G12" s="27">
        <v>19</v>
      </c>
      <c r="H12" s="21">
        <v>10</v>
      </c>
      <c r="I12" s="21"/>
      <c r="J12" s="44"/>
      <c r="K12" s="21"/>
      <c r="L12" s="8">
        <f ca="1">IFERROR(IF(AND(OR(LEFT(B12,FIND(" ",B12,1)-1)="Đồng",LEFT(B12,FIND(" ",B12,1)-1)="Nhôm"),E12&gt;(F12/10)),5%,0),"")</f>
        <v>0</v>
      </c>
      <c r="M12" s="40">
        <f ca="1">E12*F12*G12*H12</f>
        <v>142500</v>
      </c>
      <c r="N12" s="118">
        <f ca="1">IFERROR((E12*F12*G12*H12/10^6),0)*C12</f>
        <v>1.1328749999999999</v>
      </c>
      <c r="O12" s="7">
        <f ca="1">IFERROR(((E12+5)*(F12+5)*(G12+5))/(E12*F12*G12)-1,"")</f>
        <v>0.7684210526315789</v>
      </c>
      <c r="P12" s="8">
        <v>0.035</v>
      </c>
      <c r="Q12" s="40">
        <f ca="1">IFERROR(IF(H12&gt;50,E12*(H12*G12+(H12+2)*F12),IF(H12&gt;10,E12*(2*H12*G12+(H12+1)*F12),2*H12*E12*(F12+G12)))*1.2/N12,0)</f>
        <v>25951.67163190997</v>
      </c>
      <c r="R12" s="40">
        <f ca="1">IFERROR((D12*(1+O12+P12)+Q12+(($J$12+$K$12)/$N$62))/(1-L12-(I12*0.007/30)),"")</f>
        <v>260396.40847401522</v>
      </c>
      <c r="S12" s="7">
        <v>0.12</v>
      </c>
      <c r="T12" s="56">
        <f ca="1">IFERROR(ROUND(R12/(1-S12),0),"")</f>
        <v>295905</v>
      </c>
      <c r="U12" s="40">
        <f ca="1">IFERROR(ROUND(T12*N12,0),"")</f>
        <v>335223</v>
      </c>
      <c r="V12" s="99"/>
    </row>
    <row r="13" spans="1:22" ht="11.65" customHeight="1">
      <c r="A13" s="9"/>
      <c r="B13" s="10"/>
      <c r="C13" s="9">
        <f ca="1">IFERROR(VLOOKUP(B13,DATA!$B$12:$D$13,3,0),0)</f>
        <v>0</v>
      </c>
      <c r="D13" s="45"/>
      <c r="E13" s="28"/>
      <c r="F13" s="28"/>
      <c r="G13" s="28"/>
      <c r="H13" s="22"/>
      <c r="I13" s="22"/>
      <c r="J13" s="45"/>
      <c r="K13" s="22"/>
      <c r="L13" s="12" t="str">
        <f ca="1">IFERROR(IF(AND(OR(LEFT(B13,FIND(" ",B13,1)-1)="Đồng",LEFT(B13,FIND(" ",B13,1)-1)="Nhôm"),E13&gt;(F13/10)),5%,0),"")</f>
      </c>
      <c r="M13" s="41">
        <f ca="1">E13*F13*G13*H13</f>
        <v>0</v>
      </c>
      <c r="N13" s="118">
        <f ca="1">IFERROR((E13*F13*G13*H13/10^6),0)*C13</f>
        <v>0</v>
      </c>
      <c r="O13" s="11" t="str">
        <f ca="1">IFERROR(((E13+5)*(F13+5)*(G13+5))/(E13*F13*G13)-1,"")</f>
      </c>
      <c r="P13" s="12">
        <v>0.035</v>
      </c>
      <c r="Q13" s="41">
        <f ca="1">IFERROR(IF(H13&gt;50,E13*(H13*G13+(H13+2)*F13),IF(H13&gt;10,E13*(2*H13*G13+(H13+1)*F13),2*H13*E13*(F13+G13)))*1.2/N13,0)</f>
        <v>0</v>
      </c>
      <c r="R13" s="41" t="str">
        <f ca="1">IFERROR((D13*(1+O13+P13)+Q13+(($J$12+$K$12)/$N$62))/(1-L13-(I13*0.007/30)),"")</f>
      </c>
      <c r="S13" s="11"/>
      <c r="T13" s="56" t="str">
        <f ca="1">IFERROR(ROUND(R13/(1-S13),0),"")</f>
      </c>
      <c r="U13" s="41" t="str">
        <f ca="1">IFERROR(ROUND(T13*N13,0),"")</f>
      </c>
      <c r="V13" s="99"/>
    </row>
    <row r="14" spans="1:22" ht="11.65" customHeight="1">
      <c r="A14" s="9"/>
      <c r="B14" s="10"/>
      <c r="C14" s="9">
        <f ca="1">IFERROR(VLOOKUP(B14,DATA!$B$12:$D$13,3,0),0)</f>
        <v>0</v>
      </c>
      <c r="D14" s="45"/>
      <c r="E14" s="28"/>
      <c r="F14" s="28"/>
      <c r="G14" s="28"/>
      <c r="H14" s="22"/>
      <c r="I14" s="22"/>
      <c r="J14" s="45"/>
      <c r="K14" s="22"/>
      <c r="L14" s="12" t="str">
        <f ca="1">IFERROR(IF(AND(OR(LEFT(B14,FIND(" ",B14,1)-1)="Đồng",LEFT(B14,FIND(" ",B14,1)-1)="Nhôm"),E14&gt;(F14/10)),5%,0),"")</f>
      </c>
      <c r="M14" s="41">
        <f ca="1">E14*F14*G14*H14</f>
        <v>0</v>
      </c>
      <c r="N14" s="118">
        <f ca="1">IFERROR((E14*F14*G14*H14/10^6),0)*C14</f>
        <v>0</v>
      </c>
      <c r="O14" s="11" t="str">
        <f ca="1">IFERROR(((E14+5)*(F14+5)*(G14+5))/(E14*F14*G14)-1,"")</f>
      </c>
      <c r="P14" s="12">
        <v>0.035</v>
      </c>
      <c r="Q14" s="41">
        <f ca="1">IFERROR(IF(H14&gt;50,E14*(H14*G14+(H14+2)*F14),IF(H14&gt;10,E14*(2*H14*G14+(H14+1)*F14),2*H14*E14*(F14+G14)))*1.2/N14,0)</f>
        <v>0</v>
      </c>
      <c r="R14" s="41" t="str">
        <f ca="1">IFERROR((D14*(1+O14+P14)+Q14+(($J$12+$K$12)/$N$62))/(1-L14-(I14*0.007/30)),"")</f>
      </c>
      <c r="S14" s="11"/>
      <c r="T14" s="56" t="str">
        <f ca="1">IFERROR(ROUND(R14/(1-S14),0),"")</f>
      </c>
      <c r="U14" s="41" t="str">
        <f ca="1">IFERROR(ROUND(T14*N14,0),"")</f>
      </c>
      <c r="V14" s="99"/>
    </row>
    <row r="15" spans="1:22" ht="11.65" customHeight="1">
      <c r="A15" s="9"/>
      <c r="B15" s="10"/>
      <c r="C15" s="9">
        <f ca="1">IFERROR(VLOOKUP(B15,DATA!$B$12:$D$13,3,0),0)</f>
        <v>0</v>
      </c>
      <c r="D15" s="45"/>
      <c r="E15" s="28"/>
      <c r="F15" s="28"/>
      <c r="G15" s="28"/>
      <c r="H15" s="22"/>
      <c r="I15" s="22"/>
      <c r="J15" s="45"/>
      <c r="K15" s="22"/>
      <c r="L15" s="12" t="str">
        <f ca="1">IFERROR(IF(AND(OR(LEFT(B15,FIND(" ",B15,1)-1)="Đồng",LEFT(B15,FIND(" ",B15,1)-1)="Nhôm"),E15&gt;(F15/10)),5%,0),"")</f>
      </c>
      <c r="M15" s="41">
        <f ca="1">E15*F15*G15*H15</f>
        <v>0</v>
      </c>
      <c r="N15" s="118">
        <f ca="1">IFERROR((E15*F15*G15*H15/10^6),0)*C15</f>
        <v>0</v>
      </c>
      <c r="O15" s="11" t="str">
        <f ca="1">IFERROR(((E15+5)*(F15+5)*(G15+5))/(E15*F15*G15)-1,"")</f>
      </c>
      <c r="P15" s="12">
        <v>0.035</v>
      </c>
      <c r="Q15" s="41">
        <f ca="1">IFERROR(IF(H15&gt;50,E15*(H15*G15+(H15+2)*F15),IF(H15&gt;10,E15*(2*H15*G15+(H15+1)*F15),2*H15*E15*(F15+G15)))*1.2/N15,0)</f>
        <v>0</v>
      </c>
      <c r="R15" s="41" t="str">
        <f ca="1">IFERROR((D15*(1+O15+P15)+Q15+(($J$12+$K$12)/$N$62))/(1-L15-(I15*0.007/30)),"")</f>
      </c>
      <c r="S15" s="11"/>
      <c r="T15" s="56" t="str">
        <f ca="1">IFERROR(ROUND(R15/(1-S15),0),"")</f>
      </c>
      <c r="U15" s="41" t="str">
        <f ca="1">IFERROR(ROUND(T15*N15,0),"")</f>
      </c>
      <c r="V15" s="99"/>
    </row>
    <row r="16" spans="1:22" ht="11.65" customHeight="1">
      <c r="A16" s="9"/>
      <c r="B16" s="10"/>
      <c r="C16" s="9">
        <f ca="1">IFERROR(VLOOKUP(B16,DATA!$B$12:$D$13,3,0),0)</f>
        <v>0</v>
      </c>
      <c r="D16" s="45"/>
      <c r="E16" s="28"/>
      <c r="F16" s="28"/>
      <c r="G16" s="28"/>
      <c r="H16" s="22"/>
      <c r="I16" s="22"/>
      <c r="J16" s="45"/>
      <c r="K16" s="22"/>
      <c r="L16" s="12" t="str">
        <f ca="1">IFERROR(IF(AND(OR(LEFT(B16,FIND(" ",B16,1)-1)="Đồng",LEFT(B16,FIND(" ",B16,1)-1)="Nhôm"),E16&gt;(F16/10)),5%,0),"")</f>
      </c>
      <c r="M16" s="41">
        <f ca="1">E16*F16*G16*H16</f>
        <v>0</v>
      </c>
      <c r="N16" s="118">
        <f ca="1">IFERROR((E16*F16*G16*H16/10^6),0)*C16</f>
        <v>0</v>
      </c>
      <c r="O16" s="11" t="str">
        <f ca="1">IFERROR(((E16+5)*(F16+5)*(G16+5))/(E16*F16*G16)-1,"")</f>
      </c>
      <c r="P16" s="12">
        <v>0.035</v>
      </c>
      <c r="Q16" s="41">
        <f ca="1">IFERROR(IF(H16&gt;50,E16*(H16*G16+(H16+2)*F16),IF(H16&gt;10,E16*(2*H16*G16+(H16+1)*F16),2*H16*E16*(F16+G16)))*1.2/N16,0)</f>
        <v>0</v>
      </c>
      <c r="R16" s="41" t="str">
        <f ca="1">IFERROR((D16*(1+O16+P16)+Q16+(($J$12+$K$12)/$N$62))/(1-L16-(I16*0.007/30)),"")</f>
      </c>
      <c r="S16" s="11"/>
      <c r="T16" s="56" t="str">
        <f ca="1">IFERROR(ROUND(R16/(1-S16),0),"")</f>
      </c>
      <c r="U16" s="41" t="str">
        <f ca="1">IFERROR(ROUND(T16*N16,0),"")</f>
      </c>
      <c r="V16" s="99"/>
    </row>
    <row r="17" spans="1:22" ht="11.65" customHeight="1">
      <c r="A17" s="9"/>
      <c r="B17" s="10"/>
      <c r="C17" s="9">
        <f ca="1">IFERROR(VLOOKUP(B17,DATA!$B$12:$D$13,3,0),0)</f>
        <v>0</v>
      </c>
      <c r="D17" s="45"/>
      <c r="E17" s="28"/>
      <c r="F17" s="28"/>
      <c r="G17" s="28"/>
      <c r="H17" s="22"/>
      <c r="I17" s="22"/>
      <c r="J17" s="45"/>
      <c r="K17" s="22"/>
      <c r="L17" s="12" t="str">
        <f ca="1">IFERROR(IF(AND(OR(LEFT(B17,FIND(" ",B17,1)-1)="Đồng",LEFT(B17,FIND(" ",B17,1)-1)="Nhôm"),E17&gt;(F17/10)),5%,0),"")</f>
      </c>
      <c r="M17" s="41">
        <f ca="1">E17*F17*G17*H17</f>
        <v>0</v>
      </c>
      <c r="N17" s="118">
        <f ca="1">IFERROR((E17*F17*G17*H17/10^6),0)*C17</f>
        <v>0</v>
      </c>
      <c r="O17" s="11" t="str">
        <f ca="1">IFERROR(((E17+5)*(F17+5)*(G17+5))/(E17*F17*G17)-1,"")</f>
      </c>
      <c r="P17" s="12">
        <v>0.035</v>
      </c>
      <c r="Q17" s="41">
        <f ca="1">IFERROR(IF(H17&gt;50,E17*(H17*G17+(H17+2)*F17),IF(H17&gt;10,E17*(2*H17*G17+(H17+1)*F17),2*H17*E17*(F17+G17)))*1.2/N17,0)</f>
        <v>0</v>
      </c>
      <c r="R17" s="41" t="str">
        <f ca="1">IFERROR((D17*(1+O17+P17)+Q17+(($J$12+$K$12)/$N$62))/(1-L17-(I17*0.007/30)),"")</f>
      </c>
      <c r="S17" s="11"/>
      <c r="T17" s="56" t="str">
        <f ca="1">IFERROR(ROUND(R17/(1-S17),0),"")</f>
      </c>
      <c r="U17" s="41" t="str">
        <f ca="1">IFERROR(ROUND(T17*N17,0),"")</f>
      </c>
      <c r="V17" s="99"/>
    </row>
    <row r="18" spans="1:22" ht="11.65" customHeight="1">
      <c r="A18" s="9"/>
      <c r="B18" s="10"/>
      <c r="C18" s="9">
        <f ca="1">IFERROR(VLOOKUP(B18,DATA!$B$12:$D$13,3,0),0)</f>
        <v>0</v>
      </c>
      <c r="D18" s="45"/>
      <c r="E18" s="28"/>
      <c r="F18" s="28"/>
      <c r="G18" s="28"/>
      <c r="H18" s="22"/>
      <c r="I18" s="22"/>
      <c r="J18" s="45"/>
      <c r="K18" s="22"/>
      <c r="L18" s="12" t="str">
        <f ca="1">IFERROR(IF(AND(OR(LEFT(B18,FIND(" ",B18,1)-1)="Đồng",LEFT(B18,FIND(" ",B18,1)-1)="Nhôm"),E18&gt;(F18/10)),5%,0),"")</f>
      </c>
      <c r="M18" s="41">
        <f ca="1">E18*F18*G18*H18</f>
        <v>0</v>
      </c>
      <c r="N18" s="118">
        <f ca="1">IFERROR((E18*F18*G18*H18/10^6),0)*C18</f>
        <v>0</v>
      </c>
      <c r="O18" s="11" t="str">
        <f ca="1">IFERROR(((E18+5)*(F18+5)*(G18+5))/(E18*F18*G18)-1,"")</f>
      </c>
      <c r="P18" s="12">
        <v>0.035</v>
      </c>
      <c r="Q18" s="41">
        <f ca="1">IFERROR(IF(H18&gt;50,E18*(H18*G18+(H18+2)*F18),IF(H18&gt;10,E18*(2*H18*G18+(H18+1)*F18),2*H18*E18*(F18+G18)))*1.2/N18,0)</f>
        <v>0</v>
      </c>
      <c r="R18" s="41" t="str">
        <f ca="1">IFERROR((D18*(1+O18+P18)+Q18+(($J$12+$K$12)/$N$62))/(1-L18-(I18*0.007/30)),"")</f>
      </c>
      <c r="S18" s="11"/>
      <c r="T18" s="56" t="str">
        <f ca="1">IFERROR(ROUND(R18/(1-S18),0),"")</f>
      </c>
      <c r="U18" s="41" t="str">
        <f ca="1">IFERROR(ROUND(T18*N18,0),"")</f>
      </c>
      <c r="V18" s="99"/>
    </row>
    <row r="19" spans="1:22" ht="11.65" customHeight="1">
      <c r="A19" s="9"/>
      <c r="B19" s="10"/>
      <c r="C19" s="9">
        <f ca="1">IFERROR(VLOOKUP(B19,DATA!$B$12:$D$13,3,0),0)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ca="1">IFERROR(IF(AND(OR(LEFT(B19,FIND(" ",B19,1)-1)="Đồng",LEFT(B19,FIND(" ",B19,1)-1)="Nhôm"),E19&gt;(F19/10)),5%,0),"")</f>
      </c>
      <c r="M19" s="41">
        <f ca="1">E19*F19*G19*H19</f>
        <v>0</v>
      </c>
      <c r="N19" s="118">
        <f ca="1">IFERROR((E19*F19*G19*H19/10^6),0)*C19</f>
        <v>0</v>
      </c>
      <c r="O19" s="11" t="str">
        <f ca="1">IFERROR(((E19+5)*(F19+5)*(G19+5))/(E19*F19*G19)-1,"")</f>
      </c>
      <c r="P19" s="12">
        <v>0.035</v>
      </c>
      <c r="Q19" s="41">
        <f ca="1">IFERROR(IF(H19&gt;50,E19*(H19*G19+(H19+2)*F19),IF(H19&gt;10,E19*(2*H19*G19+(H19+1)*F19),2*H19*E19*(F19+G19)))*1.2/N19,0)</f>
        <v>0</v>
      </c>
      <c r="R19" s="41" t="str">
        <f ca="1">IFERROR((D19*(1+O19+P19)+Q19+(($J$12+$K$12)/$N$62))/(1-L19-(I19*0.007/30)),"")</f>
      </c>
      <c r="S19" s="11"/>
      <c r="T19" s="56" t="str">
        <f ca="1">IFERROR(ROUND(R19/(1-S19),0),"")</f>
      </c>
      <c r="U19" s="41" t="str">
        <f ca="1">IFERROR(ROUND(T19*N19,0),"")</f>
      </c>
    </row>
    <row r="20" spans="1:22" ht="11.65" customHeight="1">
      <c r="A20" s="9"/>
      <c r="B20" s="10"/>
      <c r="C20" s="9">
        <f ca="1">IFERROR(VLOOKUP(B20,DATA!$B$12:$D$13,3,0),0)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ca="1">IFERROR(IF(AND(OR(LEFT(B20,FIND(" ",B20,1)-1)="Đồng",LEFT(B20,FIND(" ",B20,1)-1)="Nhôm"),E20&gt;(F20/10)),5%,0),"")</f>
      </c>
      <c r="M20" s="41">
        <f ca="1">E20*F20*G20*H20</f>
        <v>0</v>
      </c>
      <c r="N20" s="118">
        <f ca="1">IFERROR((E20*F20*G20*H20/10^6),0)*C20</f>
        <v>0</v>
      </c>
      <c r="O20" s="11" t="str">
        <f ca="1">IFERROR(((E20+5)*(F20+5)*(G20+5))/(E20*F20*G20)-1,"")</f>
      </c>
      <c r="P20" s="12">
        <v>0.035</v>
      </c>
      <c r="Q20" s="41">
        <f ca="1">IFERROR(IF(H20&gt;50,E20*(H20*G20+(H20+2)*F20),IF(H20&gt;10,E20*(2*H20*G20+(H20+1)*F20),2*H20*E20*(F20+G20)))*1.2/N20,0)</f>
        <v>0</v>
      </c>
      <c r="R20" s="41" t="str">
        <f ca="1">IFERROR((D20*(1+O20+P20)+Q20+(($J$12+$K$12)/$N$62))/(1-L20-(I20*0.007/30)),"")</f>
      </c>
      <c r="S20" s="11"/>
      <c r="T20" s="56" t="str">
        <f ca="1">IFERROR(ROUND(R20/(1-S20),0),"")</f>
      </c>
      <c r="U20" s="41" t="str">
        <f ca="1">IFERROR(ROUND(T20*N20,0),"")</f>
      </c>
    </row>
    <row r="21" spans="1:22" ht="11.65" customHeight="1">
      <c r="A21" s="9"/>
      <c r="B21" s="10"/>
      <c r="C21" s="9">
        <f ca="1">IFERROR(VLOOKUP(B21,DATA!$B$12:$D$13,3,0),0)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ca="1">IFERROR(IF(AND(OR(LEFT(B21,FIND(" ",B21,1)-1)="Đồng",LEFT(B21,FIND(" ",B21,1)-1)="Nhôm"),E21&gt;(F21/10)),5%,0),"")</f>
      </c>
      <c r="M21" s="41">
        <f ca="1">E21*F21*G21*H21</f>
        <v>0</v>
      </c>
      <c r="N21" s="118">
        <f ca="1">IFERROR((E21*F21*G21*H21/10^6),0)*C21</f>
        <v>0</v>
      </c>
      <c r="O21" s="11" t="str">
        <f ca="1">IFERROR(((E21+5)*(F21+5)*(G21+5))/(E21*F21*G21)-1,"")</f>
      </c>
      <c r="P21" s="12">
        <v>0.035</v>
      </c>
      <c r="Q21" s="41">
        <f ca="1">IFERROR(IF(H21&gt;50,E21*(H21*G21+(H21+2)*F21),IF(H21&gt;10,E21*(2*H21*G21+(H21+1)*F21),2*H21*E21*(F21+G21)))*1.2/N21,0)</f>
        <v>0</v>
      </c>
      <c r="R21" s="41" t="str">
        <f ca="1">IFERROR((D21*(1+O21+P21)+Q21+(($J$12+$K$12)/$N$62))/(1-L21-(I21*0.007/30)),"")</f>
      </c>
      <c r="S21" s="11"/>
      <c r="T21" s="56" t="str">
        <f ca="1">IFERROR(ROUND(R21/(1-S21),0),"")</f>
      </c>
      <c r="U21" s="41" t="str">
        <f ca="1">IFERROR(ROUND(T21*N21,0),"")</f>
      </c>
    </row>
    <row r="22" spans="1:22" ht="11.65" customHeight="1">
      <c r="A22" s="9"/>
      <c r="B22" s="10"/>
      <c r="C22" s="9">
        <f ca="1">IFERROR(VLOOKUP(B22,DATA!$B$12:$D$13,3,0),0)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ca="1">IFERROR(IF(AND(OR(LEFT(B22,FIND(" ",B22,1)-1)="Đồng",LEFT(B22,FIND(" ",B22,1)-1)="Nhôm"),E22&gt;(F22/10)),5%,0),"")</f>
      </c>
      <c r="M22" s="41">
        <f ca="1">E22*F22*G22*H22</f>
        <v>0</v>
      </c>
      <c r="N22" s="118">
        <f ca="1">IFERROR((E22*F22*G22*H22/10^6),0)*C22</f>
        <v>0</v>
      </c>
      <c r="O22" s="11" t="str">
        <f ca="1">IFERROR(((E22+5)*(F22+5)*(G22+5))/(E22*F22*G22)-1,"")</f>
      </c>
      <c r="P22" s="12">
        <v>0.035</v>
      </c>
      <c r="Q22" s="41">
        <f ca="1">IFERROR(IF(H22&gt;50,E22*(H22*G22+(H22+2)*F22),IF(H22&gt;10,E22*(2*H22*G22+(H22+1)*F22),2*H22*E22*(F22+G22)))*1.2/N22,0)</f>
        <v>0</v>
      </c>
      <c r="R22" s="41" t="str">
        <f ca="1">IFERROR((D22*(1+O22+P22)+Q22+(($J$12+$K$12)/$N$62))/(1-L22-(I22*0.007/30)),"")</f>
      </c>
      <c r="S22" s="11"/>
      <c r="T22" s="56" t="str">
        <f ca="1">IFERROR(ROUND(R22/(1-S22),0),"")</f>
      </c>
      <c r="U22" s="41" t="str">
        <f ca="1">IFERROR(ROUND(T22*N22,0),"")</f>
      </c>
    </row>
    <row r="23" spans="1:22" ht="11.65" customHeight="1">
      <c r="A23" s="9"/>
      <c r="B23" s="10"/>
      <c r="C23" s="9">
        <f ca="1">IFERROR(VLOOKUP(B23,DATA!$B$12:$D$13,3,0),0)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ca="1">IFERROR(IF(AND(OR(LEFT(B23,FIND(" ",B23,1)-1)="Đồng",LEFT(B23,FIND(" ",B23,1)-1)="Nhôm"),E23&gt;(F23/10)),5%,0),"")</f>
      </c>
      <c r="M23" s="41">
        <f ca="1">E23*F23*G23*H23</f>
        <v>0</v>
      </c>
      <c r="N23" s="118">
        <f ca="1">IFERROR((E23*F23*G23*H23/10^6),0)*C23</f>
        <v>0</v>
      </c>
      <c r="O23" s="11" t="str">
        <f ca="1">IFERROR(((E23+5)*(F23+5)*(G23+5))/(E23*F23*G23)-1,"")</f>
      </c>
      <c r="P23" s="12">
        <v>0.035</v>
      </c>
      <c r="Q23" s="41">
        <f ca="1">IFERROR(IF(H23&gt;50,E23*(H23*G23+(H23+2)*F23),IF(H23&gt;10,E23*(2*H23*G23+(H23+1)*F23),2*H23*E23*(F23+G23)))*1.2/N23,0)</f>
        <v>0</v>
      </c>
      <c r="R23" s="41" t="str">
        <f ca="1">IFERROR((D23*(1+O23+P23)+Q23+(($J$12+$K$12)/$N$62))/(1-L23-(I23*0.007/30)),"")</f>
      </c>
      <c r="S23" s="11"/>
      <c r="T23" s="56" t="str">
        <f ca="1">IFERROR(ROUND(R23/(1-S23),0),"")</f>
      </c>
      <c r="U23" s="41" t="str">
        <f ca="1">IFERROR(ROUND(T23*N23,0),"")</f>
      </c>
    </row>
    <row r="24" spans="1:22" ht="11.65" customHeight="1">
      <c r="A24" s="9"/>
      <c r="B24" s="10"/>
      <c r="C24" s="9">
        <f ca="1">IFERROR(VLOOKUP(B24,DATA!$B$12:$D$13,3,0),0)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ca="1">IFERROR(IF(AND(OR(LEFT(B24,FIND(" ",B24,1)-1)="Đồng",LEFT(B24,FIND(" ",B24,1)-1)="Nhôm"),E24&gt;(F24/10)),5%,0),"")</f>
      </c>
      <c r="M24" s="41">
        <f ca="1">E24*F24*G24*H24</f>
        <v>0</v>
      </c>
      <c r="N24" s="118">
        <f ca="1">IFERROR((E24*F24*G24*H24/10^6),0)*C24</f>
        <v>0</v>
      </c>
      <c r="O24" s="11" t="str">
        <f ca="1">IFERROR(((E24+5)*(F24+5)*(G24+5))/(E24*F24*G24)-1,"")</f>
      </c>
      <c r="P24" s="12">
        <v>0.035</v>
      </c>
      <c r="Q24" s="41">
        <f ca="1">IFERROR(IF(H24&gt;50,E24*(H24*G24+(H24+2)*F24),IF(H24&gt;10,E24*(2*H24*G24+(H24+1)*F24),2*H24*E24*(F24+G24)))*1.2/N24,0)</f>
        <v>0</v>
      </c>
      <c r="R24" s="41" t="str">
        <f ca="1">IFERROR((D24*(1+O24+P24)+Q24+(($J$12+$K$12)/$N$62))/(1-L24-(I24*0.007/30)),"")</f>
      </c>
      <c r="S24" s="11"/>
      <c r="T24" s="56" t="str">
        <f ca="1">IFERROR(ROUND(R24/(1-S24),0),"")</f>
      </c>
      <c r="U24" s="41" t="str">
        <f ca="1">IFERROR(ROUND(T24*N24,0),"")</f>
      </c>
    </row>
    <row r="25" spans="1:22" ht="11.65" customHeight="1">
      <c r="A25" s="9"/>
      <c r="B25" s="10"/>
      <c r="C25" s="9">
        <f ca="1">IFERROR(VLOOKUP(B25,DATA!$B$12:$D$13,3,0),0)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ca="1">IFERROR(IF(AND(OR(LEFT(B25,FIND(" ",B25,1)-1)="Đồng",LEFT(B25,FIND(" ",B25,1)-1)="Nhôm"),E25&gt;(F25/10)),5%,0),"")</f>
      </c>
      <c r="M25" s="41">
        <f ca="1">E25*F25*G25*H25</f>
        <v>0</v>
      </c>
      <c r="N25" s="118">
        <f ca="1">IFERROR((E25*F25*G25*H25/10^6),0)*C25</f>
        <v>0</v>
      </c>
      <c r="O25" s="11" t="str">
        <f ca="1">IFERROR(((E25+5)*(F25+5)*(G25+5))/(E25*F25*G25)-1,"")</f>
      </c>
      <c r="P25" s="12">
        <v>0.035</v>
      </c>
      <c r="Q25" s="41">
        <f ca="1">IFERROR(IF(H25&gt;50,E25*(H25*G25+(H25+2)*F25),IF(H25&gt;10,E25*(2*H25*G25+(H25+1)*F25),2*H25*E25*(F25+G25)))*1.2/N25,0)</f>
        <v>0</v>
      </c>
      <c r="R25" s="41" t="str">
        <f ca="1">IFERROR((D25*(1+O25+P25)+Q25+(($J$12+$K$12)/$N$62))/(1-L25-(I25*0.007/30)),"")</f>
      </c>
      <c r="S25" s="11"/>
      <c r="T25" s="56" t="str">
        <f ca="1">IFERROR(ROUND(R25/(1-S25),0),"")</f>
      </c>
      <c r="U25" s="41" t="str">
        <f ca="1">IFERROR(ROUND(T25*N25,0),"")</f>
      </c>
    </row>
    <row r="26" spans="1:22" ht="11.65" customHeight="1">
      <c r="A26" s="9"/>
      <c r="B26" s="10"/>
      <c r="C26" s="9">
        <f ca="1">IFERROR(VLOOKUP(B26,DATA!$B$12:$D$13,3,0),0)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ca="1">IFERROR(IF(AND(OR(LEFT(B26,FIND(" ",B26,1)-1)="Đồng",LEFT(B26,FIND(" ",B26,1)-1)="Nhôm"),E26&gt;(F26/10)),5%,0),"")</f>
      </c>
      <c r="M26" s="41">
        <f ca="1">E26*F26*G26*H26</f>
        <v>0</v>
      </c>
      <c r="N26" s="118">
        <f ca="1">IFERROR((E26*F26*G26*H26/10^6),0)*C26</f>
        <v>0</v>
      </c>
      <c r="O26" s="11" t="str">
        <f ca="1">IFERROR(((E26+5)*(F26+5)*(G26+5))/(E26*F26*G26)-1,"")</f>
      </c>
      <c r="P26" s="12">
        <v>0.035</v>
      </c>
      <c r="Q26" s="41">
        <f ca="1">IFERROR(IF(H26&gt;50,E26*(H26*G26+(H26+2)*F26),IF(H26&gt;10,E26*(2*H26*G26+(H26+1)*F26),2*H26*E26*(F26+G26)))*1.2/N26,0)</f>
        <v>0</v>
      </c>
      <c r="R26" s="41" t="str">
        <f ca="1">IFERROR((D26*(1+O26+P26)+Q26+(($J$12+$K$12)/$N$62))/(1-L26-(I26*0.007/30)),"")</f>
      </c>
      <c r="S26" s="11"/>
      <c r="T26" s="56" t="str">
        <f ca="1">IFERROR(ROUND(R26/(1-S26),0),"")</f>
      </c>
      <c r="U26" s="41" t="str">
        <f ca="1">IFERROR(ROUND(T26*N26,0),"")</f>
      </c>
    </row>
    <row r="27" spans="1:22" ht="11.65" customHeight="1">
      <c r="A27" s="9"/>
      <c r="B27" s="10"/>
      <c r="C27" s="9">
        <f ca="1">IFERROR(VLOOKUP(B27,DATA!$B$12:$D$13,3,0),0)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ca="1">IFERROR(IF(AND(OR(LEFT(B27,FIND(" ",B27,1)-1)="Đồng",LEFT(B27,FIND(" ",B27,1)-1)="Nhôm"),E27&gt;(F27/10)),5%,0),"")</f>
      </c>
      <c r="M27" s="41">
        <f ca="1">E27*F27*G27*H27</f>
        <v>0</v>
      </c>
      <c r="N27" s="118">
        <f ca="1">IFERROR((E27*F27*G27*H27/10^6),0)*C27</f>
        <v>0</v>
      </c>
      <c r="O27" s="11" t="str">
        <f ca="1">IFERROR(((E27+5)*(F27+5)*(G27+5))/(E27*F27*G27)-1,"")</f>
      </c>
      <c r="P27" s="12">
        <v>0.035</v>
      </c>
      <c r="Q27" s="41">
        <f ca="1">IFERROR(IF(H27&gt;50,E27*(H27*G27+(H27+2)*F27),IF(H27&gt;10,E27*(2*H27*G27+(H27+1)*F27),2*H27*E27*(F27+G27)))*1.2/N27,0)</f>
        <v>0</v>
      </c>
      <c r="R27" s="41" t="str">
        <f ca="1">IFERROR((D27*(1+O27+P27)+Q27+(($J$12+$K$12)/$N$62))/(1-L27-(I27*0.007/30)),"")</f>
      </c>
      <c r="S27" s="11"/>
      <c r="T27" s="56" t="str">
        <f ca="1">IFERROR(ROUND(R27/(1-S27),0),"")</f>
      </c>
      <c r="U27" s="41" t="str">
        <f ca="1">IFERROR(ROUND(T27*N27,0),"")</f>
      </c>
    </row>
    <row r="28" spans="1:22" ht="11.65" customHeight="1">
      <c r="A28" s="9"/>
      <c r="B28" s="10"/>
      <c r="C28" s="9">
        <f ca="1">IFERROR(VLOOKUP(B28,DATA!$B$12:$D$13,3,0),0)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ca="1">IFERROR(IF(AND(OR(LEFT(B28,FIND(" ",B28,1)-1)="Đồng",LEFT(B28,FIND(" ",B28,1)-1)="Nhôm"),E28&gt;(F28/10)),5%,0),"")</f>
      </c>
      <c r="M28" s="41">
        <f ca="1">E28*F28*G28*H28</f>
        <v>0</v>
      </c>
      <c r="N28" s="118">
        <f ca="1">IFERROR((E28*F28*G28*H28/10^6),0)*C28</f>
        <v>0</v>
      </c>
      <c r="O28" s="11" t="str">
        <f ca="1">IFERROR(((E28+5)*(F28+5)*(G28+5))/(E28*F28*G28)-1,"")</f>
      </c>
      <c r="P28" s="12">
        <v>0.035</v>
      </c>
      <c r="Q28" s="41">
        <f ca="1">IFERROR(IF(H28&gt;50,E28*(H28*G28+(H28+2)*F28),IF(H28&gt;10,E28*(2*H28*G28+(H28+1)*F28),2*H28*E28*(F28+G28)))*1.2/N28,0)</f>
        <v>0</v>
      </c>
      <c r="R28" s="41" t="str">
        <f ca="1">IFERROR((D28*(1+O28+P28)+Q28+(($J$12+$K$12)/$N$62))/(1-L28-(I28*0.007/30)),"")</f>
      </c>
      <c r="S28" s="11"/>
      <c r="T28" s="56" t="str">
        <f ca="1">IFERROR(ROUND(R28/(1-S28),0),"")</f>
      </c>
      <c r="U28" s="41" t="str">
        <f ca="1">IFERROR(ROUND(T28*N28,0),"")</f>
      </c>
    </row>
    <row r="29" spans="1:22" ht="11.65" customHeight="1">
      <c r="A29" s="9"/>
      <c r="B29" s="10"/>
      <c r="C29" s="9">
        <f ca="1">IFERROR(VLOOKUP(B29,DATA!$B$12:$D$13,3,0),0)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ca="1">IFERROR(IF(AND(OR(LEFT(B29,FIND(" ",B29,1)-1)="Đồng",LEFT(B29,FIND(" ",B29,1)-1)="Nhôm"),E29&gt;(F29/10)),5%,0),"")</f>
      </c>
      <c r="M29" s="41">
        <f ca="1">E29*F29*G29*H29</f>
        <v>0</v>
      </c>
      <c r="N29" s="118">
        <f ca="1">IFERROR((E29*F29*G29*H29/10^6),0)*C29</f>
        <v>0</v>
      </c>
      <c r="O29" s="11" t="str">
        <f ca="1">IFERROR(((E29+5)*(F29+5)*(G29+5))/(E29*F29*G29)-1,"")</f>
      </c>
      <c r="P29" s="12">
        <v>0.035</v>
      </c>
      <c r="Q29" s="41">
        <f ca="1">IFERROR(IF(H29&gt;50,E29*(H29*G29+(H29+2)*F29),IF(H29&gt;10,E29*(2*H29*G29+(H29+1)*F29),2*H29*E29*(F29+G29)))*1.2/N29,0)</f>
        <v>0</v>
      </c>
      <c r="R29" s="41" t="str">
        <f ca="1">IFERROR((D29*(1+O29+P29)+Q29+(($J$12+$K$12)/$N$62))/(1-L29-(I29*0.007/30)),"")</f>
      </c>
      <c r="S29" s="11"/>
      <c r="T29" s="56" t="str">
        <f ca="1">IFERROR(ROUND(R29/(1-S29),0),"")</f>
      </c>
      <c r="U29" s="41" t="str">
        <f ca="1">IFERROR(ROUND(T29*N29,0),"")</f>
      </c>
    </row>
    <row r="30" spans="1:22" ht="11.65" customHeight="1">
      <c r="A30" s="9"/>
      <c r="B30" s="10"/>
      <c r="C30" s="9">
        <f ca="1">IFERROR(VLOOKUP(B30,DATA!$B$12:$D$13,3,0),0)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ca="1">IFERROR(IF(AND(OR(LEFT(B30,FIND(" ",B30,1)-1)="Đồng",LEFT(B30,FIND(" ",B30,1)-1)="Nhôm"),E30&gt;(F30/10)),5%,0),"")</f>
      </c>
      <c r="M30" s="41">
        <f ca="1">E30*F30*G30*H30</f>
        <v>0</v>
      </c>
      <c r="N30" s="118">
        <f ca="1">IFERROR((E30*F30*G30*H30/10^6),0)*C30</f>
        <v>0</v>
      </c>
      <c r="O30" s="11" t="str">
        <f ca="1">IFERROR(((E30+5)*(F30+5)*(G30+5))/(E30*F30*G30)-1,"")</f>
      </c>
      <c r="P30" s="12">
        <v>0.035</v>
      </c>
      <c r="Q30" s="41">
        <f ca="1">IFERROR(IF(H30&gt;50,E30*(H30*G30+(H30+2)*F30),IF(H30&gt;10,E30*(2*H30*G30+(H30+1)*F30),2*H30*E30*(F30+G30)))*1.2/N30,0)</f>
        <v>0</v>
      </c>
      <c r="R30" s="41" t="str">
        <f ca="1">IFERROR((D30*(1+O30+P30)+Q30+(($J$12+$K$12)/$N$62))/(1-L30-(I30*0.007/30)),"")</f>
      </c>
      <c r="S30" s="11"/>
      <c r="T30" s="56" t="str">
        <f ca="1">IFERROR(ROUND(R30/(1-S30),0),"")</f>
      </c>
      <c r="U30" s="41" t="str">
        <f ca="1">IFERROR(ROUND(T30*N30,0),"")</f>
      </c>
    </row>
    <row r="31" spans="1:22" ht="11.65" customHeight="1">
      <c r="A31" s="9"/>
      <c r="B31" s="10"/>
      <c r="C31" s="9">
        <f ca="1">IFERROR(VLOOKUP(B31,DATA!$B$12:$D$13,3,0),0)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ca="1">IFERROR(IF(AND(OR(LEFT(B31,FIND(" ",B31,1)-1)="Đồng",LEFT(B31,FIND(" ",B31,1)-1)="Nhôm"),E31&gt;(F31/10)),5%,0),"")</f>
      </c>
      <c r="M31" s="41">
        <f ca="1">E31*F31*G31*H31</f>
        <v>0</v>
      </c>
      <c r="N31" s="118">
        <f ca="1">IFERROR((E31*F31*G31*H31/10^6),0)*C31</f>
        <v>0</v>
      </c>
      <c r="O31" s="11" t="str">
        <f ca="1">IFERROR(((E31+5)*(F31+5)*(G31+5))/(E31*F31*G31)-1,"")</f>
      </c>
      <c r="P31" s="12">
        <v>0.035</v>
      </c>
      <c r="Q31" s="41">
        <f ca="1">IFERROR(IF(H31&gt;50,E31*(H31*G31+(H31+2)*F31),IF(H31&gt;10,E31*(2*H31*G31+(H31+1)*F31),2*H31*E31*(F31+G31)))*1.2/N31,0)</f>
        <v>0</v>
      </c>
      <c r="R31" s="41" t="str">
        <f ca="1">IFERROR((D31*(1+O31+P31)+Q31+(($J$12+$K$12)/$N$62))/(1-L31-(I31*0.007/30)),"")</f>
      </c>
      <c r="S31" s="11"/>
      <c r="T31" s="56" t="str">
        <f ca="1">IFERROR(ROUND(R31/(1-S31),0),"")</f>
      </c>
      <c r="U31" s="41" t="str">
        <f ca="1">IFERROR(ROUND(T31*N31,0),"")</f>
      </c>
    </row>
    <row r="32" spans="1:22" ht="11.65" customHeight="1">
      <c r="A32" s="9"/>
      <c r="B32" s="10"/>
      <c r="C32" s="9">
        <f ca="1">IFERROR(VLOOKUP(B32,DATA!$B$12:$D$13,3,0),0)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ca="1">IFERROR(IF(AND(OR(LEFT(B32,FIND(" ",B32,1)-1)="Đồng",LEFT(B32,FIND(" ",B32,1)-1)="Nhôm"),E32&gt;(F32/10)),5%,0),"")</f>
      </c>
      <c r="M32" s="41">
        <f ca="1">E32*F32*G32*H32</f>
        <v>0</v>
      </c>
      <c r="N32" s="118">
        <f ca="1">IFERROR((E32*F32*G32*H32/10^6),0)*C32</f>
        <v>0</v>
      </c>
      <c r="O32" s="11" t="str">
        <f ca="1">IFERROR(((E32+5)*(F32+5)*(G32+5))/(E32*F32*G32)-1,"")</f>
      </c>
      <c r="P32" s="12">
        <v>0.035</v>
      </c>
      <c r="Q32" s="41">
        <f ca="1">IFERROR(IF(H32&gt;50,E32*(H32*G32+(H32+2)*F32),IF(H32&gt;10,E32*(2*H32*G32+(H32+1)*F32),2*H32*E32*(F32+G32)))*1.2/N32,0)</f>
        <v>0</v>
      </c>
      <c r="R32" s="41" t="str">
        <f ca="1">IFERROR((D32*(1+O32+P32)+Q32+(($J$12+$K$12)/$N$62))/(1-L32-(I32*0.007/30)),"")</f>
      </c>
      <c r="S32" s="11"/>
      <c r="T32" s="56" t="str">
        <f ca="1">IFERROR(ROUND(R32/(1-S32),0),"")</f>
      </c>
      <c r="U32" s="41" t="str">
        <f ca="1">IFERROR(ROUND(T32*N32,0),"")</f>
      </c>
    </row>
    <row r="33" spans="1:22" ht="11.65" customHeight="1">
      <c r="A33" s="9"/>
      <c r="B33" s="10"/>
      <c r="C33" s="9">
        <f ca="1">IFERROR(VLOOKUP(B33,DATA!$B$12:$D$13,3,0),0)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ca="1">IFERROR(IF(AND(OR(LEFT(B33,FIND(" ",B33,1)-1)="Đồng",LEFT(B33,FIND(" ",B33,1)-1)="Nhôm"),E33&gt;(F33/10)),5%,0),"")</f>
      </c>
      <c r="M33" s="41">
        <f ca="1">E33*F33*G33*H33</f>
        <v>0</v>
      </c>
      <c r="N33" s="118">
        <f ca="1">IFERROR((E33*F33*G33*H33/10^6),0)*C33</f>
        <v>0</v>
      </c>
      <c r="O33" s="11" t="str">
        <f ca="1">IFERROR(((E33+5)*(F33+5)*(G33+5))/(E33*F33*G33)-1,"")</f>
      </c>
      <c r="P33" s="12">
        <v>0.035</v>
      </c>
      <c r="Q33" s="41">
        <f ca="1">IFERROR(IF(H33&gt;50,E33*(H33*G33+(H33+2)*F33),IF(H33&gt;10,E33*(2*H33*G33+(H33+1)*F33),2*H33*E33*(F33+G33)))*1.2/N33,0)</f>
        <v>0</v>
      </c>
      <c r="R33" s="41" t="str">
        <f ca="1">IFERROR((D33*(1+O33+P33)+Q33+(($J$12+$K$12)/$N$62))/(1-L33-(I33*0.007/30)),"")</f>
      </c>
      <c r="S33" s="11"/>
      <c r="T33" s="56" t="str">
        <f ca="1">IFERROR(ROUND(R33/(1-S33),0),"")</f>
      </c>
      <c r="U33" s="41" t="str">
        <f ca="1">IFERROR(ROUND(T33*N33,0),"")</f>
      </c>
    </row>
    <row r="34" spans="1:22" ht="11.65" customHeight="1">
      <c r="A34" s="9"/>
      <c r="B34" s="10"/>
      <c r="C34" s="9">
        <f ca="1">IFERROR(VLOOKUP(B34,DATA!$B$12:$D$13,3,0),0)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ca="1">IFERROR(IF(AND(OR(LEFT(B34,FIND(" ",B34,1)-1)="Đồng",LEFT(B34,FIND(" ",B34,1)-1)="Nhôm"),E34&gt;(F34/10)),5%,0),"")</f>
      </c>
      <c r="M34" s="41">
        <f ca="1">E34*F34*G34*H34</f>
        <v>0</v>
      </c>
      <c r="N34" s="118">
        <f ca="1">IFERROR((E34*F34*G34*H34/10^6),0)*C34</f>
        <v>0</v>
      </c>
      <c r="O34" s="11" t="str">
        <f ca="1">IFERROR(((E34+5)*(F34+5)*(G34+5))/(E34*F34*G34)-1,"")</f>
      </c>
      <c r="P34" s="12">
        <v>0.035</v>
      </c>
      <c r="Q34" s="41">
        <f ca="1">IFERROR(IF(H34&gt;50,E34*(H34*G34+(H34+2)*F34),IF(H34&gt;10,E34*(2*H34*G34+(H34+1)*F34),2*H34*E34*(F34+G34)))*1.2/N34,0)</f>
        <v>0</v>
      </c>
      <c r="R34" s="41" t="str">
        <f ca="1">IFERROR((D34*(1+O34+P34)+Q34+(($J$12+$K$12)/$N$62))/(1-L34-(I34*0.007/30)),"")</f>
      </c>
      <c r="S34" s="11"/>
      <c r="T34" s="56" t="str">
        <f ca="1">IFERROR(ROUND(R34/(1-S34),0),"")</f>
      </c>
      <c r="U34" s="41" t="str">
        <f ca="1">IFERROR(ROUND(T34*N34,0),"")</f>
      </c>
    </row>
    <row r="35" spans="1:22" ht="11.65" customHeight="1">
      <c r="A35" s="9"/>
      <c r="B35" s="10"/>
      <c r="C35" s="9">
        <f ca="1">IFERROR(VLOOKUP(B35,DATA!$B$12:$D$13,3,0),0)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ca="1">IFERROR(IF(AND(OR(LEFT(B35,FIND(" ",B35,1)-1)="Đồng",LEFT(B35,FIND(" ",B35,1)-1)="Nhôm"),E35&gt;(F35/10)),5%,0),"")</f>
      </c>
      <c r="M35" s="41">
        <f ca="1">E35*F35*G35*H35</f>
        <v>0</v>
      </c>
      <c r="N35" s="118">
        <f ca="1">IFERROR((E35*F35*G35*H35/10^6),0)*C35</f>
        <v>0</v>
      </c>
      <c r="O35" s="11" t="str">
        <f ca="1">IFERROR(((E35+5)*(F35+5)*(G35+5))/(E35*F35*G35)-1,"")</f>
      </c>
      <c r="P35" s="12">
        <v>0.035</v>
      </c>
      <c r="Q35" s="41">
        <f ca="1">IFERROR(IF(H35&gt;50,E35*(H35*G35+(H35+2)*F35),IF(H35&gt;10,E35*(2*H35*G35+(H35+1)*F35),2*H35*E35*(F35+G35)))*1.2/N35,0)</f>
        <v>0</v>
      </c>
      <c r="R35" s="41" t="str">
        <f ca="1">IFERROR((D35*(1+O35+P35)+Q35+(($J$12+$K$12)/$N$62))/(1-L35-(I35*0.007/30)),"")</f>
      </c>
      <c r="S35" s="11"/>
      <c r="T35" s="56" t="str">
        <f ca="1">IFERROR(ROUND(R35/(1-S35),0),"")</f>
      </c>
      <c r="U35" s="41" t="str">
        <f ca="1">IFERROR(ROUND(T35*N35,0),"")</f>
      </c>
    </row>
    <row r="36" spans="1:22" ht="11.65" customHeight="1">
      <c r="A36" s="9"/>
      <c r="B36" s="10"/>
      <c r="C36" s="9">
        <f ca="1">IFERROR(VLOOKUP(B36,DATA!$B$12:$D$13,3,0),0)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ca="1">IFERROR(IF(AND(OR(LEFT(B36,FIND(" ",B36,1)-1)="Đồng",LEFT(B36,FIND(" ",B36,1)-1)="Nhôm"),E36&gt;(F36/10)),5%,0),"")</f>
      </c>
      <c r="M36" s="41">
        <f ca="1">E36*F36*G36*H36</f>
        <v>0</v>
      </c>
      <c r="N36" s="118">
        <f ca="1">IFERROR((E36*F36*G36*H36/10^6),0)*C36</f>
        <v>0</v>
      </c>
      <c r="O36" s="11" t="str">
        <f ca="1">IFERROR(((E36+5)*(F36+5)*(G36+5))/(E36*F36*G36)-1,"")</f>
      </c>
      <c r="P36" s="12">
        <v>0.035</v>
      </c>
      <c r="Q36" s="41">
        <f ca="1">IFERROR(IF(H36&gt;50,E36*(H36*G36+(H36+2)*F36),IF(H36&gt;10,E36*(2*H36*G36+(H36+1)*F36),2*H36*E36*(F36+G36)))*1.2/N36,0)</f>
        <v>0</v>
      </c>
      <c r="R36" s="41" t="str">
        <f ca="1">IFERROR((D36*(1+O36+P36)+Q36+(($J$12+$K$12)/$N$62))/(1-L36-(I36*0.007/30)),"")</f>
      </c>
      <c r="S36" s="11"/>
      <c r="T36" s="56" t="str">
        <f ca="1">IFERROR(ROUND(R36/(1-S36),0),"")</f>
      </c>
      <c r="U36" s="41" t="str">
        <f ca="1">IFERROR(ROUND(T36*N36,0),"")</f>
      </c>
    </row>
    <row r="37" spans="1:22" ht="11.65" customHeight="1">
      <c r="A37" s="9"/>
      <c r="B37" s="10"/>
      <c r="C37" s="9">
        <f ca="1">IFERROR(VLOOKUP(B37,DATA!$B$12:$D$13,3,0),0)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ca="1">IFERROR(IF(AND(OR(LEFT(B37,FIND(" ",B37,1)-1)="Đồng",LEFT(B37,FIND(" ",B37,1)-1)="Nhôm"),E37&gt;(F37/10)),5%,0),"")</f>
      </c>
      <c r="M37" s="41">
        <f ca="1">E37*F37*G37*H37</f>
        <v>0</v>
      </c>
      <c r="N37" s="118">
        <f ca="1">IFERROR((E37*F37*G37*H37/10^6),0)*C37</f>
        <v>0</v>
      </c>
      <c r="O37" s="11" t="str">
        <f ca="1">IFERROR(((E37+5)*(F37+5)*(G37+5))/(E37*F37*G37)-1,"")</f>
      </c>
      <c r="P37" s="12">
        <v>0.035</v>
      </c>
      <c r="Q37" s="41">
        <f ca="1">IFERROR(IF(H37&gt;50,E37*(H37*G37+(H37+2)*F37),IF(H37&gt;10,E37*(2*H37*G37+(H37+1)*F37),2*H37*E37*(F37+G37)))*1.2/N37,0)</f>
        <v>0</v>
      </c>
      <c r="R37" s="41" t="str">
        <f ca="1">IFERROR((D37*(1+O37+P37)+Q37+(($J$12+$K$12)/$N$62))/(1-L37-(I37*0.007/30)),"")</f>
      </c>
      <c r="S37" s="11"/>
      <c r="T37" s="56" t="str">
        <f ca="1">IFERROR(ROUND(R37/(1-S37),0),"")</f>
      </c>
      <c r="U37" s="41" t="str">
        <f ca="1">IFERROR(ROUND(T37*N37,0),"")</f>
      </c>
    </row>
    <row r="38" spans="1:22" ht="11.65" customHeight="1">
      <c r="A38" s="9"/>
      <c r="B38" s="10"/>
      <c r="C38" s="9">
        <f ca="1">IFERROR(VLOOKUP(B38,DATA!$B$12:$D$13,3,0),0)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ca="1">IFERROR(IF(AND(OR(LEFT(B38,FIND(" ",B38,1)-1)="Đồng",LEFT(B38,FIND(" ",B38,1)-1)="Nhôm"),E38&gt;(F38/10)),5%,0),"")</f>
      </c>
      <c r="M38" s="41">
        <f ca="1">E38*F38*G38*H38</f>
        <v>0</v>
      </c>
      <c r="N38" s="118">
        <f ca="1">IFERROR((E38*F38*G38*H38/10^6),0)*C38</f>
        <v>0</v>
      </c>
      <c r="O38" s="11" t="str">
        <f ca="1">IFERROR(((E38+5)*(F38+5)*(G38+5))/(E38*F38*G38)-1,"")</f>
      </c>
      <c r="P38" s="12">
        <v>0.035</v>
      </c>
      <c r="Q38" s="41">
        <f ca="1">IFERROR(IF(H38&gt;50,E38*(H38*G38+(H38+2)*F38),IF(H38&gt;10,E38*(2*H38*G38+(H38+1)*F38),2*H38*E38*(F38+G38)))*1.2/N38,0)</f>
        <v>0</v>
      </c>
      <c r="R38" s="41" t="str">
        <f ca="1">IFERROR((D38*(1+O38+P38)+Q38+(($J$12+$K$12)/$N$62))/(1-L38-(I38*0.007/30)),"")</f>
      </c>
      <c r="S38" s="11"/>
      <c r="T38" s="56" t="str">
        <f ca="1">IFERROR(ROUND(R38/(1-S38),0),"")</f>
      </c>
      <c r="U38" s="41" t="str">
        <f ca="1">IFERROR(ROUND(T38*N38,0),"")</f>
      </c>
    </row>
    <row r="39" spans="1:22" ht="11.65" customHeight="1">
      <c r="A39" s="9"/>
      <c r="B39" s="10"/>
      <c r="C39" s="9">
        <f ca="1">IFERROR(VLOOKUP(B39,DATA!$B$12:$D$13,3,0),0)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ca="1">IFERROR(IF(AND(OR(LEFT(B39,FIND(" ",B39,1)-1)="Đồng",LEFT(B39,FIND(" ",B39,1)-1)="Nhôm"),E39&gt;(F39/10)),5%,0),"")</f>
      </c>
      <c r="M39" s="41">
        <f ca="1">E39*F39*G39*H39</f>
        <v>0</v>
      </c>
      <c r="N39" s="118">
        <f ca="1">IFERROR((E39*F39*G39*H39/10^6),0)*C39</f>
        <v>0</v>
      </c>
      <c r="O39" s="11" t="str">
        <f ca="1">IFERROR(((E39+5)*(F39+5)*(G39+5))/(E39*F39*G39)-1,"")</f>
      </c>
      <c r="P39" s="12">
        <v>0.035</v>
      </c>
      <c r="Q39" s="41">
        <f ca="1">IFERROR(IF(H39&gt;50,E39*(H39*G39+(H39+2)*F39),IF(H39&gt;10,E39*(2*H39*G39+(H39+1)*F39),2*H39*E39*(F39+G39)))*1.2/N39,0)</f>
        <v>0</v>
      </c>
      <c r="R39" s="41" t="str">
        <f ca="1">IFERROR((D39*(1+O39+P39)+Q39+(($J$12+$K$12)/$N$62))/(1-L39-(I39*0.007/30)),"")</f>
      </c>
      <c r="S39" s="11"/>
      <c r="T39" s="56" t="str">
        <f ca="1">IFERROR(ROUND(R39/(1-S39),0),"")</f>
      </c>
      <c r="U39" s="41" t="str">
        <f ca="1">IFERROR(ROUND(T39*N39,0),"")</f>
      </c>
    </row>
    <row r="40" spans="1:22" ht="11.65" customHeight="1">
      <c r="A40" s="9"/>
      <c r="B40" s="10"/>
      <c r="C40" s="9">
        <f ca="1">IFERROR(VLOOKUP(B40,DATA!$B$12:$D$13,3,0),0)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ca="1">IFERROR(IF(AND(OR(LEFT(B40,FIND(" ",B40,1)-1)="Đồng",LEFT(B40,FIND(" ",B40,1)-1)="Nhôm"),E40&gt;(F40/10)),5%,0),"")</f>
      </c>
      <c r="M40" s="41">
        <f ca="1">E40*F40*G40*H40</f>
        <v>0</v>
      </c>
      <c r="N40" s="118">
        <f ca="1">IFERROR((E40*F40*G40*H40/10^6),0)*C40</f>
        <v>0</v>
      </c>
      <c r="O40" s="11" t="str">
        <f ca="1">IFERROR(((E40+5)*(F40+5)*(G40+5))/(E40*F40*G40)-1,"")</f>
      </c>
      <c r="P40" s="12">
        <v>0.035</v>
      </c>
      <c r="Q40" s="41">
        <f ca="1">IFERROR(IF(H40&gt;50,E40*(H40*G40+(H40+2)*F40),IF(H40&gt;10,E40*(2*H40*G40+(H40+1)*F40),2*H40*E40*(F40+G40)))*1.2/N40,0)</f>
        <v>0</v>
      </c>
      <c r="R40" s="41" t="str">
        <f ca="1">IFERROR((D40*(1+O40+P40)+Q40+(($J$12+$K$12)/$N$62))/(1-L40-(I40*0.007/30)),"")</f>
      </c>
      <c r="S40" s="11"/>
      <c r="T40" s="56" t="str">
        <f ca="1">IFERROR(ROUND(R40/(1-S40),0),"")</f>
      </c>
      <c r="U40" s="41" t="str">
        <f ca="1">IFERROR(ROUND(T40*N40,0),"")</f>
      </c>
    </row>
    <row r="41" spans="1:22" ht="11.65" customHeight="1">
      <c r="A41" s="9"/>
      <c r="B41" s="10"/>
      <c r="C41" s="9">
        <f ca="1">IFERROR(VLOOKUP(B41,DATA!$B$12:$D$13,3,0),0)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ca="1">IFERROR(IF(AND(OR(LEFT(B41,FIND(" ",B41,1)-1)="Đồng",LEFT(B41,FIND(" ",B41,1)-1)="Nhôm"),E41&gt;(F41/10)),5%,0),"")</f>
      </c>
      <c r="M41" s="41">
        <f ca="1">E41*F41*G41*H41</f>
        <v>0</v>
      </c>
      <c r="N41" s="118">
        <f ca="1">IFERROR((E41*F41*G41*H41/10^6),0)*C41</f>
        <v>0</v>
      </c>
      <c r="O41" s="11" t="str">
        <f ca="1">IFERROR(((E41+5)*(F41+5)*(G41+5))/(E41*F41*G41)-1,"")</f>
      </c>
      <c r="P41" s="12">
        <v>0.035</v>
      </c>
      <c r="Q41" s="41">
        <f ca="1">IFERROR(IF(H41&gt;50,E41*(H41*G41+(H41+2)*F41),IF(H41&gt;10,E41*(2*H41*G41+(H41+1)*F41),2*H41*E41*(F41+G41)))*1.2/N41,0)</f>
        <v>0</v>
      </c>
      <c r="R41" s="41" t="str">
        <f ca="1">IFERROR((D41*(1+O41+P41)+Q41+(($J$12+$K$12)/$N$62))/(1-L41-(I41*0.007/30)),"")</f>
      </c>
      <c r="S41" s="11"/>
      <c r="T41" s="56" t="str">
        <f ca="1">IFERROR(ROUND(R41/(1-S41),0),"")</f>
      </c>
      <c r="U41" s="41" t="str">
        <f ca="1">IFERROR(ROUND(T41*N41,0),"")</f>
      </c>
    </row>
    <row r="42" spans="1:22" ht="11.65" customHeight="1">
      <c r="A42" s="9"/>
      <c r="B42" s="10"/>
      <c r="C42" s="9">
        <f ca="1">IFERROR(VLOOKUP(B42,DATA!$B$12:$D$13,3,0),0)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ca="1">IFERROR(IF(AND(OR(LEFT(B42,FIND(" ",B42,1)-1)="Đồng",LEFT(B42,FIND(" ",B42,1)-1)="Nhôm"),E42&gt;(F42/10)),5%,0),"")</f>
      </c>
      <c r="M42" s="41">
        <f ca="1">E42*F42*G42*H42</f>
        <v>0</v>
      </c>
      <c r="N42" s="118">
        <f ca="1">IFERROR((E42*F42*G42*H42/10^6),0)*C42</f>
        <v>0</v>
      </c>
      <c r="O42" s="11" t="str">
        <f ca="1">IFERROR(((E42+5)*(F42+5)*(G42+5))/(E42*F42*G42)-1,"")</f>
      </c>
      <c r="P42" s="12">
        <v>0.035</v>
      </c>
      <c r="Q42" s="41">
        <f ca="1">IFERROR(IF(H42&gt;50,E42*(H42*G42+(H42+2)*F42),IF(H42&gt;10,E42*(2*H42*G42+(H42+1)*F42),2*H42*E42*(F42+G42)))*1.2/N42,0)</f>
        <v>0</v>
      </c>
      <c r="R42" s="41" t="str">
        <f ca="1">IFERROR((D42*(1+O42+P42)+Q42+(($J$12+$K$12)/$N$62))/(1-L42-(I42*0.007/30)),"")</f>
      </c>
      <c r="S42" s="11"/>
      <c r="T42" s="56" t="str">
        <f ca="1">IFERROR(ROUND(R42/(1-S42),0),"")</f>
      </c>
      <c r="U42" s="41" t="str">
        <f ca="1">IFERROR(ROUND(T42*N42,0),"")</f>
      </c>
    </row>
    <row r="43" spans="1:22" ht="11.65" customHeight="1">
      <c r="A43" s="9"/>
      <c r="B43" s="10"/>
      <c r="C43" s="9">
        <f ca="1">IFERROR(VLOOKUP(B43,DATA!$B$12:$D$13,3,0),0)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ca="1">IFERROR(IF(AND(OR(LEFT(B43,FIND(" ",B43,1)-1)="Đồng",LEFT(B43,FIND(" ",B43,1)-1)="Nhôm"),E43&gt;(F43/10)),5%,0),"")</f>
      </c>
      <c r="M43" s="41">
        <f ca="1">E43*F43*G43*H43</f>
        <v>0</v>
      </c>
      <c r="N43" s="118">
        <f ca="1">IFERROR((E43*F43*G43*H43/10^6),0)*C43</f>
        <v>0</v>
      </c>
      <c r="O43" s="11" t="str">
        <f ca="1">IFERROR(((E43+5)*(F43+5)*(G43+5))/(E43*F43*G43)-1,"")</f>
      </c>
      <c r="P43" s="12">
        <v>0.035</v>
      </c>
      <c r="Q43" s="41">
        <f ca="1">IFERROR(IF(H43&gt;50,E43*(H43*G43+(H43+2)*F43),IF(H43&gt;10,E43*(2*H43*G43+(H43+1)*F43),2*H43*E43*(F43+G43)))*1.2/N43,0)</f>
        <v>0</v>
      </c>
      <c r="R43" s="41" t="str">
        <f ca="1">IFERROR((D43*(1+O43+P43)+Q43+(($J$12+$K$12)/$N$62))/(1-L43-(I43*0.007/30)),"")</f>
      </c>
      <c r="S43" s="11"/>
      <c r="T43" s="56" t="str">
        <f ca="1">IFERROR(ROUND(R43/(1-S43),0),"")</f>
      </c>
      <c r="U43" s="41" t="str">
        <f ca="1">IFERROR(ROUND(T43*N43,0),"")</f>
      </c>
    </row>
    <row r="44" spans="1:22" ht="11.65" customHeight="1">
      <c r="A44" s="9"/>
      <c r="B44" s="10"/>
      <c r="C44" s="9">
        <f ca="1">IFERROR(VLOOKUP(B44,DATA!$B$12:$D$13,3,0),0)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ca="1">IFERROR(IF(AND(OR(LEFT(B44,FIND(" ",B44,1)-1)="Đồng",LEFT(B44,FIND(" ",B44,1)-1)="Nhôm"),E44&gt;(F44/10)),5%,0),"")</f>
      </c>
      <c r="M44" s="41">
        <f ca="1">E44*F44*G44*H44</f>
        <v>0</v>
      </c>
      <c r="N44" s="118">
        <f ca="1">IFERROR((E44*F44*G44*H44/10^6),0)*C44</f>
        <v>0</v>
      </c>
      <c r="O44" s="11" t="str">
        <f ca="1">IFERROR(((E44+5)*(F44+5)*(G44+5))/(E44*F44*G44)-1,"")</f>
      </c>
      <c r="P44" s="12">
        <v>0.035</v>
      </c>
      <c r="Q44" s="41">
        <f ca="1">IFERROR(IF(H44&gt;50,E44*(H44*G44+(H44+2)*F44),IF(H44&gt;10,E44*(2*H44*G44+(H44+1)*F44),2*H44*E44*(F44+G44)))*1.2/N44,0)</f>
        <v>0</v>
      </c>
      <c r="R44" s="41" t="str">
        <f ca="1">IFERROR((D44*(1+O44+P44)+Q44+(($J$12+$K$12)/$N$62))/(1-L44-(I44*0.007/30)),"")</f>
      </c>
      <c r="S44" s="11"/>
      <c r="T44" s="56" t="str">
        <f ca="1">IFERROR(ROUND(R44/(1-S44),0),"")</f>
      </c>
      <c r="U44" s="41" t="str">
        <f ca="1">IFERROR(ROUND(T44*N44,0),"")</f>
      </c>
    </row>
    <row r="45" spans="1:22" ht="11.65" customHeight="1">
      <c r="A45" s="9"/>
      <c r="B45" s="10"/>
      <c r="C45" s="9">
        <f ca="1">IFERROR(VLOOKUP(B45,DATA!$B$12:$D$13,3,0),0)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ca="1">IFERROR(IF(AND(OR(LEFT(B45,FIND(" ",B45,1)-1)="Đồng",LEFT(B45,FIND(" ",B45,1)-1)="Nhôm"),E45&gt;(F45/10)),5%,0),"")</f>
      </c>
      <c r="M45" s="41">
        <f ca="1">E45*F45*G45*H45</f>
        <v>0</v>
      </c>
      <c r="N45" s="118">
        <f ca="1">IFERROR((E45*F45*G45*H45/10^6),0)*C45</f>
        <v>0</v>
      </c>
      <c r="O45" s="11" t="str">
        <f ca="1">IFERROR(((E45+5)*(F45+5)*(G45+5))/(E45*F45*G45)-1,"")</f>
      </c>
      <c r="P45" s="12">
        <v>0.035</v>
      </c>
      <c r="Q45" s="41">
        <f ca="1">IFERROR(IF(H45&gt;50,E45*(H45*G45+(H45+2)*F45),IF(H45&gt;10,E45*(2*H45*G45+(H45+1)*F45),2*H45*E45*(F45+G45)))*1.2/N45,0)</f>
        <v>0</v>
      </c>
      <c r="R45" s="41" t="str">
        <f ca="1">IFERROR((D45*(1+O45+P45)+Q45+(($J$12+$K$12)/$N$62))/(1-L45-(I45*0.007/30)),"")</f>
      </c>
      <c r="S45" s="11"/>
      <c r="T45" s="56" t="str">
        <f ca="1">IFERROR(ROUND(R45/(1-S45),0),"")</f>
      </c>
      <c r="U45" s="41" t="str">
        <f ca="1">IFERROR(ROUND(T45*N45,0),"")</f>
      </c>
    </row>
    <row r="46" spans="1:22" ht="11.65" customHeight="1">
      <c r="A46" s="9"/>
      <c r="B46" s="10"/>
      <c r="C46" s="9">
        <f ca="1">IFERROR(VLOOKUP(B46,DATA!$B$12:$D$13,3,0),0)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ca="1">IFERROR(IF(AND(OR(LEFT(B46,FIND(" ",B46,1)-1)="Đồng",LEFT(B46,FIND(" ",B46,1)-1)="Nhôm"),E46&gt;(F46/10)),5%,0),"")</f>
      </c>
      <c r="M46" s="41">
        <f ca="1">E46*F46*G46*H46</f>
        <v>0</v>
      </c>
      <c r="N46" s="118">
        <f ca="1">IFERROR((E46*F46*G46*H46/10^6),0)*C46</f>
        <v>0</v>
      </c>
      <c r="O46" s="11" t="str">
        <f ca="1">IFERROR(((E46+5)*(F46+5)*(G46+5))/(E46*F46*G46)-1,"")</f>
      </c>
      <c r="P46" s="12">
        <v>0.035</v>
      </c>
      <c r="Q46" s="41">
        <f ca="1">IFERROR(IF(H46&gt;50,E46*(H46*G46+(H46+2)*F46),IF(H46&gt;10,E46*(2*H46*G46+(H46+1)*F46),2*H46*E46*(F46+G46)))*1.2/N46,0)</f>
        <v>0</v>
      </c>
      <c r="R46" s="41" t="str">
        <f ca="1">IFERROR((D46*(1+O46+P46)+Q46+(($J$12+$K$12)/$N$62))/(1-L46-(I46*0.007/30)),"")</f>
      </c>
      <c r="S46" s="11"/>
      <c r="T46" s="56" t="str">
        <f ca="1">IFERROR(ROUND(R46/(1-S46),0),"")</f>
      </c>
      <c r="U46" s="41" t="str">
        <f ca="1">IFERROR(ROUND(T46*N46,0),"")</f>
      </c>
    </row>
    <row r="47" spans="1:22" ht="11.65" customHeight="1">
      <c r="A47" s="9"/>
      <c r="B47" s="10"/>
      <c r="C47" s="9">
        <f ca="1">IFERROR(VLOOKUP(B47,DATA!$B$12:$D$13,3,0),0)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ca="1">IFERROR(IF(AND(OR(LEFT(B47,FIND(" ",B47,1)-1)="Đồng",LEFT(B47,FIND(" ",B47,1)-1)="Nhôm"),E47&gt;(F47/10)),5%,0),"")</f>
      </c>
      <c r="M47" s="41">
        <f ca="1">E47*F47*G47*H47</f>
        <v>0</v>
      </c>
      <c r="N47" s="118">
        <f ca="1">IFERROR((E47*F47*G47*H47/10^6),0)*C47</f>
        <v>0</v>
      </c>
      <c r="O47" s="11" t="str">
        <f ca="1">IFERROR(((E47+5)*(F47+5)*(G47+5))/(E47*F47*G47)-1,"")</f>
      </c>
      <c r="P47" s="12">
        <v>0.035</v>
      </c>
      <c r="Q47" s="41">
        <f ca="1">IFERROR(IF(H47&gt;50,E47*(H47*G47+(H47+2)*F47),IF(H47&gt;10,E47*(2*H47*G47+(H47+1)*F47),2*H47*E47*(F47+G47)))*1.2/N47,0)</f>
        <v>0</v>
      </c>
      <c r="R47" s="41" t="str">
        <f ca="1">IFERROR((D47*(1+O47+P47)+Q47+(($J$12+$K$12)/$N$62))/(1-L47-(I47*0.007/30)),"")</f>
      </c>
      <c r="S47" s="11"/>
      <c r="T47" s="56" t="str">
        <f ca="1">IFERROR(ROUND(R47/(1-S47),0),"")</f>
      </c>
      <c r="U47" s="41" t="str">
        <f ca="1">IFERROR(ROUND(T47*N47,0),"")</f>
      </c>
    </row>
    <row r="48" spans="1:22" ht="11.65" customHeight="1">
      <c r="A48" s="9"/>
      <c r="B48" s="10"/>
      <c r="C48" s="9">
        <f ca="1">IFERROR(VLOOKUP(B48,DATA!$B$12:$D$13,3,0),0)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ca="1">IFERROR(IF(AND(OR(LEFT(B48,FIND(" ",B48,1)-1)="Đồng",LEFT(B48,FIND(" ",B48,1)-1)="Nhôm"),E48&gt;(F48/10)),5%,0),"")</f>
      </c>
      <c r="M48" s="41">
        <f ca="1">E48*F48*G48*H48</f>
        <v>0</v>
      </c>
      <c r="N48" s="118">
        <f ca="1">IFERROR((E48*F48*G48*H48/10^6),0)*C48</f>
        <v>0</v>
      </c>
      <c r="O48" s="11" t="str">
        <f ca="1">IFERROR(((E48+5)*(F48+5)*(G48+5))/(E48*F48*G48)-1,"")</f>
      </c>
      <c r="P48" s="12">
        <v>0.035</v>
      </c>
      <c r="Q48" s="41">
        <f ca="1">IFERROR(IF(H48&gt;50,E48*(H48*G48+(H48+2)*F48),IF(H48&gt;10,E48*(2*H48*G48+(H48+1)*F48),2*H48*E48*(F48+G48)))*1.2/N48,0)</f>
        <v>0</v>
      </c>
      <c r="R48" s="41" t="str">
        <f ca="1">IFERROR((D48*(1+O48+P48)+Q48+(($J$12+$K$12)/$N$62))/(1-L48-(I48*0.007/30)),"")</f>
      </c>
      <c r="S48" s="11"/>
      <c r="T48" s="56" t="str">
        <f ca="1">IFERROR(ROUND(R48/(1-S48),0),"")</f>
      </c>
      <c r="U48" s="41" t="str">
        <f ca="1">IFERROR(ROUND(T48*N48,0),"")</f>
      </c>
    </row>
    <row r="49" spans="1:22" ht="11.65" customHeight="1">
      <c r="A49" s="9"/>
      <c r="B49" s="10"/>
      <c r="C49" s="9">
        <f ca="1">IFERROR(VLOOKUP(B49,DATA!$B$12:$D$13,3,0),0)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ca="1">IFERROR(IF(AND(OR(LEFT(B49,FIND(" ",B49,1)-1)="Đồng",LEFT(B49,FIND(" ",B49,1)-1)="Nhôm"),E49&gt;(F49/10)),5%,0),"")</f>
      </c>
      <c r="M49" s="41">
        <f ca="1">E49*F49*G49*H49</f>
        <v>0</v>
      </c>
      <c r="N49" s="118">
        <f ca="1">IFERROR((E49*F49*G49*H49/10^6),0)*C49</f>
        <v>0</v>
      </c>
      <c r="O49" s="11" t="str">
        <f ca="1">IFERROR(((E49+5)*(F49+5)*(G49+5))/(E49*F49*G49)-1,"")</f>
      </c>
      <c r="P49" s="12">
        <v>0.035</v>
      </c>
      <c r="Q49" s="41">
        <f ca="1">IFERROR(IF(H49&gt;50,E49*(H49*G49+(H49+2)*F49),IF(H49&gt;10,E49*(2*H49*G49+(H49+1)*F49),2*H49*E49*(F49+G49)))*1.2/N49,0)</f>
        <v>0</v>
      </c>
      <c r="R49" s="41" t="str">
        <f ca="1">IFERROR((D49*(1+O49+P49)+Q49+(($J$12+$K$12)/$N$62))/(1-L49-(I49*0.007/30)),"")</f>
      </c>
      <c r="S49" s="11"/>
      <c r="T49" s="56" t="str">
        <f ca="1">IFERROR(ROUND(R49/(1-S49),0),"")</f>
      </c>
      <c r="U49" s="41" t="str">
        <f ca="1">IFERROR(ROUND(T49*N49,0),"")</f>
      </c>
    </row>
    <row r="50" spans="1:22" ht="11.65" customHeight="1">
      <c r="A50" s="9"/>
      <c r="B50" s="10"/>
      <c r="C50" s="9">
        <f ca="1">IFERROR(VLOOKUP(B50,DATA!$B$12:$D$13,3,0),0)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ca="1">IFERROR(IF(AND(OR(LEFT(B50,FIND(" ",B50,1)-1)="Đồng",LEFT(B50,FIND(" ",B50,1)-1)="Nhôm"),E50&gt;(F50/10)),5%,0),"")</f>
      </c>
      <c r="M50" s="41">
        <f ca="1">E50*F50*G50*H50</f>
        <v>0</v>
      </c>
      <c r="N50" s="118">
        <f ca="1">IFERROR((E50*F50*G50*H50/10^6),0)*C50</f>
        <v>0</v>
      </c>
      <c r="O50" s="11" t="str">
        <f ca="1">IFERROR(((E50+5)*(F50+5)*(G50+5))/(E50*F50*G50)-1,"")</f>
      </c>
      <c r="P50" s="12">
        <v>0.035</v>
      </c>
      <c r="Q50" s="41">
        <f ca="1">IFERROR(IF(H50&gt;50,E50*(H50*G50+(H50+2)*F50),IF(H50&gt;10,E50*(2*H50*G50+(H50+1)*F50),2*H50*E50*(F50+G50)))*1.2/N50,0)</f>
        <v>0</v>
      </c>
      <c r="R50" s="41" t="str">
        <f ca="1">IFERROR((D50*(1+O50+P50)+Q50+(($J$12+$K$12)/$N$62))/(1-L50-(I50*0.007/30)),"")</f>
      </c>
      <c r="S50" s="11"/>
      <c r="T50" s="56" t="str">
        <f ca="1">IFERROR(ROUND(R50/(1-S50),0),"")</f>
      </c>
      <c r="U50" s="41" t="str">
        <f ca="1">IFERROR(ROUND(T50*N50,0),"")</f>
      </c>
    </row>
    <row r="51" spans="1:22" ht="11.65" customHeight="1">
      <c r="A51" s="9"/>
      <c r="B51" s="10"/>
      <c r="C51" s="9">
        <f ca="1">IFERROR(VLOOKUP(B51,DATA!$B$12:$D$13,3,0),0)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ca="1">IFERROR(IF(AND(OR(LEFT(B51,FIND(" ",B51,1)-1)="Đồng",LEFT(B51,FIND(" ",B51,1)-1)="Nhôm"),E51&gt;(F51/10)),5%,0),"")</f>
      </c>
      <c r="M51" s="41">
        <f ca="1">E51*F51*G51*H51</f>
        <v>0</v>
      </c>
      <c r="N51" s="118">
        <f ca="1">IFERROR((E51*F51*G51*H51/10^6),0)*C51</f>
        <v>0</v>
      </c>
      <c r="O51" s="11" t="str">
        <f ca="1">IFERROR(((E51+5)*(F51+5)*(G51+5))/(E51*F51*G51)-1,"")</f>
      </c>
      <c r="P51" s="12">
        <v>0.035</v>
      </c>
      <c r="Q51" s="41">
        <f ca="1">IFERROR(IF(H51&gt;50,E51*(H51*G51+(H51+2)*F51),IF(H51&gt;10,E51*(2*H51*G51+(H51+1)*F51),2*H51*E51*(F51+G51)))*1.2/N51,0)</f>
        <v>0</v>
      </c>
      <c r="R51" s="41" t="str">
        <f ca="1">IFERROR((D51*(1+O51+P51)+Q51+(($J$12+$K$12)/$N$62))/(1-L51-(I51*0.007/30)),"")</f>
      </c>
      <c r="S51" s="11"/>
      <c r="T51" s="56" t="str">
        <f ca="1">IFERROR(ROUND(R51/(1-S51),0),"")</f>
      </c>
      <c r="U51" s="41" t="str">
        <f ca="1">IFERROR(ROUND(T51*N51,0),"")</f>
      </c>
    </row>
    <row r="52" spans="1:22" ht="11.65" customHeight="1">
      <c r="A52" s="9"/>
      <c r="B52" s="10"/>
      <c r="C52" s="9">
        <f ca="1">IFERROR(VLOOKUP(B52,DATA!$B$12:$D$13,3,0),0)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ca="1">IFERROR(IF(AND(OR(LEFT(B52,FIND(" ",B52,1)-1)="Đồng",LEFT(B52,FIND(" ",B52,1)-1)="Nhôm"),E52&gt;(F52/10)),5%,0),"")</f>
      </c>
      <c r="M52" s="41">
        <f ca="1">E52*F52*G52*H52</f>
        <v>0</v>
      </c>
      <c r="N52" s="118">
        <f ca="1">IFERROR((E52*F52*G52*H52/10^6),0)*C52</f>
        <v>0</v>
      </c>
      <c r="O52" s="11" t="str">
        <f ca="1">IFERROR(((E52+5)*(F52+5)*(G52+5))/(E52*F52*G52)-1,"")</f>
      </c>
      <c r="P52" s="12">
        <v>0.035</v>
      </c>
      <c r="Q52" s="41">
        <f ca="1">IFERROR(IF(H52&gt;50,E52*(H52*G52+(H52+2)*F52),IF(H52&gt;10,E52*(2*H52*G52+(H52+1)*F52),2*H52*E52*(F52+G52)))*1.2/N52,0)</f>
        <v>0</v>
      </c>
      <c r="R52" s="41" t="str">
        <f ca="1">IFERROR((D52*(1+O52+P52)+Q52+(($J$12+$K$12)/$N$62))/(1-L52-(I52*0.007/30)),"")</f>
      </c>
      <c r="S52" s="11"/>
      <c r="T52" s="56" t="str">
        <f ca="1">IFERROR(ROUND(R52/(1-S52),0),"")</f>
      </c>
      <c r="U52" s="41" t="str">
        <f ca="1">IFERROR(ROUND(T52*N52,0),"")</f>
      </c>
    </row>
    <row r="53" spans="1:22" ht="11.65" customHeight="1">
      <c r="A53" s="9"/>
      <c r="B53" s="10"/>
      <c r="C53" s="9">
        <f ca="1">IFERROR(VLOOKUP(B53,DATA!$B$12:$D$13,3,0),0)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ca="1">IFERROR(IF(AND(OR(LEFT(B53,FIND(" ",B53,1)-1)="Đồng",LEFT(B53,FIND(" ",B53,1)-1)="Nhôm"),E53&gt;(F53/10)),5%,0),"")</f>
      </c>
      <c r="M53" s="41">
        <f ca="1">E53*F53*G53*H53</f>
        <v>0</v>
      </c>
      <c r="N53" s="118">
        <f ca="1">IFERROR((E53*F53*G53*H53/10^6),0)*C53</f>
        <v>0</v>
      </c>
      <c r="O53" s="11" t="str">
        <f ca="1">IFERROR(((E53+5)*(F53+5)*(G53+5))/(E53*F53*G53)-1,"")</f>
      </c>
      <c r="P53" s="12">
        <v>0.035</v>
      </c>
      <c r="Q53" s="41">
        <f ca="1">IFERROR(IF(H53&gt;50,E53*(H53*G53+(H53+2)*F53),IF(H53&gt;10,E53*(2*H53*G53+(H53+1)*F53),2*H53*E53*(F53+G53)))*1.2/N53,0)</f>
        <v>0</v>
      </c>
      <c r="R53" s="41" t="str">
        <f ca="1">IFERROR((D53*(1+O53+P53)+Q53+(($J$12+$K$12)/$N$62))/(1-L53-(I53*0.007/30)),"")</f>
      </c>
      <c r="S53" s="11"/>
      <c r="T53" s="56" t="str">
        <f ca="1">IFERROR(ROUND(R53/(1-S53),0),"")</f>
      </c>
      <c r="U53" s="41" t="str">
        <f ca="1">IFERROR(ROUND(T53*N53,0),"")</f>
      </c>
    </row>
    <row r="54" spans="1:22" ht="11.65" customHeight="1">
      <c r="A54" s="9"/>
      <c r="B54" s="10"/>
      <c r="C54" s="9">
        <f ca="1">IFERROR(VLOOKUP(B54,DATA!$B$12:$D$13,3,0),0)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ca="1">IFERROR(IF(AND(OR(LEFT(B54,FIND(" ",B54,1)-1)="Đồng",LEFT(B54,FIND(" ",B54,1)-1)="Nhôm"),E54&gt;(F54/10)),5%,0),"")</f>
      </c>
      <c r="M54" s="41">
        <f ca="1">E54*F54*G54*H54</f>
        <v>0</v>
      </c>
      <c r="N54" s="118">
        <f ca="1">IFERROR((E54*F54*G54*H54/10^6),0)*C54</f>
        <v>0</v>
      </c>
      <c r="O54" s="11" t="str">
        <f ca="1">IFERROR(((E54+5)*(F54+5)*(G54+5))/(E54*F54*G54)-1,"")</f>
      </c>
      <c r="P54" s="12">
        <v>0.035</v>
      </c>
      <c r="Q54" s="41">
        <f ca="1">IFERROR(IF(H54&gt;50,E54*(H54*G54+(H54+2)*F54),IF(H54&gt;10,E54*(2*H54*G54+(H54+1)*F54),2*H54*E54*(F54+G54)))*1.2/N54,0)</f>
        <v>0</v>
      </c>
      <c r="R54" s="41" t="str">
        <f ca="1">IFERROR((D54*(1+O54+P54)+Q54+(($J$12+$K$12)/$N$62))/(1-L54-(I54*0.007/30)),"")</f>
      </c>
      <c r="S54" s="11"/>
      <c r="T54" s="56" t="str">
        <f ca="1">IFERROR(ROUND(R54/(1-S54),0),"")</f>
      </c>
      <c r="U54" s="41" t="str">
        <f ca="1">IFERROR(ROUND(T54*N54,0),"")</f>
      </c>
    </row>
    <row r="55" spans="1:22" ht="11.65" customHeight="1">
      <c r="A55" s="9"/>
      <c r="B55" s="10"/>
      <c r="C55" s="9">
        <f ca="1">IFERROR(VLOOKUP(B55,DATA!$B$12:$D$13,3,0),0)</f>
        <v>0</v>
      </c>
      <c r="D55" s="45"/>
      <c r="E55" s="28"/>
      <c r="F55" s="28"/>
      <c r="G55" s="28"/>
      <c r="H55" s="22"/>
      <c r="I55" s="22"/>
      <c r="J55" s="45"/>
      <c r="K55" s="22"/>
      <c r="L55" s="12" t="str">
        <f ca="1">IFERROR(IF(AND(OR(LEFT(B55,FIND(" ",B55,1)-1)="Đồng",LEFT(B55,FIND(" ",B55,1)-1)="Nhôm"),E55&gt;(F55/10)),5%,0),"")</f>
      </c>
      <c r="M55" s="41">
        <f ca="1">E55*F55*G55*H55</f>
        <v>0</v>
      </c>
      <c r="N55" s="118">
        <f ca="1">IFERROR((E55*F55*G55*H55/10^6),0)*C55</f>
        <v>0</v>
      </c>
      <c r="O55" s="11" t="str">
        <f ca="1">IFERROR(((E55+5)*(F55+5)*(G55+5))/(E55*F55*G55)-1,"")</f>
      </c>
      <c r="P55" s="12">
        <v>0.035</v>
      </c>
      <c r="Q55" s="41">
        <f ca="1">IFERROR(IF(H55&gt;50,E55*(H55*G55+(H55+2)*F55),IF(H55&gt;10,E55*(2*H55*G55+(H55+1)*F55),2*H55*E55*(F55+G55)))*1.2/N55,0)</f>
        <v>0</v>
      </c>
      <c r="R55" s="41" t="str">
        <f ca="1">IFERROR((D55*(1+O55+P55)+Q55+(($J$12+$K$12)/$N$62))/(1-L55-(I55*0.007/30)),"")</f>
      </c>
      <c r="S55" s="11"/>
      <c r="T55" s="56" t="str">
        <f ca="1">IFERROR(ROUND(R55/(1-S55),0),"")</f>
      </c>
      <c r="U55" s="41" t="str">
        <f ca="1">IFERROR(ROUND(T55*N55,0),"")</f>
      </c>
    </row>
    <row r="56" spans="1:22" ht="11.65" customHeight="1">
      <c r="A56" s="9"/>
      <c r="B56" s="10"/>
      <c r="C56" s="9">
        <f ca="1">IFERROR(VLOOKUP(B56,DATA!$B$12:$D$13,3,0),0)</f>
        <v>0</v>
      </c>
      <c r="D56" s="45"/>
      <c r="E56" s="28"/>
      <c r="F56" s="28"/>
      <c r="G56" s="28"/>
      <c r="H56" s="22"/>
      <c r="I56" s="22"/>
      <c r="J56" s="45"/>
      <c r="K56" s="22"/>
      <c r="L56" s="12" t="str">
        <f ca="1">IFERROR(IF(AND(OR(LEFT(B56,FIND(" ",B56,1)-1)="Đồng",LEFT(B56,FIND(" ",B56,1)-1)="Nhôm"),E56&gt;(F56/10)),5%,0),"")</f>
      </c>
      <c r="M56" s="41">
        <f ca="1">E56*F56*G56*H56</f>
        <v>0</v>
      </c>
      <c r="N56" s="118">
        <f ca="1">IFERROR((E56*F56*G56*H56/10^6),0)*C56</f>
        <v>0</v>
      </c>
      <c r="O56" s="11" t="str">
        <f ca="1">IFERROR(((E56+5)*(F56+5)*(G56+5))/(E56*F56*G56)-1,"")</f>
      </c>
      <c r="P56" s="12">
        <v>0.035</v>
      </c>
      <c r="Q56" s="41">
        <f ca="1">IFERROR(IF(H56&gt;50,E56*(H56*G56+(H56+2)*F56),IF(H56&gt;10,E56*(2*H56*G56+(H56+1)*F56),2*H56*E56*(F56+G56)))*1.2/N56,0)</f>
        <v>0</v>
      </c>
      <c r="R56" s="41" t="str">
        <f ca="1">IFERROR((D56*(1+O56+P56)+Q56+(($J$12+$K$12)/$N$62))/(1-L56-(I56*0.007/30)),"")</f>
      </c>
      <c r="S56" s="11"/>
      <c r="T56" s="56" t="str">
        <f ca="1">IFERROR(ROUND(R56/(1-S56),0),"")</f>
      </c>
      <c r="U56" s="41" t="str">
        <f ca="1">IFERROR(ROUND(T56*N56,0),"")</f>
      </c>
    </row>
    <row r="57" spans="1:22" ht="11.65" customHeight="1">
      <c r="A57" s="9"/>
      <c r="B57" s="10"/>
      <c r="C57" s="9">
        <f ca="1">IFERROR(VLOOKUP(B57,DATA!$B$12:$D$13,3,0),0)</f>
        <v>0</v>
      </c>
      <c r="D57" s="45"/>
      <c r="E57" s="28"/>
      <c r="F57" s="28"/>
      <c r="G57" s="28"/>
      <c r="H57" s="22"/>
      <c r="I57" s="22"/>
      <c r="J57" s="45"/>
      <c r="K57" s="22"/>
      <c r="L57" s="12" t="str">
        <f ca="1">IFERROR(IF(AND(OR(LEFT(B57,FIND(" ",B57,1)-1)="Đồng",LEFT(B57,FIND(" ",B57,1)-1)="Nhôm"),E57&gt;(F57/10)),5%,0),"")</f>
      </c>
      <c r="M57" s="41">
        <f ca="1">E57*F57*G57*H57</f>
        <v>0</v>
      </c>
      <c r="N57" s="118">
        <f ca="1">IFERROR((E57*F57*G57*H57/10^6),0)*C57</f>
        <v>0</v>
      </c>
      <c r="O57" s="11" t="str">
        <f ca="1">IFERROR(((E57+5)*(F57+5)*(G57+5))/(E57*F57*G57)-1,"")</f>
      </c>
      <c r="P57" s="12">
        <v>0.035</v>
      </c>
      <c r="Q57" s="41">
        <f ca="1">IFERROR(IF(H57&gt;50,E57*(H57*G57+(H57+2)*F57),IF(H57&gt;10,E57*(2*H57*G57+(H57+1)*F57),2*H57*E57*(F57+G57)))*1.2/N57,0)</f>
        <v>0</v>
      </c>
      <c r="R57" s="41" t="str">
        <f ca="1">IFERROR((D57*(1+O57+P57)+Q57+(($J$12+$K$12)/$N$62))/(1-L57-(I57*0.007/30)),"")</f>
      </c>
      <c r="S57" s="11"/>
      <c r="T57" s="56" t="str">
        <f ca="1">IFERROR(ROUND(R57/(1-S57),0),"")</f>
      </c>
      <c r="U57" s="41" t="str">
        <f ca="1">IFERROR(ROUND(T57*N57,0),"")</f>
      </c>
    </row>
    <row r="58" spans="1:22" ht="11.65" customHeight="1">
      <c r="A58" s="9"/>
      <c r="B58" s="10"/>
      <c r="C58" s="9">
        <f ca="1">IFERROR(VLOOKUP(B58,DATA!$B$12:$D$13,3,0),0)</f>
        <v>0</v>
      </c>
      <c r="D58" s="45"/>
      <c r="E58" s="28"/>
      <c r="F58" s="28"/>
      <c r="G58" s="28"/>
      <c r="H58" s="22"/>
      <c r="I58" s="22"/>
      <c r="J58" s="45"/>
      <c r="K58" s="22"/>
      <c r="L58" s="12" t="str">
        <f ca="1">IFERROR(IF(AND(OR(LEFT(B58,FIND(" ",B58,1)-1)="Đồng",LEFT(B58,FIND(" ",B58,1)-1)="Nhôm"),E58&gt;(F58/10)),5%,0),"")</f>
      </c>
      <c r="M58" s="41">
        <f ca="1">E58*F58*G58*H58</f>
        <v>0</v>
      </c>
      <c r="N58" s="118">
        <f ca="1">IFERROR((E58*F58*G58*H58/10^6),0)*C58</f>
        <v>0</v>
      </c>
      <c r="O58" s="11" t="str">
        <f ca="1">IFERROR(((E58+5)*(F58+5)*(G58+5))/(E58*F58*G58)-1,"")</f>
      </c>
      <c r="P58" s="12">
        <v>0.035</v>
      </c>
      <c r="Q58" s="41">
        <f ca="1">IFERROR(IF(H58&gt;50,E58*(H58*G58+(H58+2)*F58),IF(H58&gt;10,E58*(2*H58*G58+(H58+1)*F58),2*H58*E58*(F58+G58)))*1.2/N58,0)</f>
        <v>0</v>
      </c>
      <c r="R58" s="41" t="str">
        <f ca="1">IFERROR((D58*(1+O58+P58)+Q58+(($J$12+$K$12)/$N$62))/(1-L58-(I58*0.007/30)),"")</f>
      </c>
      <c r="S58" s="11"/>
      <c r="T58" s="56" t="str">
        <f ca="1">IFERROR(ROUND(R58/(1-S58),0),"")</f>
      </c>
      <c r="U58" s="41" t="str">
        <f ca="1">IFERROR(ROUND(T58*N58,0),"")</f>
      </c>
    </row>
    <row r="59" spans="1:22" ht="11.65" customHeight="1">
      <c r="A59" s="9"/>
      <c r="B59" s="10"/>
      <c r="C59" s="9">
        <f ca="1">IFERROR(VLOOKUP(B59,DATA!$B$12:$D$13,3,0),0)</f>
        <v>0</v>
      </c>
      <c r="D59" s="45"/>
      <c r="E59" s="28"/>
      <c r="F59" s="28"/>
      <c r="G59" s="28"/>
      <c r="H59" s="22"/>
      <c r="I59" s="22"/>
      <c r="J59" s="45"/>
      <c r="K59" s="22"/>
      <c r="L59" s="12" t="str">
        <f ca="1">IFERROR(IF(AND(OR(LEFT(B59,FIND(" ",B59,1)-1)="Đồng",LEFT(B59,FIND(" ",B59,1)-1)="Nhôm"),E59&gt;(F59/10)),5%,0),"")</f>
      </c>
      <c r="M59" s="41">
        <f ca="1">E59*F59*G59*H59</f>
        <v>0</v>
      </c>
      <c r="N59" s="118">
        <f ca="1">IFERROR((E59*F59*G59*H59/10^6),0)*C59</f>
        <v>0</v>
      </c>
      <c r="O59" s="11" t="str">
        <f ca="1">IFERROR(((E59+5)*(F59+5)*(G59+5))/(E59*F59*G59)-1,"")</f>
      </c>
      <c r="P59" s="12">
        <v>0.035</v>
      </c>
      <c r="Q59" s="41">
        <f ca="1">IFERROR(IF(H59&gt;50,E59*(H59*G59+(H59+2)*F59),IF(H59&gt;10,E59*(2*H59*G59+(H59+1)*F59),2*H59*E59*(F59+G59)))*1.2/N59,0)</f>
        <v>0</v>
      </c>
      <c r="R59" s="41" t="str">
        <f ca="1">IFERROR((D59*(1+O59+P59)+Q59+(($J$12+$K$12)/$N$62))/(1-L59-(I59*0.007/30)),"")</f>
      </c>
      <c r="S59" s="11"/>
      <c r="T59" s="56" t="str">
        <f ca="1">IFERROR(ROUND(R59/(1-S59),0),"")</f>
      </c>
      <c r="U59" s="41" t="str">
        <f ca="1">IFERROR(ROUND(T59*N59,0),"")</f>
      </c>
    </row>
    <row r="60" spans="1:22" ht="11.65" customHeight="1">
      <c r="A60" s="9"/>
      <c r="B60" s="10"/>
      <c r="C60" s="9">
        <f ca="1">IFERROR(VLOOKUP(B60,DATA!$B$12:$D$13,3,0),0)</f>
        <v>0</v>
      </c>
      <c r="D60" s="45"/>
      <c r="E60" s="28"/>
      <c r="F60" s="28"/>
      <c r="G60" s="28"/>
      <c r="H60" s="22"/>
      <c r="I60" s="22"/>
      <c r="J60" s="45"/>
      <c r="K60" s="22"/>
      <c r="L60" s="12" t="str">
        <f ca="1">IFERROR(IF(AND(OR(LEFT(B60,FIND(" ",B60,1)-1)="Đồng",LEFT(B60,FIND(" ",B60,1)-1)="Nhôm"),E60&gt;(F60/10)),5%,0),"")</f>
      </c>
      <c r="M60" s="41">
        <f ca="1">E60*F60*G60*H60</f>
        <v>0</v>
      </c>
      <c r="N60" s="118">
        <f ca="1">IFERROR((E60*F60*G60*H60/10^6),0)*C60</f>
        <v>0</v>
      </c>
      <c r="O60" s="11" t="str">
        <f ca="1">IFERROR(((E60+5)*(F60+5)*(G60+5))/(E60*F60*G60)-1,"")</f>
      </c>
      <c r="P60" s="12">
        <v>0.035</v>
      </c>
      <c r="Q60" s="41">
        <f ca="1">IFERROR(IF(H60&gt;50,E60*(H60*G60+(H60+2)*F60),IF(H60&gt;10,E60*(2*H60*G60+(H60+1)*F60),2*H60*E60*(F60+G60)))*1.2/N60,0)</f>
        <v>0</v>
      </c>
      <c r="R60" s="41" t="str">
        <f ca="1">IFERROR((D60*(1+O60+P60)+Q60+(($J$12+$K$12)/$N$62))/(1-L60-(I60*0.007/30)),"")</f>
      </c>
      <c r="S60" s="11"/>
      <c r="T60" s="56" t="str">
        <f ca="1">IFERROR(ROUND(R60/(1-S60),0),"")</f>
      </c>
      <c r="U60" s="41" t="str">
        <f ca="1">IFERROR(ROUND(T60*N60,0),"")</f>
      </c>
    </row>
    <row r="61" spans="1:22" ht="11.65" customHeight="1">
      <c r="A61" s="14"/>
      <c r="B61" s="13"/>
      <c r="C61" s="14">
        <f ca="1">IFERROR(VLOOKUP(B61,DATA!$B$12:$D$13,3,0),0)</f>
        <v>0</v>
      </c>
      <c r="D61" s="46"/>
      <c r="E61" s="29"/>
      <c r="F61" s="29"/>
      <c r="G61" s="29"/>
      <c r="H61" s="23"/>
      <c r="I61" s="23"/>
      <c r="J61" s="46"/>
      <c r="K61" s="23"/>
      <c r="L61" s="16" t="str">
        <f ca="1">IFERROR(IF(AND(OR(LEFT(B61,FIND(" ",B61,1)-1)="Đồng",LEFT(B61,FIND(" ",B61,1)-1)="Nhôm"),E61&gt;(F61/10)),5%,0),"")</f>
      </c>
      <c r="M61" s="42">
        <f ca="1">E61*F61*G61*H61</f>
        <v>0</v>
      </c>
      <c r="N61" s="119">
        <f ca="1">IFERROR((E61*F61*G61*H61/10^6),0)*C61</f>
        <v>0</v>
      </c>
      <c r="O61" s="15" t="str">
        <f ca="1">IFERROR(((E61+5)*(F61+5)*(G61+5))/(E61*F61*G61)-1,"")</f>
      </c>
      <c r="P61" s="16">
        <v>0.035</v>
      </c>
      <c r="Q61" s="42">
        <f ca="1">IFERROR(IF(H61&gt;50,E61*(H61*G61+(H61+2)*F61),IF(H61&gt;10,E61*(2*H61*G61+(H61+1)*F61),2*H61*E61*(F61+G61)))*1.2/N61,0)</f>
        <v>0</v>
      </c>
      <c r="R61" s="42" t="str">
        <f ca="1">IFERROR((D61*(1+O61+P61)+Q61+(($J$12+$K$12)/$N$62))/(1-L61-(I61*0.007/30)),"")</f>
      </c>
      <c r="S61" s="15"/>
      <c r="T61" s="56" t="str">
        <f ca="1">IFERROR(ROUND(R61/(1-S61),0),"")</f>
      </c>
      <c r="U61" s="42" t="str">
        <f ca="1">IFERROR(ROUND(T61*N61,0),"")</f>
      </c>
    </row>
    <row r="62" spans="1:22" ht="11.65" customHeight="1">
      <c r="A62" s="17" t="s">
        <v>85</v>
      </c>
      <c r="B62" s="18"/>
      <c r="C62" s="18"/>
      <c r="D62" s="47"/>
      <c r="E62" s="30"/>
      <c r="F62" s="31"/>
      <c r="G62" s="32"/>
      <c r="H62" s="34">
        <f ca="1">SUM(H12:H61)</f>
        <v>10</v>
      </c>
      <c r="I62" s="34"/>
      <c r="J62" s="43"/>
      <c r="K62" s="34"/>
      <c r="L62" s="37"/>
      <c r="M62" s="43"/>
      <c r="N62" s="120">
        <f ca="1">SUM(N12:N61)</f>
        <v>1.1328749999999999</v>
      </c>
      <c r="O62" s="52"/>
      <c r="P62" s="50"/>
      <c r="Q62" s="53"/>
      <c r="R62" s="53"/>
      <c r="S62" s="50"/>
      <c r="T62" s="43"/>
      <c r="U62" s="43"/>
    </row>
    <row r="63" spans="18:20" ht="11.65" customHeight="1">
      <c r="R63" s="54"/>
      <c r="S63" s="55"/>
    </row>
    <row r="64" spans="18:20" ht="11.65" customHeight="1">
      <c r="R64" s="54"/>
      <c r="S64" s="55"/>
    </row>
    <row r="65" spans="18:20" ht="11.65" customHeight="1">
      <c r="R65" s="54"/>
      <c r="S65" s="55"/>
    </row>
    <row r="66" spans="18:20" ht="11.65" customHeight="1">
      <c r="R66" s="54"/>
      <c r="S66" s="55"/>
    </row>
    <row r="67" spans="18:20" ht="11.65" customHeight="1">
      <c r="R67" s="54"/>
      <c r="S67" s="55"/>
    </row>
    <row r="68" spans="18:20" ht="11.65" customHeight="1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/>
  </dataValidations>
  <printOptions/>
  <pageMargins left="0.7" right="0.7" top="0.75" bottom="0.75" header="0.3" footer="0.3"/>
  <pageSetup horizontalDpi="600" verticalDpi="600" orientation="portrait" paperSize="9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8"/>
  <sheetViews>
    <sheetView workbookViewId="0" topLeftCell="A10">
      <pane ySplit="2" topLeftCell="A12" activePane="bottomLeft" state="frozen"/>
      <selection pane="topLeft" activeCell="A10" sqref="A10"/>
      <selection pane="bottomLeft" activeCell="A11" sqref="A11:XFD11"/>
    </sheetView>
  </sheetViews>
  <sheetFormatPr defaultColWidth="8.571428571428571" defaultRowHeight="11.65" customHeight="1"/>
  <cols>
    <col min="1" max="1" width="17" style="2" customWidth="1"/>
    <col min="2" max="2" width="18" style="2" customWidth="1"/>
    <col min="3" max="3" width="11" style="2" customWidth="1"/>
    <col min="4" max="4" width="13" style="39" customWidth="1"/>
    <col min="5" max="7" width="8" style="26" customWidth="1"/>
    <col min="8" max="8" width="6" style="19" customWidth="1"/>
    <col min="9" max="9" width="7" style="19" customWidth="1"/>
    <col min="10" max="10" width="7" style="39" customWidth="1"/>
    <col min="11" max="11" width="10" style="19" customWidth="1"/>
    <col min="12" max="12" width="7" style="35" customWidth="1"/>
    <col min="13" max="13" width="11" style="39" customWidth="1"/>
    <col min="14" max="14" width="7" style="57" customWidth="1"/>
    <col min="15" max="15" width="13.571428571428571" style="51" customWidth="1"/>
    <col min="16" max="16" width="12.714285714285714" style="35" customWidth="1"/>
    <col min="17" max="17" width="10" style="39" customWidth="1"/>
    <col min="18" max="18" width="15.428571428571429" style="39" customWidth="1"/>
    <col min="19" max="19" width="8" style="35" customWidth="1"/>
    <col min="20" max="20" width="13.142857142857142" style="39" customWidth="1"/>
    <col min="21" max="21" width="12" style="39" customWidth="1"/>
    <col min="22" max="22" width="8" style="2" customWidth="1"/>
    <col min="23" max="23" width="8.142857142857142" style="2" customWidth="1"/>
    <col min="24" max="24" width="8.285714285714286" style="2" customWidth="1"/>
    <col min="25" max="25" width="8.428571428571429" style="2" customWidth="1"/>
    <col min="26" max="16384" width="8.571428571428571" style="2" customWidth="1"/>
  </cols>
  <sheetData>
    <row r="1" spans="5:7" ht="41.1" customHeight="1" hidden="1">
      <c r="E1" s="24" t="s">
        <v>3</v>
      </c>
      <c r="F1" s="25">
        <v>140000</v>
      </c>
    </row>
    <row r="2" spans="1:4" ht="14.25" customHeight="1" hidden="1">
      <c r="A2" s="2" t="s">
        <v>101</v>
      </c>
      <c r="B2" s="2" t="s">
        <v>98</v>
      </c>
      <c r="C2" s="2" t="s">
        <v>17</v>
      </c>
    </row>
    <row r="3" spans="1:4" ht="14.25" customHeight="1" hidden="1">
      <c r="A3" s="2" t="s">
        <v>97</v>
      </c>
      <c r="B3" s="2" t="s">
        <v>5</v>
      </c>
      <c r="C3" s="2" t="s">
        <v>21</v>
      </c>
    </row>
    <row r="4" spans="1:4" ht="14.25" customHeight="1" hidden="1">
      <c r="A4" s="2" t="s">
        <v>77</v>
      </c>
      <c r="B4" s="2" t="s">
        <v>23</v>
      </c>
      <c r="C4" s="2" t="s">
        <v>111</v>
      </c>
    </row>
    <row r="5" spans="1:4" ht="14.25" customHeight="1" hidden="1">
      <c r="A5" s="2" t="s">
        <v>90</v>
      </c>
      <c r="B5" s="2" t="s">
        <v>52</v>
      </c>
      <c r="C5" s="2" t="s">
        <v>44</v>
      </c>
    </row>
    <row r="6" spans="1:21" ht="14.25" customHeight="1" hidden="1"/>
    <row r="7" spans="1:21" ht="14.25" customHeight="1" hidden="1"/>
    <row r="8" spans="1:21" ht="14.25" customHeight="1" hidden="1"/>
    <row r="9" spans="1:21" ht="14.25" customHeight="1" hidden="1"/>
    <row r="10" spans="1:21" ht="25.5" customHeight="1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68</v>
      </c>
      <c r="T10" s="162"/>
      <c r="U10" s="163"/>
    </row>
    <row r="11" spans="1:21" ht="11.65" customHeight="1">
      <c r="A11" s="3" t="s">
        <v>38</v>
      </c>
      <c r="B11" s="3" t="s">
        <v>19</v>
      </c>
      <c r="C11" s="4" t="s">
        <v>20</v>
      </c>
      <c r="D11" s="20" t="s">
        <v>6</v>
      </c>
      <c r="E11" s="48" t="s">
        <v>10</v>
      </c>
      <c r="F11" s="48" t="s">
        <v>114</v>
      </c>
      <c r="G11" s="48" t="s">
        <v>73</v>
      </c>
      <c r="H11" s="33" t="s">
        <v>104</v>
      </c>
      <c r="I11" s="20" t="s">
        <v>100</v>
      </c>
      <c r="J11" s="20" t="s">
        <v>67</v>
      </c>
      <c r="K11" s="20" t="s">
        <v>105</v>
      </c>
      <c r="L11" s="36" t="s">
        <v>108</v>
      </c>
      <c r="M11" s="38" t="s">
        <v>43</v>
      </c>
      <c r="N11" s="58" t="s">
        <v>63</v>
      </c>
      <c r="O11" s="49" t="s">
        <v>48</v>
      </c>
      <c r="P11" s="49" t="s">
        <v>60</v>
      </c>
      <c r="Q11" s="38" t="s">
        <v>112</v>
      </c>
      <c r="R11" s="38" t="s">
        <v>106</v>
      </c>
      <c r="S11" s="49" t="s">
        <v>0</v>
      </c>
      <c r="T11" s="38" t="s">
        <v>61</v>
      </c>
      <c r="U11" s="38" t="s">
        <v>84</v>
      </c>
    </row>
    <row r="12" spans="1:21" ht="11.65" customHeight="1">
      <c r="A12" s="5"/>
      <c r="B12" s="6" t="s">
        <v>54</v>
      </c>
      <c r="C12" s="5">
        <f ca="1">IFERROR(VLOOKUP(B12,DATA!$B$17:$D$18,3,0),0)</f>
        <v>7.95</v>
      </c>
      <c r="D12" s="44">
        <v>170000</v>
      </c>
      <c r="E12" s="27">
        <v>12</v>
      </c>
      <c r="F12" s="27">
        <v>285</v>
      </c>
      <c r="G12" s="27">
        <v>655</v>
      </c>
      <c r="H12" s="21">
        <v>2</v>
      </c>
      <c r="I12" s="21"/>
      <c r="J12" s="44"/>
      <c r="K12" s="21"/>
      <c r="L12" s="8">
        <f ca="1">IFERROR(IF(AND(OR(LEFT(B12,FIND(" ",B12,1)-1)="Đồng",LEFT(B12,FIND(" ",B12,1)-1)="Nhôm"),E12&gt;(F12/10)),5%,0),"")</f>
        <v>0</v>
      </c>
      <c r="M12" s="40">
        <f ca="1">E12*F12*G12*H12</f>
        <v>4480200</v>
      </c>
      <c r="N12" s="118">
        <f ca="1">IFERROR((E12*F12*G12*H12/10^6),0)*C12</f>
        <v>35.61759</v>
      </c>
      <c r="O12" s="7">
        <f ca="1">IFERROR(IF(H12&gt;50,E12*(H12*G12+(H12+2)*F12),IF(H12&gt;10,E12*(2*H12*G12+(H12+1)*F12),2*H12*E12*(F12+G12)))*6/M12,"")</f>
        <v>0.06042587384491764</v>
      </c>
      <c r="P12" s="8">
        <v>0.035</v>
      </c>
      <c r="Q12" s="40">
        <f ca="1">IFERROR(IF(H12&gt;50,E12*(H12*G12+(H12+2)*F12),IF(H12&gt;10,E12*(2*H12*G12+(H12+1)*F12),2*H12*E12*(F12+G12)))*3/N12,0)</f>
        <v>3800.3694242086563</v>
      </c>
      <c r="R12" s="41">
        <f ca="1">IFERROR((D12*(1+O12+P12)+Q12)/(1-(I12*0.007/30)),"")</f>
        <v>190022.76797784463</v>
      </c>
      <c r="S12" s="7">
        <v>0.17</v>
      </c>
      <c r="T12" s="56">
        <f ca="1">IFERROR(ROUND(R12/(1-S12)+($J$12+$K$12)/($N$62*(1-L12)),-3),"")</f>
        <v>229000</v>
      </c>
      <c r="U12" s="40">
        <f ca="1">IFERROR(ROUND(T12*N12,0),"")</f>
        <v>8156428</v>
      </c>
    </row>
    <row r="13" spans="1:21" ht="11.65" customHeight="1">
      <c r="A13" s="9"/>
      <c r="B13" s="6" t="s">
        <v>54</v>
      </c>
      <c r="C13" s="9">
        <f ca="1">IFERROR(VLOOKUP(B13,DATA!$B$17:$D$18,3,0),0)</f>
        <v>7.95</v>
      </c>
      <c r="D13" s="44">
        <v>165000</v>
      </c>
      <c r="E13" s="28"/>
      <c r="F13" s="28"/>
      <c r="G13" s="28"/>
      <c r="H13" s="22"/>
      <c r="I13" s="22"/>
      <c r="J13" s="45"/>
      <c r="K13" s="22"/>
      <c r="L13" s="12">
        <f ca="1">IFERROR(IF(AND(OR(LEFT(B13,FIND(" ",B13,1)-1)="Đồng",LEFT(B13,FIND(" ",B13,1)-1)="Nhôm"),E13&gt;(F13/10)),5%,0),"")</f>
        <v>0</v>
      </c>
      <c r="M13" s="41">
        <f ca="1">E13*F13*G13*H13</f>
        <v>0</v>
      </c>
      <c r="N13" s="118">
        <f ca="1">IFERROR((E13*F13*G13*H13/10^6),0)*C13</f>
        <v>0</v>
      </c>
      <c r="O13" s="11" t="str">
        <f ca="1">IFERROR(IF(H13&gt;50,E13*(H13*G13+(H13+2)*F13),IF(H13&gt;10,E13*(2*H13*G13+(H13+1)*F13),2*H13*E13*(F13+G13)))*6/M13,"")</f>
      </c>
      <c r="P13" s="12">
        <v>0.035</v>
      </c>
      <c r="Q13" s="41">
        <f ca="1">IFERROR(IF(H13&gt;50,E13*(H13*G13+(H13+2)*F13),IF(H13&gt;10,E13*(2*H13*G13+(H13+1)*F13),2*H13*E13*(F13+G13)))*3/N13,0)</f>
        <v>0</v>
      </c>
      <c r="R13" s="41" t="str">
        <f ca="1">IFERROR((D13*(1+O13+P13)+Q13)/(1-(I13*0.007/30)),"")</f>
      </c>
      <c r="S13" s="11">
        <f ca="1">IFERROR(VLOOKUP(B13,DATA!$B$17:$D$18,2,0),"")</f>
        <v>0.25</v>
      </c>
      <c r="T13" s="56" t="str">
        <f ca="1">IFERROR(ROUND(R13/(1-S13)+($J$12+$K$12)/($N$62*(1-L13)),-3),"")</f>
      </c>
      <c r="U13" s="41" t="str">
        <f ca="1">IFERROR(ROUND(T13*N13,0),"")</f>
      </c>
    </row>
    <row r="14" spans="1:21" ht="11.65" customHeight="1">
      <c r="A14" s="9"/>
      <c r="B14" s="6" t="s">
        <v>54</v>
      </c>
      <c r="C14" s="9">
        <f ca="1">IFERROR(VLOOKUP(B14,DATA!$B$17:$D$18,3,0),0)</f>
        <v>7.95</v>
      </c>
      <c r="D14" s="44">
        <v>165000</v>
      </c>
      <c r="E14" s="28"/>
      <c r="F14" s="28"/>
      <c r="G14" s="28"/>
      <c r="H14" s="22"/>
      <c r="I14" s="22"/>
      <c r="J14" s="45"/>
      <c r="K14" s="22"/>
      <c r="L14" s="12">
        <f ca="1">IFERROR(IF(AND(OR(LEFT(B14,FIND(" ",B14,1)-1)="Đồng",LEFT(B14,FIND(" ",B14,1)-1)="Nhôm"),E14&gt;(F14/10)),5%,0),"")</f>
        <v>0</v>
      </c>
      <c r="M14" s="41">
        <f ca="1">E14*F14*G14*H14</f>
        <v>0</v>
      </c>
      <c r="N14" s="118">
        <f ca="1">IFERROR((E14*F14*G14*H14/10^6),0)*C14</f>
        <v>0</v>
      </c>
      <c r="O14" s="11" t="str">
        <f ca="1">IFERROR(IF(H14&gt;50,E14*(H14*G14+(H14+2)*F14),IF(H14&gt;10,E14*(2*H14*G14+(H14+1)*F14),2*H14*E14*(F14+G14)))*6/M14,"")</f>
      </c>
      <c r="P14" s="12">
        <v>0.035</v>
      </c>
      <c r="Q14" s="41">
        <f ca="1">IFERROR(IF(H14&gt;50,E14*(H14*G14+(H14+2)*F14),IF(H14&gt;10,E14*(2*H14*G14+(H14+1)*F14),2*H14*E14*(F14+G14)))*3/N14,0)</f>
        <v>0</v>
      </c>
      <c r="R14" s="41" t="str">
        <f ca="1">IFERROR((D14*(1+O14+P14)+Q14)/(1-(I14*0.007/30)),"")</f>
      </c>
      <c r="S14" s="11">
        <f ca="1">IFERROR(VLOOKUP(B14,DATA!$B$17:$D$18,2,0),"")</f>
        <v>0.25</v>
      </c>
      <c r="T14" s="56" t="str">
        <f ca="1">IFERROR(ROUND(R14/(1-S14)+($J$12+$K$12)/($N$62*(1-L14)),-3),"")</f>
      </c>
      <c r="U14" s="41" t="str">
        <f ca="1">IFERROR(ROUND(T14*N14,0),"")</f>
      </c>
    </row>
    <row r="15" spans="1:21" ht="11.65" customHeight="1">
      <c r="A15" s="9"/>
      <c r="B15" s="6" t="s">
        <v>54</v>
      </c>
      <c r="C15" s="9">
        <f ca="1">IFERROR(VLOOKUP(B15,DATA!$B$17:$D$18,3,0),0)</f>
        <v>7.95</v>
      </c>
      <c r="D15" s="44">
        <v>165000</v>
      </c>
      <c r="E15" s="28"/>
      <c r="F15" s="28"/>
      <c r="G15" s="28"/>
      <c r="H15" s="22"/>
      <c r="I15" s="22"/>
      <c r="J15" s="45"/>
      <c r="K15" s="22"/>
      <c r="L15" s="12">
        <f ca="1">IFERROR(IF(AND(OR(LEFT(B15,FIND(" ",B15,1)-1)="Đồng",LEFT(B15,FIND(" ",B15,1)-1)="Nhôm"),E15&gt;(F15/10)),5%,0),"")</f>
        <v>0</v>
      </c>
      <c r="M15" s="41">
        <f ca="1">E15*F15*G15*H15</f>
        <v>0</v>
      </c>
      <c r="N15" s="118">
        <f ca="1">IFERROR((E15*F15*G15*H15/10^6),0)*C15</f>
        <v>0</v>
      </c>
      <c r="O15" s="11" t="str">
        <f ca="1">IFERROR(IF(H15&gt;50,E15*(H15*G15+(H15+2)*F15),IF(H15&gt;10,E15*(2*H15*G15+(H15+1)*F15),2*H15*E15*(F15+G15)))*6/M15,"")</f>
      </c>
      <c r="P15" s="12">
        <v>0.035</v>
      </c>
      <c r="Q15" s="41">
        <f ca="1">IFERROR(IF(H15&gt;50,E15*(H15*G15+(H15+2)*F15),IF(H15&gt;10,E15*(2*H15*G15+(H15+1)*F15),2*H15*E15*(F15+G15)))*3/N15,0)</f>
        <v>0</v>
      </c>
      <c r="R15" s="41" t="str">
        <f ca="1">IFERROR((D15*(1+O15+P15)+Q15)/(1-(I15*0.007/30)),"")</f>
      </c>
      <c r="S15" s="11">
        <f ca="1">IFERROR(VLOOKUP(B15,DATA!$B$17:$D$18,2,0),"")</f>
        <v>0.25</v>
      </c>
      <c r="T15" s="56" t="str">
        <f ca="1">IFERROR(ROUND(R15/(1-S15)+($J$12+$K$12)/($N$62*(1-L15)),-3),"")</f>
      </c>
      <c r="U15" s="41" t="str">
        <f ca="1">IFERROR(ROUND(T15*N15,0),"")</f>
      </c>
    </row>
    <row r="16" spans="1:21" ht="11.65" customHeight="1">
      <c r="A16" s="9"/>
      <c r="B16" s="6" t="s">
        <v>54</v>
      </c>
      <c r="C16" s="9">
        <f ca="1">IFERROR(VLOOKUP(B16,DATA!$B$17:$D$18,3,0),0)</f>
        <v>7.95</v>
      </c>
      <c r="D16" s="44">
        <v>165000</v>
      </c>
      <c r="E16" s="28"/>
      <c r="F16" s="28"/>
      <c r="G16" s="28"/>
      <c r="H16" s="22"/>
      <c r="I16" s="22"/>
      <c r="J16" s="45"/>
      <c r="K16" s="22"/>
      <c r="L16" s="12">
        <f ca="1">IFERROR(IF(AND(OR(LEFT(B16,FIND(" ",B16,1)-1)="Đồng",LEFT(B16,FIND(" ",B16,1)-1)="Nhôm"),E16&gt;(F16/10)),5%,0),"")</f>
        <v>0</v>
      </c>
      <c r="M16" s="41">
        <f ca="1">E16*F16*G16*H16</f>
        <v>0</v>
      </c>
      <c r="N16" s="118">
        <f ca="1">IFERROR((E16*F16*G16*H16/10^6),0)*C16</f>
        <v>0</v>
      </c>
      <c r="O16" s="11" t="str">
        <f ca="1">IFERROR(IF(H16&gt;50,E16*(H16*G16+(H16+2)*F16),IF(H16&gt;10,E16*(2*H16*G16+(H16+1)*F16),2*H16*E16*(F16+G16)))*6/M16,"")</f>
      </c>
      <c r="P16" s="12">
        <v>0.035</v>
      </c>
      <c r="Q16" s="41">
        <f ca="1">IFERROR(IF(H16&gt;50,E16*(H16*G16+(H16+2)*F16),IF(H16&gt;10,E16*(2*H16*G16+(H16+1)*F16),2*H16*E16*(F16+G16)))*3/N16,0)</f>
        <v>0</v>
      </c>
      <c r="R16" s="41" t="str">
        <f ca="1">IFERROR((D16*(1+O16+P16)+Q16)/(1-(I16*0.007/30)),"")</f>
      </c>
      <c r="S16" s="11">
        <f ca="1">IFERROR(VLOOKUP(B16,DATA!$B$17:$D$18,2,0),"")</f>
        <v>0.25</v>
      </c>
      <c r="T16" s="56" t="str">
        <f ca="1">IFERROR(ROUND(R16/(1-S16)+($J$12+$K$12)/($N$62*(1-L16)),-3),"")</f>
      </c>
      <c r="U16" s="41" t="str">
        <f ca="1">IFERROR(ROUND(T16*N16,0),"")</f>
      </c>
    </row>
    <row r="17" spans="1:21" ht="11.65" customHeight="1">
      <c r="A17" s="9"/>
      <c r="B17" s="6" t="s">
        <v>54</v>
      </c>
      <c r="C17" s="9">
        <f ca="1">IFERROR(VLOOKUP(B17,DATA!$B$17:$D$18,3,0),0)</f>
        <v>7.95</v>
      </c>
      <c r="D17" s="44">
        <v>165000</v>
      </c>
      <c r="E17" s="28"/>
      <c r="F17" s="28"/>
      <c r="G17" s="28"/>
      <c r="H17" s="22"/>
      <c r="I17" s="22"/>
      <c r="J17" s="45"/>
      <c r="K17" s="22"/>
      <c r="L17" s="12">
        <f ca="1">IFERROR(IF(AND(OR(LEFT(B17,FIND(" ",B17,1)-1)="Đồng",LEFT(B17,FIND(" ",B17,1)-1)="Nhôm"),E17&gt;(F17/10)),5%,0),"")</f>
        <v>0</v>
      </c>
      <c r="M17" s="41">
        <f ca="1">E17*F17*G17*H17</f>
        <v>0</v>
      </c>
      <c r="N17" s="118">
        <f ca="1">IFERROR((E17*F17*G17*H17/10^6),0)*C17</f>
        <v>0</v>
      </c>
      <c r="O17" s="11" t="str">
        <f ca="1">IFERROR(IF(H17&gt;50,E17*(H17*G17+(H17+2)*F17),IF(H17&gt;10,E17*(2*H17*G17+(H17+1)*F17),2*H17*E17*(F17+G17)))*6/M17,"")</f>
      </c>
      <c r="P17" s="12">
        <v>0.035</v>
      </c>
      <c r="Q17" s="41">
        <f ca="1">IFERROR(IF(H17&gt;50,E17*(H17*G17+(H17+2)*F17),IF(H17&gt;10,E17*(2*H17*G17+(H17+1)*F17),2*H17*E17*(F17+G17)))*3/N17,0)</f>
        <v>0</v>
      </c>
      <c r="R17" s="41" t="str">
        <f ca="1">IFERROR((D17*(1+O17+P17)+Q17)/(1-(I17*0.007/30)),"")</f>
      </c>
      <c r="S17" s="11">
        <f ca="1">IFERROR(VLOOKUP(B17,DATA!$B$17:$D$18,2,0),"")</f>
        <v>0.25</v>
      </c>
      <c r="T17" s="56" t="str">
        <f ca="1">IFERROR(ROUND(R17/(1-S17)+($J$12+$K$12)/($N$62*(1-L17)),-3),"")</f>
      </c>
      <c r="U17" s="41" t="str">
        <f ca="1">IFERROR(ROUND(T17*N17,0),"")</f>
      </c>
    </row>
    <row r="18" spans="1:21" ht="11.65" customHeight="1">
      <c r="A18" s="9"/>
      <c r="B18" s="6" t="s">
        <v>54</v>
      </c>
      <c r="C18" s="9">
        <f ca="1">IFERROR(VLOOKUP(B18,DATA!$B$17:$D$18,3,0),0)</f>
        <v>7.95</v>
      </c>
      <c r="D18" s="44">
        <v>165000</v>
      </c>
      <c r="E18" s="28"/>
      <c r="F18" s="28"/>
      <c r="G18" s="28"/>
      <c r="H18" s="22"/>
      <c r="I18" s="22"/>
      <c r="J18" s="45"/>
      <c r="K18" s="22"/>
      <c r="L18" s="12">
        <f ca="1">IFERROR(IF(AND(OR(LEFT(B18,FIND(" ",B18,1)-1)="Đồng",LEFT(B18,FIND(" ",B18,1)-1)="Nhôm"),E18&gt;(F18/10)),5%,0),"")</f>
        <v>0</v>
      </c>
      <c r="M18" s="41">
        <f ca="1">E18*F18*G18*H18</f>
        <v>0</v>
      </c>
      <c r="N18" s="118">
        <f ca="1">IFERROR((E18*F18*G18*H18/10^6),0)*C18</f>
        <v>0</v>
      </c>
      <c r="O18" s="11" t="str">
        <f ca="1">IFERROR(IF(H18&gt;50,E18*(H18*G18+(H18+2)*F18),IF(H18&gt;10,E18*(2*H18*G18+(H18+1)*F18),2*H18*E18*(F18+G18)))*6/M18,"")</f>
      </c>
      <c r="P18" s="12">
        <v>0.035</v>
      </c>
      <c r="Q18" s="41">
        <f ca="1">IFERROR(IF(H18&gt;50,E18*(H18*G18+(H18+2)*F18),IF(H18&gt;10,E18*(2*H18*G18+(H18+1)*F18),2*H18*E18*(F18+G18)))*3/N18,0)</f>
        <v>0</v>
      </c>
      <c r="R18" s="41" t="str">
        <f ca="1">IFERROR((D18*(1+O18+P18)+Q18)/(1-(I18*0.007/30)),"")</f>
      </c>
      <c r="S18" s="11">
        <f ca="1">IFERROR(VLOOKUP(B18,DATA!$B$17:$D$18,2,0),"")</f>
        <v>0.25</v>
      </c>
      <c r="T18" s="56" t="str">
        <f ca="1">IFERROR(ROUND(R18/(1-S18)+($J$12+$K$12)/($N$62*(1-L18)),-3),"")</f>
      </c>
      <c r="U18" s="41" t="str">
        <f ca="1">IFERROR(ROUND(T18*N18,0),"")</f>
      </c>
    </row>
    <row r="19" spans="1:21" ht="11.65" customHeight="1">
      <c r="A19" s="9"/>
      <c r="B19" s="6" t="s">
        <v>54</v>
      </c>
      <c r="C19" s="9">
        <f ca="1">IFERROR(VLOOKUP(B19,DATA!$B$17:$D$18,3,0),0)</f>
        <v>7.95</v>
      </c>
      <c r="D19" s="44">
        <v>165000</v>
      </c>
      <c r="E19" s="28"/>
      <c r="F19" s="28"/>
      <c r="G19" s="28"/>
      <c r="H19" s="22"/>
      <c r="I19" s="22"/>
      <c r="J19" s="45"/>
      <c r="K19" s="22"/>
      <c r="L19" s="12">
        <f ca="1">IFERROR(IF(AND(OR(LEFT(B19,FIND(" ",B19,1)-1)="Đồng",LEFT(B19,FIND(" ",B19,1)-1)="Nhôm"),E19&gt;(F19/10)),5%,0),"")</f>
        <v>0</v>
      </c>
      <c r="M19" s="41">
        <f ca="1">E19*F19*G19*H19</f>
        <v>0</v>
      </c>
      <c r="N19" s="118">
        <f ca="1">IFERROR((E19*F19*G19*H19/10^6),0)*C19</f>
        <v>0</v>
      </c>
      <c r="O19" s="11" t="str">
        <f ca="1">IFERROR(IF(H19&gt;50,E19*(H19*G19+(H19+2)*F19),IF(H19&gt;10,E19*(2*H19*G19+(H19+1)*F19),2*H19*E19*(F19+G19)))*6/M19,"")</f>
      </c>
      <c r="P19" s="12">
        <v>0.035</v>
      </c>
      <c r="Q19" s="41">
        <f ca="1">IFERROR(IF(H19&gt;50,E19*(H19*G19+(H19+2)*F19),IF(H19&gt;10,E19*(2*H19*G19+(H19+1)*F19),2*H19*E19*(F19+G19)))*3/N19,0)</f>
        <v>0</v>
      </c>
      <c r="R19" s="41" t="str">
        <f ca="1">IFERROR((D19*(1+O19+P19)+Q19)/(1-(I19*0.007/30)),"")</f>
      </c>
      <c r="S19" s="11">
        <f ca="1">IFERROR(VLOOKUP(B19,DATA!$B$17:$D$18,2,0),"")</f>
        <v>0.25</v>
      </c>
      <c r="T19" s="56" t="str">
        <f ca="1">IFERROR(ROUND(R19/(1-S19)+($J$12+$K$12)/($N$62*(1-L19)),-3),"")</f>
      </c>
      <c r="U19" s="41" t="str">
        <f ca="1">IFERROR(ROUND(T19*N19,0),"")</f>
      </c>
    </row>
    <row r="20" spans="1:21" ht="11.65" customHeight="1">
      <c r="A20" s="9"/>
      <c r="B20" s="6" t="s">
        <v>54</v>
      </c>
      <c r="C20" s="9">
        <f ca="1">IFERROR(VLOOKUP(B20,DATA!$B$17:$D$18,3,0),0)</f>
        <v>7.95</v>
      </c>
      <c r="D20" s="44">
        <v>165000</v>
      </c>
      <c r="E20" s="28"/>
      <c r="F20" s="28"/>
      <c r="G20" s="28"/>
      <c r="H20" s="22"/>
      <c r="I20" s="22"/>
      <c r="J20" s="45"/>
      <c r="K20" s="22"/>
      <c r="L20" s="12">
        <f ca="1">IFERROR(IF(AND(OR(LEFT(B20,FIND(" ",B20,1)-1)="Đồng",LEFT(B20,FIND(" ",B20,1)-1)="Nhôm"),E20&gt;(F20/10)),5%,0),"")</f>
        <v>0</v>
      </c>
      <c r="M20" s="41">
        <f ca="1">E20*F20*G20*H20</f>
        <v>0</v>
      </c>
      <c r="N20" s="118">
        <f ca="1">IFERROR((E20*F20*G20*H20/10^6),0)*C20</f>
        <v>0</v>
      </c>
      <c r="O20" s="11" t="str">
        <f ca="1">IFERROR(IF(H20&gt;50,E20*(H20*G20+(H20+2)*F20),IF(H20&gt;10,E20*(2*H20*G20+(H20+1)*F20),2*H20*E20*(F20+G20)))*6/M20,"")</f>
      </c>
      <c r="P20" s="12">
        <v>0.035</v>
      </c>
      <c r="Q20" s="41">
        <f ca="1">IFERROR(IF(H20&gt;50,E20*(H20*G20+(H20+2)*F20),IF(H20&gt;10,E20*(2*H20*G20+(H20+1)*F20),2*H20*E20*(F20+G20)))*3/N20,0)</f>
        <v>0</v>
      </c>
      <c r="R20" s="41" t="str">
        <f ca="1">IFERROR((D20*(1+O20+P20)+Q20)/(1-(I20*0.007/30)),"")</f>
      </c>
      <c r="S20" s="11">
        <f ca="1">IFERROR(VLOOKUP(B20,DATA!$B$17:$D$18,2,0),"")</f>
        <v>0.25</v>
      </c>
      <c r="T20" s="56" t="str">
        <f ca="1">IFERROR(ROUND(R20/(1-S20)+($J$12+$K$12)/($N$62*(1-L20)),-3),"")</f>
      </c>
      <c r="U20" s="41" t="str">
        <f ca="1">IFERROR(ROUND(T20*N20,0),"")</f>
      </c>
    </row>
    <row r="21" spans="1:21" ht="11.65" customHeight="1">
      <c r="A21" s="9"/>
      <c r="B21" s="10" t="s">
        <v>50</v>
      </c>
      <c r="C21" s="9">
        <f ca="1">IFERROR(VLOOKUP(B21,DATA!$B$17:$D$18,3,0),0)</f>
        <v>7.95</v>
      </c>
      <c r="D21" s="45"/>
      <c r="E21" s="28"/>
      <c r="F21" s="28"/>
      <c r="G21" s="28"/>
      <c r="H21" s="22"/>
      <c r="I21" s="22"/>
      <c r="J21" s="45"/>
      <c r="K21" s="22"/>
      <c r="L21" s="12">
        <f ca="1">IFERROR(IF(AND(OR(LEFT(B21,FIND(" ",B21,1)-1)="Đồng",LEFT(B21,FIND(" ",B21,1)-1)="Nhôm"),E21&gt;(F21/10)),5%,0),"")</f>
        <v>0</v>
      </c>
      <c r="M21" s="41">
        <f ca="1">E21*F21*G21*H21</f>
        <v>0</v>
      </c>
      <c r="N21" s="118">
        <f ca="1">IFERROR((E21*F21*G21*H21/10^6),0)*C21</f>
        <v>0</v>
      </c>
      <c r="O21" s="11" t="str">
        <f ca="1">IFERROR(IF(H21&gt;50,E21*(H21*G21+(H21+2)*F21),IF(H21&gt;10,E21*(2*H21*G21+(H21+1)*F21),2*H21*E21*(F21+G21)))*6/M21,"")</f>
      </c>
      <c r="P21" s="12">
        <v>0.035</v>
      </c>
      <c r="Q21" s="41">
        <f ca="1">IFERROR(IF(H21&gt;50,E21*(H21*G21+(H21+2)*F21),IF(H21&gt;10,E21*(2*H21*G21+(H21+1)*F21),2*H21*E21*(F21+G21)))*3/N21,0)</f>
        <v>0</v>
      </c>
      <c r="R21" s="41" t="str">
        <f ca="1">IFERROR((D21*(1+O21+P21)+Q21)/(1-(I21*0.007/30)),"")</f>
      </c>
      <c r="S21" s="11">
        <f ca="1">IFERROR(VLOOKUP(B21,DATA!$B$17:$D$18,2,0),"")</f>
        <v>0.12</v>
      </c>
      <c r="T21" s="56" t="str">
        <f ca="1">IFERROR(ROUND(R21/(1-S21)+($J$12+$K$12)/($N$62*(1-L21)),-3),"")</f>
      </c>
      <c r="U21" s="41" t="str">
        <f ca="1">IFERROR(ROUND(T21*N21,0),"")</f>
      </c>
    </row>
    <row r="22" spans="1:21" ht="11.65" customHeight="1">
      <c r="A22" s="9"/>
      <c r="B22" s="10" t="s">
        <v>50</v>
      </c>
      <c r="C22" s="9">
        <f ca="1">IFERROR(VLOOKUP(B22,DATA!$B$17:$D$18,3,0),0)</f>
        <v>7.95</v>
      </c>
      <c r="D22" s="45"/>
      <c r="E22" s="28"/>
      <c r="F22" s="28"/>
      <c r="G22" s="28"/>
      <c r="H22" s="22"/>
      <c r="I22" s="22"/>
      <c r="J22" s="45"/>
      <c r="K22" s="22"/>
      <c r="L22" s="12">
        <f ca="1">IFERROR(IF(AND(OR(LEFT(B22,FIND(" ",B22,1)-1)="Đồng",LEFT(B22,FIND(" ",B22,1)-1)="Nhôm"),E22&gt;(F22/10)),5%,0),"")</f>
        <v>0</v>
      </c>
      <c r="M22" s="41">
        <f ca="1">E22*F22*G22*H22</f>
        <v>0</v>
      </c>
      <c r="N22" s="118">
        <f ca="1">IFERROR((E22*F22*G22*H22/10^6),0)*C22</f>
        <v>0</v>
      </c>
      <c r="O22" s="11" t="str">
        <f ca="1">IFERROR(IF(H22&gt;50,E22*(H22*G22+(H22+2)*F22),IF(H22&gt;10,E22*(2*H22*G22+(H22+1)*F22),2*H22*E22*(F22+G22)))*6/M22,"")</f>
      </c>
      <c r="P22" s="12">
        <v>0.035</v>
      </c>
      <c r="Q22" s="41">
        <f ca="1">IFERROR(IF(H22&gt;50,E22*(H22*G22+(H22+2)*F22),IF(H22&gt;10,E22*(2*H22*G22+(H22+1)*F22),2*H22*E22*(F22+G22)))*3/N22,0)</f>
        <v>0</v>
      </c>
      <c r="R22" s="41" t="str">
        <f ca="1">IFERROR((D22*(1+O22+P22)+Q22)/(1-(I22*0.007/30)),"")</f>
      </c>
      <c r="S22" s="11">
        <f ca="1">IFERROR(VLOOKUP(B22,DATA!$B$17:$D$18,2,0),"")</f>
        <v>0.12</v>
      </c>
      <c r="T22" s="56" t="str">
        <f ca="1">IFERROR(ROUND(R22/(1-S22)+($J$12+$K$12)/($N$62*(1-L22)),-3),"")</f>
      </c>
      <c r="U22" s="41" t="str">
        <f ca="1">IFERROR(ROUND(T22*N22,0),"")</f>
      </c>
    </row>
    <row r="23" spans="1:21" ht="11.65" customHeight="1">
      <c r="A23" s="9"/>
      <c r="B23" s="10" t="s">
        <v>50</v>
      </c>
      <c r="C23" s="9">
        <f ca="1">IFERROR(VLOOKUP(B23,DATA!$B$17:$D$18,3,0),0)</f>
        <v>7.95</v>
      </c>
      <c r="D23" s="45"/>
      <c r="E23" s="28"/>
      <c r="F23" s="28"/>
      <c r="G23" s="28"/>
      <c r="H23" s="22"/>
      <c r="I23" s="22"/>
      <c r="J23" s="45"/>
      <c r="K23" s="22"/>
      <c r="L23" s="12">
        <f ca="1">IFERROR(IF(AND(OR(LEFT(B23,FIND(" ",B23,1)-1)="Đồng",LEFT(B23,FIND(" ",B23,1)-1)="Nhôm"),E23&gt;(F23/10)),5%,0),"")</f>
        <v>0</v>
      </c>
      <c r="M23" s="41">
        <f ca="1">E23*F23*G23*H23</f>
        <v>0</v>
      </c>
      <c r="N23" s="118">
        <f ca="1">IFERROR((E23*F23*G23*H23/10^6),0)*C23</f>
        <v>0</v>
      </c>
      <c r="O23" s="11" t="str">
        <f ca="1">IFERROR(IF(H23&gt;50,E23*(H23*G23+(H23+2)*F23),IF(H23&gt;10,E23*(2*H23*G23+(H23+1)*F23),2*H23*E23*(F23+G23)))*6/M23,"")</f>
      </c>
      <c r="P23" s="12">
        <v>0.035</v>
      </c>
      <c r="Q23" s="41">
        <f ca="1">IFERROR(IF(H23&gt;50,E23*(H23*G23+(H23+2)*F23),IF(H23&gt;10,E23*(2*H23*G23+(H23+1)*F23),2*H23*E23*(F23+G23)))*3/N23,0)</f>
        <v>0</v>
      </c>
      <c r="R23" s="41" t="str">
        <f ca="1">IFERROR((D23*(1+O23+P23)+Q23)/(1-(I23*0.007/30)),"")</f>
      </c>
      <c r="S23" s="11">
        <f ca="1">IFERROR(VLOOKUP(B23,DATA!$B$17:$D$18,2,0),"")</f>
        <v>0.12</v>
      </c>
      <c r="T23" s="56" t="str">
        <f ca="1">IFERROR(ROUND(R23/(1-S23)+($J$12+$K$12)/($N$62*(1-L23)),-3),"")</f>
      </c>
      <c r="U23" s="41" t="str">
        <f ca="1">IFERROR(ROUND(T23*N23,0),"")</f>
      </c>
    </row>
    <row r="24" spans="1:21" ht="11.65" customHeight="1">
      <c r="A24" s="9"/>
      <c r="B24" s="10" t="s">
        <v>50</v>
      </c>
      <c r="C24" s="9">
        <f ca="1">IFERROR(VLOOKUP(B24,DATA!$B$17:$D$18,3,0),0)</f>
        <v>7.95</v>
      </c>
      <c r="D24" s="45"/>
      <c r="E24" s="28"/>
      <c r="F24" s="28"/>
      <c r="G24" s="28"/>
      <c r="H24" s="22"/>
      <c r="I24" s="22"/>
      <c r="J24" s="45"/>
      <c r="K24" s="22"/>
      <c r="L24" s="12">
        <f ca="1">IFERROR(IF(AND(OR(LEFT(B24,FIND(" ",B24,1)-1)="Đồng",LEFT(B24,FIND(" ",B24,1)-1)="Nhôm"),E24&gt;(F24/10)),5%,0),"")</f>
        <v>0</v>
      </c>
      <c r="M24" s="41">
        <f ca="1">E24*F24*G24*H24</f>
        <v>0</v>
      </c>
      <c r="N24" s="118">
        <f ca="1">IFERROR((E24*F24*G24*H24/10^6),0)*C24</f>
        <v>0</v>
      </c>
      <c r="O24" s="11" t="str">
        <f ca="1">IFERROR(IF(H24&gt;50,E24*(H24*G24+(H24+2)*F24),IF(H24&gt;10,E24*(2*H24*G24+(H24+1)*F24),2*H24*E24*(F24+G24)))*6/M24,"")</f>
      </c>
      <c r="P24" s="12">
        <v>0.035</v>
      </c>
      <c r="Q24" s="41">
        <f ca="1">IFERROR(IF(H24&gt;50,E24*(H24*G24+(H24+2)*F24),IF(H24&gt;10,E24*(2*H24*G24+(H24+1)*F24),2*H24*E24*(F24+G24)))*3/N24,0)</f>
        <v>0</v>
      </c>
      <c r="R24" s="41" t="str">
        <f ca="1">IFERROR((D24*(1+O24+P24)+Q24)/(1-(I24*0.007/30)),"")</f>
      </c>
      <c r="S24" s="11">
        <f ca="1">IFERROR(VLOOKUP(B24,DATA!$B$17:$D$18,2,0),"")</f>
        <v>0.12</v>
      </c>
      <c r="T24" s="56" t="str">
        <f ca="1">IFERROR(ROUND(R24/(1-S24)+($J$12+$K$12)/($N$62*(1-L24)),-3),"")</f>
      </c>
      <c r="U24" s="41" t="str">
        <f ca="1">IFERROR(ROUND(T24*N24,0),"")</f>
      </c>
    </row>
    <row r="25" spans="1:21" ht="11.65" customHeight="1">
      <c r="A25" s="9"/>
      <c r="B25" s="10" t="s">
        <v>50</v>
      </c>
      <c r="C25" s="9">
        <f ca="1">IFERROR(VLOOKUP(B25,DATA!$B$17:$D$18,3,0),0)</f>
        <v>7.95</v>
      </c>
      <c r="D25" s="45"/>
      <c r="E25" s="28"/>
      <c r="F25" s="28"/>
      <c r="G25" s="28"/>
      <c r="H25" s="22"/>
      <c r="I25" s="22"/>
      <c r="J25" s="45"/>
      <c r="K25" s="22"/>
      <c r="L25" s="12">
        <f ca="1">IFERROR(IF(AND(OR(LEFT(B25,FIND(" ",B25,1)-1)="Đồng",LEFT(B25,FIND(" ",B25,1)-1)="Nhôm"),E25&gt;(F25/10)),5%,0),"")</f>
        <v>0</v>
      </c>
      <c r="M25" s="41">
        <f ca="1">E25*F25*G25*H25</f>
        <v>0</v>
      </c>
      <c r="N25" s="118">
        <f ca="1">IFERROR((E25*F25*G25*H25/10^6),0)*C25</f>
        <v>0</v>
      </c>
      <c r="O25" s="11" t="str">
        <f ca="1">IFERROR(IF(H25&gt;50,E25*(H25*G25+(H25+2)*F25),IF(H25&gt;10,E25*(2*H25*G25+(H25+1)*F25),2*H25*E25*(F25+G25)))*6/M25,"")</f>
      </c>
      <c r="P25" s="12">
        <v>0.035</v>
      </c>
      <c r="Q25" s="41">
        <f ca="1">IFERROR(IF(H25&gt;50,E25*(H25*G25+(H25+2)*F25),IF(H25&gt;10,E25*(2*H25*G25+(H25+1)*F25),2*H25*E25*(F25+G25)))*3/N25,0)</f>
        <v>0</v>
      </c>
      <c r="R25" s="41" t="str">
        <f ca="1">IFERROR((D25*(1+O25+P25)+Q25)/(1-(I25*0.007/30)),"")</f>
      </c>
      <c r="S25" s="11">
        <f ca="1">IFERROR(VLOOKUP(B25,DATA!$B$17:$D$18,2,0),"")</f>
        <v>0.12</v>
      </c>
      <c r="T25" s="56" t="str">
        <f ca="1">IFERROR(ROUND(R25/(1-S25)+($J$12+$K$12)/($N$62*(1-L25)),-3),"")</f>
      </c>
      <c r="U25" s="41" t="str">
        <f ca="1">IFERROR(ROUND(T25*N25,0),"")</f>
      </c>
    </row>
    <row r="26" spans="1:21" ht="11.65" customHeight="1">
      <c r="A26" s="9"/>
      <c r="B26" s="10" t="s">
        <v>50</v>
      </c>
      <c r="C26" s="9">
        <f ca="1">IFERROR(VLOOKUP(B26,DATA!$B$17:$D$18,3,0),0)</f>
        <v>7.95</v>
      </c>
      <c r="D26" s="45"/>
      <c r="E26" s="28"/>
      <c r="F26" s="28"/>
      <c r="G26" s="28"/>
      <c r="H26" s="22"/>
      <c r="I26" s="22"/>
      <c r="J26" s="45"/>
      <c r="K26" s="22"/>
      <c r="L26" s="12">
        <f ca="1">IFERROR(IF(AND(OR(LEFT(B26,FIND(" ",B26,1)-1)="Đồng",LEFT(B26,FIND(" ",B26,1)-1)="Nhôm"),E26&gt;(F26/10)),5%,0),"")</f>
        <v>0</v>
      </c>
      <c r="M26" s="41">
        <f ca="1">E26*F26*G26*H26</f>
        <v>0</v>
      </c>
      <c r="N26" s="118">
        <f ca="1">IFERROR((E26*F26*G26*H26/10^6),0)*C26</f>
        <v>0</v>
      </c>
      <c r="O26" s="11" t="str">
        <f ca="1">IFERROR(IF(H26&gt;50,E26*(H26*G26+(H26+2)*F26),IF(H26&gt;10,E26*(2*H26*G26+(H26+1)*F26),2*H26*E26*(F26+G26)))*6/M26,"")</f>
      </c>
      <c r="P26" s="12">
        <v>0.035</v>
      </c>
      <c r="Q26" s="41">
        <f ca="1">IFERROR(IF(H26&gt;50,E26*(H26*G26+(H26+2)*F26),IF(H26&gt;10,E26*(2*H26*G26+(H26+1)*F26),2*H26*E26*(F26+G26)))*3/N26,0)</f>
        <v>0</v>
      </c>
      <c r="R26" s="41" t="str">
        <f ca="1">IFERROR((D26*(1+O26+P26)+Q26)/(1-(I26*0.007/30)),"")</f>
      </c>
      <c r="S26" s="11">
        <f ca="1">IFERROR(VLOOKUP(B26,DATA!$B$17:$D$18,2,0),"")</f>
        <v>0.12</v>
      </c>
      <c r="T26" s="56" t="str">
        <f ca="1">IFERROR(ROUND(R26/(1-S26)+($J$12+$K$12)/($N$62*(1-L26)),-3),"")</f>
      </c>
      <c r="U26" s="41" t="str">
        <f ca="1">IFERROR(ROUND(T26*N26,0),"")</f>
      </c>
    </row>
    <row r="27" spans="1:21" ht="11.65" customHeight="1">
      <c r="A27" s="9"/>
      <c r="B27" s="10" t="s">
        <v>50</v>
      </c>
      <c r="C27" s="9">
        <f ca="1">IFERROR(VLOOKUP(B27,DATA!$B$17:$D$18,3,0),0)</f>
        <v>7.95</v>
      </c>
      <c r="D27" s="45"/>
      <c r="E27" s="28"/>
      <c r="F27" s="28"/>
      <c r="G27" s="28"/>
      <c r="H27" s="22"/>
      <c r="I27" s="22"/>
      <c r="J27" s="45"/>
      <c r="K27" s="22"/>
      <c r="L27" s="12">
        <f ca="1">IFERROR(IF(AND(OR(LEFT(B27,FIND(" ",B27,1)-1)="Đồng",LEFT(B27,FIND(" ",B27,1)-1)="Nhôm"),E27&gt;(F27/10)),5%,0),"")</f>
        <v>0</v>
      </c>
      <c r="M27" s="41">
        <f ca="1">E27*F27*G27*H27</f>
        <v>0</v>
      </c>
      <c r="N27" s="118">
        <f ca="1">IFERROR((E27*F27*G27*H27/10^6),0)*C27</f>
        <v>0</v>
      </c>
      <c r="O27" s="11" t="str">
        <f ca="1">IFERROR(IF(H27&gt;50,E27*(H27*G27+(H27+2)*F27),IF(H27&gt;10,E27*(2*H27*G27+(H27+1)*F27),2*H27*E27*(F27+G27)))*6/M27,"")</f>
      </c>
      <c r="P27" s="12">
        <v>0.035</v>
      </c>
      <c r="Q27" s="41">
        <f ca="1">IFERROR(IF(H27&gt;50,E27*(H27*G27+(H27+2)*F27),IF(H27&gt;10,E27*(2*H27*G27+(H27+1)*F27),2*H27*E27*(F27+G27)))*3/N27,0)</f>
        <v>0</v>
      </c>
      <c r="R27" s="41" t="str">
        <f ca="1">IFERROR((D27*(1+O27+P27)+Q27)/(1-(I27*0.007/30)),"")</f>
      </c>
      <c r="S27" s="11">
        <f ca="1">IFERROR(VLOOKUP(B27,DATA!$B$17:$D$18,2,0),"")</f>
        <v>0.12</v>
      </c>
      <c r="T27" s="56" t="str">
        <f ca="1">IFERROR(ROUND(R27/(1-S27)+($J$12+$K$12)/($N$62*(1-L27)),-3),"")</f>
      </c>
      <c r="U27" s="41" t="str">
        <f ca="1">IFERROR(ROUND(T27*N27,0),"")</f>
      </c>
    </row>
    <row r="28" spans="1:21" ht="11.65" customHeight="1">
      <c r="A28" s="9"/>
      <c r="B28" s="10" t="s">
        <v>50</v>
      </c>
      <c r="C28" s="9">
        <f ca="1">IFERROR(VLOOKUP(B28,DATA!$B$17:$D$18,3,0),0)</f>
        <v>7.95</v>
      </c>
      <c r="D28" s="45"/>
      <c r="E28" s="28"/>
      <c r="F28" s="28"/>
      <c r="G28" s="28"/>
      <c r="H28" s="22"/>
      <c r="I28" s="22"/>
      <c r="J28" s="45"/>
      <c r="K28" s="22"/>
      <c r="L28" s="12">
        <f ca="1">IFERROR(IF(AND(OR(LEFT(B28,FIND(" ",B28,1)-1)="Đồng",LEFT(B28,FIND(" ",B28,1)-1)="Nhôm"),E28&gt;(F28/10)),5%,0),"")</f>
        <v>0</v>
      </c>
      <c r="M28" s="41">
        <f ca="1">E28*F28*G28*H28</f>
        <v>0</v>
      </c>
      <c r="N28" s="118">
        <f ca="1">IFERROR((E28*F28*G28*H28/10^6),0)*C28</f>
        <v>0</v>
      </c>
      <c r="O28" s="11" t="str">
        <f ca="1">IFERROR(IF(H28&gt;50,E28*(H28*G28+(H28+2)*F28),IF(H28&gt;10,E28*(2*H28*G28+(H28+1)*F28),2*H28*E28*(F28+G28)))*6/M28,"")</f>
      </c>
      <c r="P28" s="12">
        <v>0.035</v>
      </c>
      <c r="Q28" s="41">
        <f ca="1">IFERROR(IF(H28&gt;50,E28*(H28*G28+(H28+2)*F28),IF(H28&gt;10,E28*(2*H28*G28+(H28+1)*F28),2*H28*E28*(F28+G28)))*3/N28,0)</f>
        <v>0</v>
      </c>
      <c r="R28" s="41" t="str">
        <f ca="1">IFERROR((D28*(1+O28+P28)+Q28)/(1-(I28*0.007/30)),"")</f>
      </c>
      <c r="S28" s="11">
        <f ca="1">IFERROR(VLOOKUP(B28,DATA!$B$17:$D$18,2,0),"")</f>
        <v>0.12</v>
      </c>
      <c r="T28" s="56" t="str">
        <f ca="1">IFERROR(ROUND(R28/(1-S28)+($J$12+$K$12)/($N$62*(1-L28)),-3),"")</f>
      </c>
      <c r="U28" s="41" t="str">
        <f ca="1">IFERROR(ROUND(T28*N28,0),"")</f>
      </c>
    </row>
    <row r="29" spans="1:21" ht="11.65" customHeight="1">
      <c r="A29" s="9"/>
      <c r="B29" s="10" t="s">
        <v>50</v>
      </c>
      <c r="C29" s="9">
        <f ca="1">IFERROR(VLOOKUP(B29,DATA!$B$17:$D$18,3,0),0)</f>
        <v>7.95</v>
      </c>
      <c r="D29" s="45"/>
      <c r="E29" s="28"/>
      <c r="F29" s="28"/>
      <c r="G29" s="28"/>
      <c r="H29" s="22"/>
      <c r="I29" s="22"/>
      <c r="J29" s="45"/>
      <c r="K29" s="22"/>
      <c r="L29" s="12">
        <f ca="1">IFERROR(IF(AND(OR(LEFT(B29,FIND(" ",B29,1)-1)="Đồng",LEFT(B29,FIND(" ",B29,1)-1)="Nhôm"),E29&gt;(F29/10)),5%,0),"")</f>
        <v>0</v>
      </c>
      <c r="M29" s="41">
        <f ca="1">E29*F29*G29*H29</f>
        <v>0</v>
      </c>
      <c r="N29" s="118">
        <f ca="1">IFERROR((E29*F29*G29*H29/10^6),0)*C29</f>
        <v>0</v>
      </c>
      <c r="O29" s="11" t="str">
        <f ca="1">IFERROR(IF(H29&gt;50,E29*(H29*G29+(H29+2)*F29),IF(H29&gt;10,E29*(2*H29*G29+(H29+1)*F29),2*H29*E29*(F29+G29)))*6/M29,"")</f>
      </c>
      <c r="P29" s="12">
        <v>0.035</v>
      </c>
      <c r="Q29" s="41">
        <f ca="1">IFERROR(IF(H29&gt;50,E29*(H29*G29+(H29+2)*F29),IF(H29&gt;10,E29*(2*H29*G29+(H29+1)*F29),2*H29*E29*(F29+G29)))*3/N29,0)</f>
        <v>0</v>
      </c>
      <c r="R29" s="41" t="str">
        <f ca="1">IFERROR((D29*(1+O29+P29)+Q29)/(1-(I29*0.007/30)),"")</f>
      </c>
      <c r="S29" s="11">
        <f ca="1">IFERROR(VLOOKUP(B29,DATA!$B$17:$D$18,2,0),"")</f>
        <v>0.12</v>
      </c>
      <c r="T29" s="56" t="str">
        <f ca="1">IFERROR(ROUND(R29/(1-S29)+($J$12+$K$12)/($N$62*(1-L29)),-3),"")</f>
      </c>
      <c r="U29" s="41" t="str">
        <f ca="1">IFERROR(ROUND(T29*N29,0),"")</f>
      </c>
    </row>
    <row r="30" spans="1:21" ht="11.65" customHeight="1">
      <c r="A30" s="9"/>
      <c r="B30" s="10" t="s">
        <v>50</v>
      </c>
      <c r="C30" s="9">
        <f ca="1">IFERROR(VLOOKUP(B30,DATA!$B$17:$D$18,3,0),0)</f>
        <v>7.95</v>
      </c>
      <c r="D30" s="45"/>
      <c r="E30" s="28"/>
      <c r="F30" s="28"/>
      <c r="G30" s="28"/>
      <c r="H30" s="22"/>
      <c r="I30" s="22"/>
      <c r="J30" s="45"/>
      <c r="K30" s="22"/>
      <c r="L30" s="12">
        <f ca="1">IFERROR(IF(AND(OR(LEFT(B30,FIND(" ",B30,1)-1)="Đồng",LEFT(B30,FIND(" ",B30,1)-1)="Nhôm"),E30&gt;(F30/10)),5%,0),"")</f>
        <v>0</v>
      </c>
      <c r="M30" s="41">
        <f ca="1">E30*F30*G30*H30</f>
        <v>0</v>
      </c>
      <c r="N30" s="118">
        <f ca="1">IFERROR((E30*F30*G30*H30/10^6),0)*C30</f>
        <v>0</v>
      </c>
      <c r="O30" s="11" t="str">
        <f ca="1">IFERROR(IF(H30&gt;50,E30*(H30*G30+(H30+2)*F30),IF(H30&gt;10,E30*(2*H30*G30+(H30+1)*F30),2*H30*E30*(F30+G30)))*6/M30,"")</f>
      </c>
      <c r="P30" s="12">
        <v>0.035</v>
      </c>
      <c r="Q30" s="41">
        <f ca="1">IFERROR(IF(H30&gt;50,E30*(H30*G30+(H30+2)*F30),IF(H30&gt;10,E30*(2*H30*G30+(H30+1)*F30),2*H30*E30*(F30+G30)))*3/N30,0)</f>
        <v>0</v>
      </c>
      <c r="R30" s="41" t="str">
        <f ca="1">IFERROR((D30*(1+O30+P30)+Q30)/(1-(I30*0.007/30)),"")</f>
      </c>
      <c r="S30" s="11">
        <f ca="1">IFERROR(VLOOKUP(B30,DATA!$B$17:$D$18,2,0),"")</f>
        <v>0.12</v>
      </c>
      <c r="T30" s="56" t="str">
        <f ca="1">IFERROR(ROUND(R30/(1-S30)+($J$12+$K$12)/($N$62*(1-L30)),-3),"")</f>
      </c>
      <c r="U30" s="41" t="str">
        <f ca="1">IFERROR(ROUND(T30*N30,0),"")</f>
      </c>
    </row>
    <row r="31" spans="1:21" ht="11.65" customHeight="1">
      <c r="A31" s="9"/>
      <c r="B31" s="10" t="s">
        <v>50</v>
      </c>
      <c r="C31" s="9">
        <f ca="1">IFERROR(VLOOKUP(B31,DATA!$B$17:$D$18,3,0),0)</f>
        <v>7.95</v>
      </c>
      <c r="D31" s="45"/>
      <c r="E31" s="28"/>
      <c r="F31" s="28"/>
      <c r="G31" s="28"/>
      <c r="H31" s="22"/>
      <c r="I31" s="22"/>
      <c r="J31" s="45"/>
      <c r="K31" s="22"/>
      <c r="L31" s="12">
        <f ca="1">IFERROR(IF(AND(OR(LEFT(B31,FIND(" ",B31,1)-1)="Đồng",LEFT(B31,FIND(" ",B31,1)-1)="Nhôm"),E31&gt;(F31/10)),5%,0),"")</f>
        <v>0</v>
      </c>
      <c r="M31" s="41">
        <f ca="1">E31*F31*G31*H31</f>
        <v>0</v>
      </c>
      <c r="N31" s="118">
        <f ca="1">IFERROR((E31*F31*G31*H31/10^6),0)*C31</f>
        <v>0</v>
      </c>
      <c r="O31" s="11" t="str">
        <f ca="1">IFERROR(IF(H31&gt;50,E31*(H31*G31+(H31+2)*F31),IF(H31&gt;10,E31*(2*H31*G31+(H31+1)*F31),2*H31*E31*(F31+G31)))*6/M31,"")</f>
      </c>
      <c r="P31" s="12">
        <v>0.035</v>
      </c>
      <c r="Q31" s="41">
        <f ca="1">IFERROR(IF(H31&gt;50,E31*(H31*G31+(H31+2)*F31),IF(H31&gt;10,E31*(2*H31*G31+(H31+1)*F31),2*H31*E31*(F31+G31)))*3/N31,0)</f>
        <v>0</v>
      </c>
      <c r="R31" s="41" t="str">
        <f ca="1">IFERROR((D31*(1+O31+P31)+Q31)/(1-(I31*0.007/30)),"")</f>
      </c>
      <c r="S31" s="11">
        <f ca="1">IFERROR(VLOOKUP(B31,DATA!$B$17:$D$18,2,0),"")</f>
        <v>0.12</v>
      </c>
      <c r="T31" s="56" t="str">
        <f ca="1">IFERROR(ROUND(R31/(1-S31)+($J$12+$K$12)/($N$62*(1-L31)),-3),"")</f>
      </c>
      <c r="U31" s="41" t="str">
        <f ca="1">IFERROR(ROUND(T31*N31,0),"")</f>
      </c>
    </row>
    <row r="32" spans="1:21" ht="11.65" customHeight="1">
      <c r="A32" s="9"/>
      <c r="B32" s="10" t="s">
        <v>50</v>
      </c>
      <c r="C32" s="9">
        <f ca="1">IFERROR(VLOOKUP(B32,DATA!$B$17:$D$18,3,0),0)</f>
        <v>7.95</v>
      </c>
      <c r="D32" s="45"/>
      <c r="E32" s="28"/>
      <c r="F32" s="28"/>
      <c r="G32" s="28"/>
      <c r="H32" s="22"/>
      <c r="I32" s="22"/>
      <c r="J32" s="45"/>
      <c r="K32" s="22"/>
      <c r="L32" s="12">
        <f ca="1">IFERROR(IF(AND(OR(LEFT(B32,FIND(" ",B32,1)-1)="Đồng",LEFT(B32,FIND(" ",B32,1)-1)="Nhôm"),E32&gt;(F32/10)),5%,0),"")</f>
        <v>0</v>
      </c>
      <c r="M32" s="41">
        <f ca="1">E32*F32*G32*H32</f>
        <v>0</v>
      </c>
      <c r="N32" s="118">
        <f ca="1">IFERROR((E32*F32*G32*H32/10^6),0)*C32</f>
        <v>0</v>
      </c>
      <c r="O32" s="11" t="str">
        <f ca="1">IFERROR(IF(H32&gt;50,E32*(H32*G32+(H32+2)*F32),IF(H32&gt;10,E32*(2*H32*G32+(H32+1)*F32),2*H32*E32*(F32+G32)))*6/M32,"")</f>
      </c>
      <c r="P32" s="12">
        <v>0.035</v>
      </c>
      <c r="Q32" s="41">
        <f ca="1">IFERROR(IF(H32&gt;50,E32*(H32*G32+(H32+2)*F32),IF(H32&gt;10,E32*(2*H32*G32+(H32+1)*F32),2*H32*E32*(F32+G32)))*3/N32,0)</f>
        <v>0</v>
      </c>
      <c r="R32" s="41" t="str">
        <f ca="1">IFERROR((D32*(1+O32+P32)+Q32)/(1-(I32*0.007/30)),"")</f>
      </c>
      <c r="S32" s="11">
        <f ca="1">IFERROR(VLOOKUP(B32,DATA!$B$17:$D$18,2,0),"")</f>
        <v>0.12</v>
      </c>
      <c r="T32" s="56" t="str">
        <f ca="1">IFERROR(ROUND(R32/(1-S32)+($J$12+$K$12)/($N$62*(1-L32)),-3),"")</f>
      </c>
      <c r="U32" s="41" t="str">
        <f ca="1">IFERROR(ROUND(T32*N32,0),"")</f>
      </c>
    </row>
    <row r="33" spans="1:21" ht="11.65" customHeight="1">
      <c r="A33" s="9"/>
      <c r="B33" s="10" t="s">
        <v>50</v>
      </c>
      <c r="C33" s="9">
        <f ca="1">IFERROR(VLOOKUP(B33,DATA!$B$17:$D$18,3,0),0)</f>
        <v>7.95</v>
      </c>
      <c r="D33" s="45"/>
      <c r="E33" s="28"/>
      <c r="F33" s="28"/>
      <c r="G33" s="28"/>
      <c r="H33" s="22"/>
      <c r="I33" s="22"/>
      <c r="J33" s="45"/>
      <c r="K33" s="22"/>
      <c r="L33" s="12">
        <f ca="1">IFERROR(IF(AND(OR(LEFT(B33,FIND(" ",B33,1)-1)="Đồng",LEFT(B33,FIND(" ",B33,1)-1)="Nhôm"),E33&gt;(F33/10)),5%,0),"")</f>
        <v>0</v>
      </c>
      <c r="M33" s="41">
        <f ca="1">E33*F33*G33*H33</f>
        <v>0</v>
      </c>
      <c r="N33" s="118">
        <f ca="1">IFERROR((E33*F33*G33*H33/10^6),0)*C33</f>
        <v>0</v>
      </c>
      <c r="O33" s="11" t="str">
        <f ca="1">IFERROR(IF(H33&gt;50,E33*(H33*G33+(H33+2)*F33),IF(H33&gt;10,E33*(2*H33*G33+(H33+1)*F33),2*H33*E33*(F33+G33)))*6/M33,"")</f>
      </c>
      <c r="P33" s="12">
        <v>0.035</v>
      </c>
      <c r="Q33" s="41">
        <f ca="1">IFERROR(IF(H33&gt;50,E33*(H33*G33+(H33+2)*F33),IF(H33&gt;10,E33*(2*H33*G33+(H33+1)*F33),2*H33*E33*(F33+G33)))*3/N33,0)</f>
        <v>0</v>
      </c>
      <c r="R33" s="41" t="str">
        <f ca="1">IFERROR((D33*(1+O33+P33)+Q33)/(1-(I33*0.007/30)),"")</f>
      </c>
      <c r="S33" s="11">
        <f ca="1">IFERROR(VLOOKUP(B33,DATA!$B$17:$D$18,2,0),"")</f>
        <v>0.12</v>
      </c>
      <c r="T33" s="56" t="str">
        <f ca="1">IFERROR(ROUND(R33/(1-S33)+($J$12+$K$12)/($N$62*(1-L33)),-3),"")</f>
      </c>
      <c r="U33" s="41" t="str">
        <f ca="1">IFERROR(ROUND(T33*N33,0),"")</f>
      </c>
    </row>
    <row r="34" spans="1:21" ht="11.65" customHeight="1">
      <c r="A34" s="9"/>
      <c r="B34" s="10" t="s">
        <v>50</v>
      </c>
      <c r="C34" s="9">
        <f ca="1">IFERROR(VLOOKUP(B34,DATA!$B$17:$D$18,3,0),0)</f>
        <v>7.95</v>
      </c>
      <c r="D34" s="45"/>
      <c r="E34" s="28"/>
      <c r="F34" s="28"/>
      <c r="G34" s="28"/>
      <c r="H34" s="22"/>
      <c r="I34" s="22"/>
      <c r="J34" s="45"/>
      <c r="K34" s="22"/>
      <c r="L34" s="12">
        <f ca="1">IFERROR(IF(AND(OR(LEFT(B34,FIND(" ",B34,1)-1)="Đồng",LEFT(B34,FIND(" ",B34,1)-1)="Nhôm"),E34&gt;(F34/10)),5%,0),"")</f>
        <v>0</v>
      </c>
      <c r="M34" s="41">
        <f ca="1">E34*F34*G34*H34</f>
        <v>0</v>
      </c>
      <c r="N34" s="118">
        <f ca="1">IFERROR((E34*F34*G34*H34/10^6),0)*C34</f>
        <v>0</v>
      </c>
      <c r="O34" s="11" t="str">
        <f ca="1">IFERROR(IF(H34&gt;50,E34*(H34*G34+(H34+2)*F34),IF(H34&gt;10,E34*(2*H34*G34+(H34+1)*F34),2*H34*E34*(F34+G34)))*6/M34,"")</f>
      </c>
      <c r="P34" s="12">
        <v>0.035</v>
      </c>
      <c r="Q34" s="41">
        <f ca="1">IFERROR(IF(H34&gt;50,E34*(H34*G34+(H34+2)*F34),IF(H34&gt;10,E34*(2*H34*G34+(H34+1)*F34),2*H34*E34*(F34+G34)))*3/N34,0)</f>
        <v>0</v>
      </c>
      <c r="R34" s="41" t="str">
        <f ca="1">IFERROR((D34*(1+O34+P34)+Q34)/(1-(I34*0.007/30)),"")</f>
      </c>
      <c r="S34" s="11">
        <f ca="1">IFERROR(VLOOKUP(B34,DATA!$B$17:$D$18,2,0),"")</f>
        <v>0.12</v>
      </c>
      <c r="T34" s="56" t="str">
        <f ca="1">IFERROR(ROUND(R34/(1-S34)+($J$12+$K$12)/($N$62*(1-L34)),-3),"")</f>
      </c>
      <c r="U34" s="41" t="str">
        <f ca="1">IFERROR(ROUND(T34*N34,0),"")</f>
      </c>
    </row>
    <row r="35" spans="1:21" ht="11.65" customHeight="1">
      <c r="A35" s="9"/>
      <c r="B35" s="10" t="s">
        <v>50</v>
      </c>
      <c r="C35" s="9">
        <f ca="1">IFERROR(VLOOKUP(B35,DATA!$B$17:$D$18,3,0),0)</f>
        <v>7.95</v>
      </c>
      <c r="D35" s="45"/>
      <c r="E35" s="28"/>
      <c r="F35" s="28"/>
      <c r="G35" s="28"/>
      <c r="H35" s="22"/>
      <c r="I35" s="22"/>
      <c r="J35" s="45"/>
      <c r="K35" s="22"/>
      <c r="L35" s="12">
        <f ca="1">IFERROR(IF(AND(OR(LEFT(B35,FIND(" ",B35,1)-1)="Đồng",LEFT(B35,FIND(" ",B35,1)-1)="Nhôm"),E35&gt;(F35/10)),5%,0),"")</f>
        <v>0</v>
      </c>
      <c r="M35" s="41">
        <f ca="1">E35*F35*G35*H35</f>
        <v>0</v>
      </c>
      <c r="N35" s="118">
        <f ca="1">IFERROR((E35*F35*G35*H35/10^6),0)*C35</f>
        <v>0</v>
      </c>
      <c r="O35" s="11" t="str">
        <f ca="1">IFERROR(IF(H35&gt;50,E35*(H35*G35+(H35+2)*F35),IF(H35&gt;10,E35*(2*H35*G35+(H35+1)*F35),2*H35*E35*(F35+G35)))*6/M35,"")</f>
      </c>
      <c r="P35" s="12">
        <v>0.035</v>
      </c>
      <c r="Q35" s="41">
        <f ca="1">IFERROR(IF(H35&gt;50,E35*(H35*G35+(H35+2)*F35),IF(H35&gt;10,E35*(2*H35*G35+(H35+1)*F35),2*H35*E35*(F35+G35)))*3/N35,0)</f>
        <v>0</v>
      </c>
      <c r="R35" s="41" t="str">
        <f ca="1">IFERROR((D35*(1+O35+P35)+Q35)/(1-(I35*0.007/30)),"")</f>
      </c>
      <c r="S35" s="11">
        <f ca="1">IFERROR(VLOOKUP(B35,DATA!$B$17:$D$18,2,0),"")</f>
        <v>0.12</v>
      </c>
      <c r="T35" s="56" t="str">
        <f ca="1">IFERROR(ROUND(R35/(1-S35)+($J$12+$K$12)/($N$62*(1-L35)),-3),"")</f>
      </c>
      <c r="U35" s="41" t="str">
        <f ca="1">IFERROR(ROUND(T35*N35,0),"")</f>
      </c>
    </row>
    <row r="36" spans="1:21" ht="11.65" customHeight="1">
      <c r="A36" s="9"/>
      <c r="B36" s="10" t="s">
        <v>50</v>
      </c>
      <c r="C36" s="9">
        <f ca="1">IFERROR(VLOOKUP(B36,DATA!$B$17:$D$18,3,0),0)</f>
        <v>7.95</v>
      </c>
      <c r="D36" s="45"/>
      <c r="E36" s="28"/>
      <c r="F36" s="28"/>
      <c r="G36" s="28"/>
      <c r="H36" s="22"/>
      <c r="I36" s="22"/>
      <c r="J36" s="45"/>
      <c r="K36" s="22"/>
      <c r="L36" s="12">
        <f ca="1">IFERROR(IF(AND(OR(LEFT(B36,FIND(" ",B36,1)-1)="Đồng",LEFT(B36,FIND(" ",B36,1)-1)="Nhôm"),E36&gt;(F36/10)),5%,0),"")</f>
        <v>0</v>
      </c>
      <c r="M36" s="41">
        <f ca="1">E36*F36*G36*H36</f>
        <v>0</v>
      </c>
      <c r="N36" s="118">
        <f ca="1">IFERROR((E36*F36*G36*H36/10^6),0)*C36</f>
        <v>0</v>
      </c>
      <c r="O36" s="11" t="str">
        <f ca="1">IFERROR(IF(H36&gt;50,E36*(H36*G36+(H36+2)*F36),IF(H36&gt;10,E36*(2*H36*G36+(H36+1)*F36),2*H36*E36*(F36+G36)))*6/M36,"")</f>
      </c>
      <c r="P36" s="12">
        <v>0.035</v>
      </c>
      <c r="Q36" s="41">
        <f ca="1">IFERROR(IF(H36&gt;50,E36*(H36*G36+(H36+2)*F36),IF(H36&gt;10,E36*(2*H36*G36+(H36+1)*F36),2*H36*E36*(F36+G36)))*3/N36,0)</f>
        <v>0</v>
      </c>
      <c r="R36" s="41" t="str">
        <f ca="1">IFERROR((D36*(1+O36+P36)+Q36)/(1-(I36*0.007/30)),"")</f>
      </c>
      <c r="S36" s="11">
        <f ca="1">IFERROR(VLOOKUP(B36,DATA!$B$17:$D$18,2,0),"")</f>
        <v>0.12</v>
      </c>
      <c r="T36" s="56" t="str">
        <f ca="1">IFERROR(ROUND(R36/(1-S36)+($J$12+$K$12)/($N$62*(1-L36)),-3),"")</f>
      </c>
      <c r="U36" s="41" t="str">
        <f ca="1">IFERROR(ROUND(T36*N36,0),"")</f>
      </c>
    </row>
    <row r="37" spans="1:21" ht="11.65" customHeight="1">
      <c r="A37" s="9"/>
      <c r="B37" s="10" t="s">
        <v>50</v>
      </c>
      <c r="C37" s="9">
        <f ca="1">IFERROR(VLOOKUP(B37,DATA!$B$17:$D$18,3,0),0)</f>
        <v>7.95</v>
      </c>
      <c r="D37" s="45"/>
      <c r="E37" s="28"/>
      <c r="F37" s="28"/>
      <c r="G37" s="28"/>
      <c r="H37" s="22"/>
      <c r="I37" s="22"/>
      <c r="J37" s="45"/>
      <c r="K37" s="22"/>
      <c r="L37" s="12">
        <f ca="1">IFERROR(IF(AND(OR(LEFT(B37,FIND(" ",B37,1)-1)="Đồng",LEFT(B37,FIND(" ",B37,1)-1)="Nhôm"),E37&gt;(F37/10)),5%,0),"")</f>
        <v>0</v>
      </c>
      <c r="M37" s="41">
        <f ca="1">E37*F37*G37*H37</f>
        <v>0</v>
      </c>
      <c r="N37" s="118">
        <f ca="1">IFERROR((E37*F37*G37*H37/10^6),0)*C37</f>
        <v>0</v>
      </c>
      <c r="O37" s="11" t="str">
        <f ca="1">IFERROR(IF(H37&gt;50,E37*(H37*G37+(H37+2)*F37),IF(H37&gt;10,E37*(2*H37*G37+(H37+1)*F37),2*H37*E37*(F37+G37)))*6/M37,"")</f>
      </c>
      <c r="P37" s="12">
        <v>0.035</v>
      </c>
      <c r="Q37" s="41">
        <f ca="1">IFERROR(IF(H37&gt;50,E37*(H37*G37+(H37+2)*F37),IF(H37&gt;10,E37*(2*H37*G37+(H37+1)*F37),2*H37*E37*(F37+G37)))*3/N37,0)</f>
        <v>0</v>
      </c>
      <c r="R37" s="41" t="str">
        <f ca="1">IFERROR((D37*(1+O37+P37)+Q37)/(1-(I37*0.007/30)),"")</f>
      </c>
      <c r="S37" s="11">
        <f ca="1">IFERROR(VLOOKUP(B37,DATA!$B$17:$D$18,2,0),"")</f>
        <v>0.12</v>
      </c>
      <c r="T37" s="56" t="str">
        <f ca="1">IFERROR(ROUND(R37/(1-S37)+($J$12+$K$12)/($N$62*(1-L37)),-3),"")</f>
      </c>
      <c r="U37" s="41" t="str">
        <f ca="1">IFERROR(ROUND(T37*N37,0),"")</f>
      </c>
    </row>
    <row r="38" spans="1:21" ht="11.65" customHeight="1">
      <c r="A38" s="9"/>
      <c r="B38" s="10" t="s">
        <v>50</v>
      </c>
      <c r="C38" s="9">
        <f ca="1">IFERROR(VLOOKUP(B38,DATA!$B$17:$D$18,3,0),0)</f>
        <v>7.95</v>
      </c>
      <c r="D38" s="45"/>
      <c r="E38" s="28"/>
      <c r="F38" s="28"/>
      <c r="G38" s="28"/>
      <c r="H38" s="22"/>
      <c r="I38" s="22"/>
      <c r="J38" s="45"/>
      <c r="K38" s="22"/>
      <c r="L38" s="12">
        <f ca="1">IFERROR(IF(AND(OR(LEFT(B38,FIND(" ",B38,1)-1)="Đồng",LEFT(B38,FIND(" ",B38,1)-1)="Nhôm"),E38&gt;(F38/10)),5%,0),"")</f>
        <v>0</v>
      </c>
      <c r="M38" s="41">
        <f ca="1">E38*F38*G38*H38</f>
        <v>0</v>
      </c>
      <c r="N38" s="118">
        <f ca="1">IFERROR((E38*F38*G38*H38/10^6),0)*C38</f>
        <v>0</v>
      </c>
      <c r="O38" s="11" t="str">
        <f ca="1">IFERROR(IF(H38&gt;50,E38*(H38*G38+(H38+2)*F38),IF(H38&gt;10,E38*(2*H38*G38+(H38+1)*F38),2*H38*E38*(F38+G38)))*6/M38,"")</f>
      </c>
      <c r="P38" s="12">
        <v>0.035</v>
      </c>
      <c r="Q38" s="41">
        <f ca="1">IFERROR(IF(H38&gt;50,E38*(H38*G38+(H38+2)*F38),IF(H38&gt;10,E38*(2*H38*G38+(H38+1)*F38),2*H38*E38*(F38+G38)))*3/N38,0)</f>
        <v>0</v>
      </c>
      <c r="R38" s="41" t="str">
        <f ca="1">IFERROR((D38*(1+O38+P38)+Q38)/(1-(I38*0.007/30)),"")</f>
      </c>
      <c r="S38" s="11">
        <f ca="1">IFERROR(VLOOKUP(B38,DATA!$B$17:$D$18,2,0),"")</f>
        <v>0.12</v>
      </c>
      <c r="T38" s="56" t="str">
        <f ca="1">IFERROR(ROUND(R38/(1-S38)+($J$12+$K$12)/($N$62*(1-L38)),-3),"")</f>
      </c>
      <c r="U38" s="41" t="str">
        <f ca="1">IFERROR(ROUND(T38*N38,0),"")</f>
      </c>
    </row>
    <row r="39" spans="1:21" ht="11.65" customHeight="1">
      <c r="A39" s="9"/>
      <c r="B39" s="10" t="s">
        <v>50</v>
      </c>
      <c r="C39" s="9">
        <f ca="1">IFERROR(VLOOKUP(B39,DATA!$B$17:$D$18,3,0),0)</f>
        <v>7.95</v>
      </c>
      <c r="D39" s="45"/>
      <c r="E39" s="28"/>
      <c r="F39" s="28"/>
      <c r="G39" s="28"/>
      <c r="H39" s="22"/>
      <c r="I39" s="22"/>
      <c r="J39" s="45"/>
      <c r="K39" s="22"/>
      <c r="L39" s="12">
        <f ca="1">IFERROR(IF(AND(OR(LEFT(B39,FIND(" ",B39,1)-1)="Đồng",LEFT(B39,FIND(" ",B39,1)-1)="Nhôm"),E39&gt;(F39/10)),5%,0),"")</f>
        <v>0</v>
      </c>
      <c r="M39" s="41">
        <f ca="1">E39*F39*G39*H39</f>
        <v>0</v>
      </c>
      <c r="N39" s="118">
        <f ca="1">IFERROR((E39*F39*G39*H39/10^6),0)*C39</f>
        <v>0</v>
      </c>
      <c r="O39" s="11" t="str">
        <f ca="1">IFERROR(IF(H39&gt;50,E39*(H39*G39+(H39+2)*F39),IF(H39&gt;10,E39*(2*H39*G39+(H39+1)*F39),2*H39*E39*(F39+G39)))*6/M39,"")</f>
      </c>
      <c r="P39" s="12">
        <v>0.035</v>
      </c>
      <c r="Q39" s="41">
        <f ca="1">IFERROR(IF(H39&gt;50,E39*(H39*G39+(H39+2)*F39),IF(H39&gt;10,E39*(2*H39*G39+(H39+1)*F39),2*H39*E39*(F39+G39)))*3/N39,0)</f>
        <v>0</v>
      </c>
      <c r="R39" s="41" t="str">
        <f ca="1">IFERROR((D39*(1+O39+P39)+Q39)/(1-(I39*0.007/30)),"")</f>
      </c>
      <c r="S39" s="11">
        <f ca="1">IFERROR(VLOOKUP(B39,DATA!$B$17:$D$18,2,0),"")</f>
        <v>0.12</v>
      </c>
      <c r="T39" s="56" t="str">
        <f ca="1">IFERROR(ROUND(R39/(1-S39)+($J$12+$K$12)/($N$62*(1-L39)),-3),"")</f>
      </c>
      <c r="U39" s="41" t="str">
        <f ca="1">IFERROR(ROUND(T39*N39,0),"")</f>
      </c>
    </row>
    <row r="40" spans="1:21" ht="11.65" customHeight="1">
      <c r="A40" s="9"/>
      <c r="B40" s="10" t="s">
        <v>50</v>
      </c>
      <c r="C40" s="9">
        <f ca="1">IFERROR(VLOOKUP(B40,DATA!$B$17:$D$18,3,0),0)</f>
        <v>7.95</v>
      </c>
      <c r="D40" s="45"/>
      <c r="E40" s="28"/>
      <c r="F40" s="28"/>
      <c r="G40" s="28"/>
      <c r="H40" s="22"/>
      <c r="I40" s="22"/>
      <c r="J40" s="45"/>
      <c r="K40" s="22"/>
      <c r="L40" s="12">
        <f ca="1">IFERROR(IF(AND(OR(LEFT(B40,FIND(" ",B40,1)-1)="Đồng",LEFT(B40,FIND(" ",B40,1)-1)="Nhôm"),E40&gt;(F40/10)),5%,0),"")</f>
        <v>0</v>
      </c>
      <c r="M40" s="41">
        <f ca="1">E40*F40*G40*H40</f>
        <v>0</v>
      </c>
      <c r="N40" s="118">
        <f ca="1">IFERROR((E40*F40*G40*H40/10^6),0)*C40</f>
        <v>0</v>
      </c>
      <c r="O40" s="11" t="str">
        <f ca="1">IFERROR(IF(H40&gt;50,E40*(H40*G40+(H40+2)*F40),IF(H40&gt;10,E40*(2*H40*G40+(H40+1)*F40),2*H40*E40*(F40+G40)))*6/M40,"")</f>
      </c>
      <c r="P40" s="12">
        <v>0.035</v>
      </c>
      <c r="Q40" s="41">
        <f ca="1">IFERROR(IF(H40&gt;50,E40*(H40*G40+(H40+2)*F40),IF(H40&gt;10,E40*(2*H40*G40+(H40+1)*F40),2*H40*E40*(F40+G40)))*3/N40,0)</f>
        <v>0</v>
      </c>
      <c r="R40" s="41" t="str">
        <f ca="1">IFERROR((D40*(1+O40+P40)+Q40)/(1-(I40*0.007/30)),"")</f>
      </c>
      <c r="S40" s="11">
        <f ca="1">IFERROR(VLOOKUP(B40,DATA!$B$17:$D$18,2,0),"")</f>
        <v>0.12</v>
      </c>
      <c r="T40" s="56" t="str">
        <f ca="1">IFERROR(ROUND(R40/(1-S40)+($J$12+$K$12)/($N$62*(1-L40)),-3),"")</f>
      </c>
      <c r="U40" s="41" t="str">
        <f ca="1">IFERROR(ROUND(T40*N40,0),"")</f>
      </c>
    </row>
    <row r="41" spans="1:21" ht="11.65" customHeight="1">
      <c r="A41" s="9"/>
      <c r="B41" s="10" t="s">
        <v>50</v>
      </c>
      <c r="C41" s="9">
        <f ca="1">IFERROR(VLOOKUP(B41,DATA!$B$17:$D$18,3,0),0)</f>
        <v>7.95</v>
      </c>
      <c r="D41" s="45"/>
      <c r="E41" s="28"/>
      <c r="F41" s="28"/>
      <c r="G41" s="28"/>
      <c r="H41" s="22"/>
      <c r="I41" s="22"/>
      <c r="J41" s="45"/>
      <c r="K41" s="22"/>
      <c r="L41" s="12">
        <f ca="1">IFERROR(IF(AND(OR(LEFT(B41,FIND(" ",B41,1)-1)="Đồng",LEFT(B41,FIND(" ",B41,1)-1)="Nhôm"),E41&gt;(F41/10)),5%,0),"")</f>
        <v>0</v>
      </c>
      <c r="M41" s="41">
        <f ca="1">E41*F41*G41*H41</f>
        <v>0</v>
      </c>
      <c r="N41" s="118">
        <f ca="1">IFERROR((E41*F41*G41*H41/10^6),0)*C41</f>
        <v>0</v>
      </c>
      <c r="O41" s="11" t="str">
        <f ca="1">IFERROR(IF(H41&gt;50,E41*(H41*G41+(H41+2)*F41),IF(H41&gt;10,E41*(2*H41*G41+(H41+1)*F41),2*H41*E41*(F41+G41)))*6/M41,"")</f>
      </c>
      <c r="P41" s="12">
        <v>0.035</v>
      </c>
      <c r="Q41" s="41">
        <f ca="1">IFERROR(IF(H41&gt;50,E41*(H41*G41+(H41+2)*F41),IF(H41&gt;10,E41*(2*H41*G41+(H41+1)*F41),2*H41*E41*(F41+G41)))*3/N41,0)</f>
        <v>0</v>
      </c>
      <c r="R41" s="41" t="str">
        <f ca="1">IFERROR((D41*(1+O41+P41)+Q41)/(1-(I41*0.007/30)),"")</f>
      </c>
      <c r="S41" s="11">
        <f ca="1">IFERROR(VLOOKUP(B41,DATA!$B$17:$D$18,2,0),"")</f>
        <v>0.12</v>
      </c>
      <c r="T41" s="56" t="str">
        <f ca="1">IFERROR(ROUND(R41/(1-S41)+($J$12+$K$12)/($N$62*(1-L41)),-3),"")</f>
      </c>
      <c r="U41" s="41" t="str">
        <f ca="1">IFERROR(ROUND(T41*N41,0),"")</f>
      </c>
    </row>
    <row r="42" spans="1:21" ht="11.65" customHeight="1">
      <c r="A42" s="9"/>
      <c r="B42" s="10" t="s">
        <v>50</v>
      </c>
      <c r="C42" s="9">
        <f ca="1">IFERROR(VLOOKUP(B42,DATA!$B$17:$D$18,3,0),0)</f>
        <v>7.95</v>
      </c>
      <c r="D42" s="45"/>
      <c r="E42" s="28"/>
      <c r="F42" s="28"/>
      <c r="G42" s="28"/>
      <c r="H42" s="22"/>
      <c r="I42" s="22"/>
      <c r="J42" s="45"/>
      <c r="K42" s="22"/>
      <c r="L42" s="12">
        <f ca="1">IFERROR(IF(AND(OR(LEFT(B42,FIND(" ",B42,1)-1)="Đồng",LEFT(B42,FIND(" ",B42,1)-1)="Nhôm"),E42&gt;(F42/10)),5%,0),"")</f>
        <v>0</v>
      </c>
      <c r="M42" s="41">
        <f ca="1">E42*F42*G42*H42</f>
        <v>0</v>
      </c>
      <c r="N42" s="118">
        <f ca="1">IFERROR((E42*F42*G42*H42/10^6),0)*C42</f>
        <v>0</v>
      </c>
      <c r="O42" s="11" t="str">
        <f ca="1">IFERROR(IF(H42&gt;50,E42*(H42*G42+(H42+2)*F42),IF(H42&gt;10,E42*(2*H42*G42+(H42+1)*F42),2*H42*E42*(F42+G42)))*6/M42,"")</f>
      </c>
      <c r="P42" s="12">
        <v>0.035</v>
      </c>
      <c r="Q42" s="41">
        <f ca="1">IFERROR(IF(H42&gt;50,E42*(H42*G42+(H42+2)*F42),IF(H42&gt;10,E42*(2*H42*G42+(H42+1)*F42),2*H42*E42*(F42+G42)))*3/N42,0)</f>
        <v>0</v>
      </c>
      <c r="R42" s="41" t="str">
        <f ca="1">IFERROR((D42*(1+O42+P42)+Q42)/(1-(I42*0.007/30)),"")</f>
      </c>
      <c r="S42" s="11">
        <f ca="1">IFERROR(VLOOKUP(B42,DATA!$B$17:$D$18,2,0),"")</f>
        <v>0.12</v>
      </c>
      <c r="T42" s="56" t="str">
        <f ca="1">IFERROR(ROUND(R42/(1-S42)+($J$12+$K$12)/($N$62*(1-L42)),-3),"")</f>
      </c>
      <c r="U42" s="41" t="str">
        <f ca="1">IFERROR(ROUND(T42*N42,0),"")</f>
      </c>
    </row>
    <row r="43" spans="1:21" ht="11.65" customHeight="1">
      <c r="A43" s="9"/>
      <c r="B43" s="10" t="s">
        <v>50</v>
      </c>
      <c r="C43" s="9">
        <f ca="1">IFERROR(VLOOKUP(B43,DATA!$B$17:$D$18,3,0),0)</f>
        <v>7.95</v>
      </c>
      <c r="D43" s="45"/>
      <c r="E43" s="28"/>
      <c r="F43" s="28"/>
      <c r="G43" s="28"/>
      <c r="H43" s="22"/>
      <c r="I43" s="22"/>
      <c r="J43" s="45"/>
      <c r="K43" s="22"/>
      <c r="L43" s="12">
        <f ca="1">IFERROR(IF(AND(OR(LEFT(B43,FIND(" ",B43,1)-1)="Đồng",LEFT(B43,FIND(" ",B43,1)-1)="Nhôm"),E43&gt;(F43/10)),5%,0),"")</f>
        <v>0</v>
      </c>
      <c r="M43" s="41">
        <f ca="1">E43*F43*G43*H43</f>
        <v>0</v>
      </c>
      <c r="N43" s="118">
        <f ca="1">IFERROR((E43*F43*G43*H43/10^6),0)*C43</f>
        <v>0</v>
      </c>
      <c r="O43" s="11" t="str">
        <f ca="1">IFERROR(IF(H43&gt;50,E43*(H43*G43+(H43+2)*F43),IF(H43&gt;10,E43*(2*H43*G43+(H43+1)*F43),2*H43*E43*(F43+G43)))*6/M43,"")</f>
      </c>
      <c r="P43" s="12">
        <v>0.035</v>
      </c>
      <c r="Q43" s="41">
        <f ca="1">IFERROR(IF(H43&gt;50,E43*(H43*G43+(H43+2)*F43),IF(H43&gt;10,E43*(2*H43*G43+(H43+1)*F43),2*H43*E43*(F43+G43)))*3/N43,0)</f>
        <v>0</v>
      </c>
      <c r="R43" s="41" t="str">
        <f ca="1">IFERROR((D43*(1+O43+P43)+Q43)/(1-(I43*0.007/30)),"")</f>
      </c>
      <c r="S43" s="11">
        <f ca="1">IFERROR(VLOOKUP(B43,DATA!$B$17:$D$18,2,0),"")</f>
        <v>0.12</v>
      </c>
      <c r="T43" s="56" t="str">
        <f ca="1">IFERROR(ROUND(R43/(1-S43)+($J$12+$K$12)/($N$62*(1-L43)),-3),"")</f>
      </c>
      <c r="U43" s="41" t="str">
        <f ca="1">IFERROR(ROUND(T43*N43,0),"")</f>
      </c>
    </row>
    <row r="44" spans="1:21" ht="11.65" customHeight="1">
      <c r="A44" s="9"/>
      <c r="B44" s="10" t="s">
        <v>50</v>
      </c>
      <c r="C44" s="9">
        <f ca="1">IFERROR(VLOOKUP(B44,DATA!$B$17:$D$18,3,0),0)</f>
        <v>7.95</v>
      </c>
      <c r="D44" s="45"/>
      <c r="E44" s="28"/>
      <c r="F44" s="28"/>
      <c r="G44" s="28"/>
      <c r="H44" s="22"/>
      <c r="I44" s="22"/>
      <c r="J44" s="45"/>
      <c r="K44" s="22"/>
      <c r="L44" s="12">
        <f ca="1">IFERROR(IF(AND(OR(LEFT(B44,FIND(" ",B44,1)-1)="Đồng",LEFT(B44,FIND(" ",B44,1)-1)="Nhôm"),E44&gt;(F44/10)),5%,0),"")</f>
        <v>0</v>
      </c>
      <c r="M44" s="41">
        <f ca="1">E44*F44*G44*H44</f>
        <v>0</v>
      </c>
      <c r="N44" s="118">
        <f ca="1">IFERROR((E44*F44*G44*H44/10^6),0)*C44</f>
        <v>0</v>
      </c>
      <c r="O44" s="11" t="str">
        <f ca="1">IFERROR(IF(H44&gt;50,E44*(H44*G44+(H44+2)*F44),IF(H44&gt;10,E44*(2*H44*G44+(H44+1)*F44),2*H44*E44*(F44+G44)))*6/M44,"")</f>
      </c>
      <c r="P44" s="12">
        <v>0.035</v>
      </c>
      <c r="Q44" s="41">
        <f ca="1">IFERROR(IF(H44&gt;50,E44*(H44*G44+(H44+2)*F44),IF(H44&gt;10,E44*(2*H44*G44+(H44+1)*F44),2*H44*E44*(F44+G44)))*3/N44,0)</f>
        <v>0</v>
      </c>
      <c r="R44" s="41" t="str">
        <f ca="1">IFERROR((D44*(1+O44+P44)+Q44)/(1-(I44*0.007/30)),"")</f>
      </c>
      <c r="S44" s="11">
        <f ca="1">IFERROR(VLOOKUP(B44,DATA!$B$17:$D$18,2,0),"")</f>
        <v>0.12</v>
      </c>
      <c r="T44" s="56" t="str">
        <f ca="1">IFERROR(ROUND(R44/(1-S44)+($J$12+$K$12)/($N$62*(1-L44)),-3),"")</f>
      </c>
      <c r="U44" s="41" t="str">
        <f ca="1">IFERROR(ROUND(T44*N44,0),"")</f>
      </c>
    </row>
    <row r="45" spans="1:21" ht="11.65" customHeight="1">
      <c r="A45" s="9"/>
      <c r="B45" s="10" t="s">
        <v>50</v>
      </c>
      <c r="C45" s="9">
        <f ca="1">IFERROR(VLOOKUP(B45,DATA!$B$17:$D$18,3,0),0)</f>
        <v>7.95</v>
      </c>
      <c r="D45" s="45"/>
      <c r="E45" s="28"/>
      <c r="F45" s="28"/>
      <c r="G45" s="28"/>
      <c r="H45" s="22"/>
      <c r="I45" s="22"/>
      <c r="J45" s="45"/>
      <c r="K45" s="22"/>
      <c r="L45" s="12">
        <f ca="1">IFERROR(IF(AND(OR(LEFT(B45,FIND(" ",B45,1)-1)="Đồng",LEFT(B45,FIND(" ",B45,1)-1)="Nhôm"),E45&gt;(F45/10)),5%,0),"")</f>
        <v>0</v>
      </c>
      <c r="M45" s="41">
        <f ca="1">E45*F45*G45*H45</f>
        <v>0</v>
      </c>
      <c r="N45" s="118">
        <f ca="1">IFERROR((E45*F45*G45*H45/10^6),0)*C45</f>
        <v>0</v>
      </c>
      <c r="O45" s="11" t="str">
        <f ca="1">IFERROR(IF(H45&gt;50,E45*(H45*G45+(H45+2)*F45),IF(H45&gt;10,E45*(2*H45*G45+(H45+1)*F45),2*H45*E45*(F45+G45)))*6/M45,"")</f>
      </c>
      <c r="P45" s="12">
        <v>0.035</v>
      </c>
      <c r="Q45" s="41">
        <f ca="1">IFERROR(IF(H45&gt;50,E45*(H45*G45+(H45+2)*F45),IF(H45&gt;10,E45*(2*H45*G45+(H45+1)*F45),2*H45*E45*(F45+G45)))*3/N45,0)</f>
        <v>0</v>
      </c>
      <c r="R45" s="41" t="str">
        <f ca="1">IFERROR((D45*(1+O45+P45)+Q45)/(1-(I45*0.007/30)),"")</f>
      </c>
      <c r="S45" s="11">
        <f ca="1">IFERROR(VLOOKUP(B45,DATA!$B$17:$D$18,2,0),"")</f>
        <v>0.12</v>
      </c>
      <c r="T45" s="56" t="str">
        <f ca="1">IFERROR(ROUND(R45/(1-S45)+($J$12+$K$12)/($N$62*(1-L45)),-3),"")</f>
      </c>
      <c r="U45" s="41" t="str">
        <f ca="1">IFERROR(ROUND(T45*N45,0),"")</f>
      </c>
    </row>
    <row r="46" spans="1:21" ht="11.65" customHeight="1">
      <c r="A46" s="9"/>
      <c r="B46" s="10" t="s">
        <v>50</v>
      </c>
      <c r="C46" s="9">
        <f ca="1">IFERROR(VLOOKUP(B46,DATA!$B$17:$D$18,3,0),0)</f>
        <v>7.95</v>
      </c>
      <c r="D46" s="45"/>
      <c r="E46" s="28"/>
      <c r="F46" s="28"/>
      <c r="G46" s="28"/>
      <c r="H46" s="22"/>
      <c r="I46" s="22"/>
      <c r="J46" s="45"/>
      <c r="K46" s="22"/>
      <c r="L46" s="12">
        <f ca="1">IFERROR(IF(AND(OR(LEFT(B46,FIND(" ",B46,1)-1)="Đồng",LEFT(B46,FIND(" ",B46,1)-1)="Nhôm"),E46&gt;(F46/10)),5%,0),"")</f>
        <v>0</v>
      </c>
      <c r="M46" s="41">
        <f ca="1">E46*F46*G46*H46</f>
        <v>0</v>
      </c>
      <c r="N46" s="118">
        <f ca="1">IFERROR((E46*F46*G46*H46/10^6),0)*C46</f>
        <v>0</v>
      </c>
      <c r="O46" s="11" t="str">
        <f ca="1">IFERROR(IF(H46&gt;50,E46*(H46*G46+(H46+2)*F46),IF(H46&gt;10,E46*(2*H46*G46+(H46+1)*F46),2*H46*E46*(F46+G46)))*6/M46,"")</f>
      </c>
      <c r="P46" s="12">
        <v>0.035</v>
      </c>
      <c r="Q46" s="41">
        <f ca="1">IFERROR(IF(H46&gt;50,E46*(H46*G46+(H46+2)*F46),IF(H46&gt;10,E46*(2*H46*G46+(H46+1)*F46),2*H46*E46*(F46+G46)))*3/N46,0)</f>
        <v>0</v>
      </c>
      <c r="R46" s="41" t="str">
        <f ca="1">IFERROR((D46*(1+O46+P46)+Q46)/(1-(I46*0.007/30)),"")</f>
      </c>
      <c r="S46" s="11">
        <f ca="1">IFERROR(VLOOKUP(B46,DATA!$B$17:$D$18,2,0),"")</f>
        <v>0.12</v>
      </c>
      <c r="T46" s="56" t="str">
        <f ca="1">IFERROR(ROUND(R46/(1-S46)+($J$12+$K$12)/($N$62*(1-L46)),-3),"")</f>
      </c>
      <c r="U46" s="41" t="str">
        <f ca="1">IFERROR(ROUND(T46*N46,0),"")</f>
      </c>
    </row>
    <row r="47" spans="1:21" ht="11.65" customHeight="1">
      <c r="A47" s="9"/>
      <c r="B47" s="10" t="s">
        <v>50</v>
      </c>
      <c r="C47" s="9">
        <f ca="1">IFERROR(VLOOKUP(B47,DATA!$B$17:$D$18,3,0),0)</f>
        <v>7.95</v>
      </c>
      <c r="D47" s="45"/>
      <c r="E47" s="28"/>
      <c r="F47" s="28"/>
      <c r="G47" s="28"/>
      <c r="H47" s="22"/>
      <c r="I47" s="22"/>
      <c r="J47" s="45"/>
      <c r="K47" s="22"/>
      <c r="L47" s="12">
        <f ca="1">IFERROR(IF(AND(OR(LEFT(B47,FIND(" ",B47,1)-1)="Đồng",LEFT(B47,FIND(" ",B47,1)-1)="Nhôm"),E47&gt;(F47/10)),5%,0),"")</f>
        <v>0</v>
      </c>
      <c r="M47" s="41">
        <f ca="1">E47*F47*G47*H47</f>
        <v>0</v>
      </c>
      <c r="N47" s="118">
        <f ca="1">IFERROR((E47*F47*G47*H47/10^6),0)*C47</f>
        <v>0</v>
      </c>
      <c r="O47" s="11" t="str">
        <f ca="1">IFERROR(IF(H47&gt;50,E47*(H47*G47+(H47+2)*F47),IF(H47&gt;10,E47*(2*H47*G47+(H47+1)*F47),2*H47*E47*(F47+G47)))*6/M47,"")</f>
      </c>
      <c r="P47" s="12">
        <v>0.035</v>
      </c>
      <c r="Q47" s="41">
        <f ca="1">IFERROR(IF(H47&gt;50,E47*(H47*G47+(H47+2)*F47),IF(H47&gt;10,E47*(2*H47*G47+(H47+1)*F47),2*H47*E47*(F47+G47)))*3/N47,0)</f>
        <v>0</v>
      </c>
      <c r="R47" s="41" t="str">
        <f ca="1">IFERROR((D47*(1+O47+P47)+Q47)/(1-(I47*0.007/30)),"")</f>
      </c>
      <c r="S47" s="11">
        <f ca="1">IFERROR(VLOOKUP(B47,DATA!$B$17:$D$18,2,0),"")</f>
        <v>0.12</v>
      </c>
      <c r="T47" s="56" t="str">
        <f ca="1">IFERROR(ROUND(R47/(1-S47)+($J$12+$K$12)/($N$62*(1-L47)),-3),"")</f>
      </c>
      <c r="U47" s="41" t="str">
        <f ca="1">IFERROR(ROUND(T47*N47,0),"")</f>
      </c>
    </row>
    <row r="48" spans="1:21" ht="11.65" customHeight="1">
      <c r="A48" s="9"/>
      <c r="B48" s="10" t="s">
        <v>50</v>
      </c>
      <c r="C48" s="9">
        <f ca="1">IFERROR(VLOOKUP(B48,DATA!$B$17:$D$18,3,0),0)</f>
        <v>7.95</v>
      </c>
      <c r="D48" s="45"/>
      <c r="E48" s="28"/>
      <c r="F48" s="28"/>
      <c r="G48" s="28"/>
      <c r="H48" s="22"/>
      <c r="I48" s="22"/>
      <c r="J48" s="45"/>
      <c r="K48" s="22"/>
      <c r="L48" s="12">
        <f ca="1">IFERROR(IF(AND(OR(LEFT(B48,FIND(" ",B48,1)-1)="Đồng",LEFT(B48,FIND(" ",B48,1)-1)="Nhôm"),E48&gt;(F48/10)),5%,0),"")</f>
        <v>0</v>
      </c>
      <c r="M48" s="41">
        <f ca="1">E48*F48*G48*H48</f>
        <v>0</v>
      </c>
      <c r="N48" s="118">
        <f ca="1">IFERROR((E48*F48*G48*H48/10^6),0)*C48</f>
        <v>0</v>
      </c>
      <c r="O48" s="11" t="str">
        <f ca="1">IFERROR(IF(H48&gt;50,E48*(H48*G48+(H48+2)*F48),IF(H48&gt;10,E48*(2*H48*G48+(H48+1)*F48),2*H48*E48*(F48+G48)))*6/M48,"")</f>
      </c>
      <c r="P48" s="12">
        <v>0.035</v>
      </c>
      <c r="Q48" s="41">
        <f ca="1">IFERROR(IF(H48&gt;50,E48*(H48*G48+(H48+2)*F48),IF(H48&gt;10,E48*(2*H48*G48+(H48+1)*F48),2*H48*E48*(F48+G48)))*3/N48,0)</f>
        <v>0</v>
      </c>
      <c r="R48" s="41" t="str">
        <f ca="1">IFERROR((D48*(1+O48+P48)+Q48)/(1-(I48*0.007/30)),"")</f>
      </c>
      <c r="S48" s="11">
        <f ca="1">IFERROR(VLOOKUP(B48,DATA!$B$17:$D$18,2,0),"")</f>
        <v>0.12</v>
      </c>
      <c r="T48" s="56" t="str">
        <f ca="1">IFERROR(ROUND(R48/(1-S48)+($J$12+$K$12)/($N$62*(1-L48)),-3),"")</f>
      </c>
      <c r="U48" s="41" t="str">
        <f ca="1">IFERROR(ROUND(T48*N48,0),"")</f>
      </c>
    </row>
    <row r="49" spans="1:21" ht="11.65" customHeight="1">
      <c r="A49" s="9"/>
      <c r="B49" s="10" t="s">
        <v>50</v>
      </c>
      <c r="C49" s="9">
        <f ca="1">IFERROR(VLOOKUP(B49,DATA!$B$17:$D$18,3,0),0)</f>
        <v>7.95</v>
      </c>
      <c r="D49" s="45"/>
      <c r="E49" s="28"/>
      <c r="F49" s="28"/>
      <c r="G49" s="28"/>
      <c r="H49" s="22"/>
      <c r="I49" s="22"/>
      <c r="J49" s="45"/>
      <c r="K49" s="22"/>
      <c r="L49" s="12">
        <f ca="1">IFERROR(IF(AND(OR(LEFT(B49,FIND(" ",B49,1)-1)="Đồng",LEFT(B49,FIND(" ",B49,1)-1)="Nhôm"),E49&gt;(F49/10)),5%,0),"")</f>
        <v>0</v>
      </c>
      <c r="M49" s="41">
        <f ca="1">E49*F49*G49*H49</f>
        <v>0</v>
      </c>
      <c r="N49" s="118">
        <f ca="1">IFERROR((E49*F49*G49*H49/10^6),0)*C49</f>
        <v>0</v>
      </c>
      <c r="O49" s="11" t="str">
        <f ca="1">IFERROR(IF(H49&gt;50,E49*(H49*G49+(H49+2)*F49),IF(H49&gt;10,E49*(2*H49*G49+(H49+1)*F49),2*H49*E49*(F49+G49)))*6/M49,"")</f>
      </c>
      <c r="P49" s="12">
        <v>0.035</v>
      </c>
      <c r="Q49" s="41">
        <f ca="1">IFERROR(IF(H49&gt;50,E49*(H49*G49+(H49+2)*F49),IF(H49&gt;10,E49*(2*H49*G49+(H49+1)*F49),2*H49*E49*(F49+G49)))*3/N49,0)</f>
        <v>0</v>
      </c>
      <c r="R49" s="41" t="str">
        <f ca="1">IFERROR((D49*(1+O49+P49)+Q49)/(1-(I49*0.007/30)),"")</f>
      </c>
      <c r="S49" s="11">
        <f ca="1">IFERROR(VLOOKUP(B49,DATA!$B$17:$D$18,2,0),"")</f>
        <v>0.12</v>
      </c>
      <c r="T49" s="56" t="str">
        <f ca="1">IFERROR(ROUND(R49/(1-S49)+($J$12+$K$12)/($N$62*(1-L49)),-3),"")</f>
      </c>
      <c r="U49" s="41" t="str">
        <f ca="1">IFERROR(ROUND(T49*N49,0),"")</f>
      </c>
    </row>
    <row r="50" spans="1:21" ht="11.65" customHeight="1">
      <c r="A50" s="9"/>
      <c r="B50" s="10" t="s">
        <v>50</v>
      </c>
      <c r="C50" s="9">
        <f ca="1">IFERROR(VLOOKUP(B50,DATA!$B$17:$D$18,3,0),0)</f>
        <v>7.95</v>
      </c>
      <c r="D50" s="45"/>
      <c r="E50" s="28"/>
      <c r="F50" s="28"/>
      <c r="G50" s="28"/>
      <c r="H50" s="22"/>
      <c r="I50" s="22"/>
      <c r="J50" s="45"/>
      <c r="K50" s="22"/>
      <c r="L50" s="12">
        <f ca="1">IFERROR(IF(AND(OR(LEFT(B50,FIND(" ",B50,1)-1)="Đồng",LEFT(B50,FIND(" ",B50,1)-1)="Nhôm"),E50&gt;(F50/10)),5%,0),"")</f>
        <v>0</v>
      </c>
      <c r="M50" s="41">
        <f ca="1">E50*F50*G50*H50</f>
        <v>0</v>
      </c>
      <c r="N50" s="118">
        <f ca="1">IFERROR((E50*F50*G50*H50/10^6),0)*C50</f>
        <v>0</v>
      </c>
      <c r="O50" s="11" t="str">
        <f ca="1">IFERROR(IF(H50&gt;50,E50*(H50*G50+(H50+2)*F50),IF(H50&gt;10,E50*(2*H50*G50+(H50+1)*F50),2*H50*E50*(F50+G50)))*6/M50,"")</f>
      </c>
      <c r="P50" s="12">
        <v>0.035</v>
      </c>
      <c r="Q50" s="41">
        <f ca="1">IFERROR(IF(H50&gt;50,E50*(H50*G50+(H50+2)*F50),IF(H50&gt;10,E50*(2*H50*G50+(H50+1)*F50),2*H50*E50*(F50+G50)))*3/N50,0)</f>
        <v>0</v>
      </c>
      <c r="R50" s="41" t="str">
        <f ca="1">IFERROR((D50*(1+O50+P50)+Q50)/(1-(I50*0.007/30)),"")</f>
      </c>
      <c r="S50" s="11">
        <f ca="1">IFERROR(VLOOKUP(B50,DATA!$B$17:$D$18,2,0),"")</f>
        <v>0.12</v>
      </c>
      <c r="T50" s="56" t="str">
        <f ca="1">IFERROR(ROUND(R50/(1-S50)+($J$12+$K$12)/($N$62*(1-L50)),-3),"")</f>
      </c>
      <c r="U50" s="41" t="str">
        <f ca="1">IFERROR(ROUND(T50*N50,0),"")</f>
      </c>
    </row>
    <row r="51" spans="1:21" ht="11.65" customHeight="1">
      <c r="A51" s="9"/>
      <c r="B51" s="10" t="s">
        <v>50</v>
      </c>
      <c r="C51" s="9">
        <f ca="1">IFERROR(VLOOKUP(B51,DATA!$B$17:$D$18,3,0),0)</f>
        <v>7.95</v>
      </c>
      <c r="D51" s="45"/>
      <c r="E51" s="28"/>
      <c r="F51" s="28"/>
      <c r="G51" s="28"/>
      <c r="H51" s="22"/>
      <c r="I51" s="22"/>
      <c r="J51" s="45"/>
      <c r="K51" s="22"/>
      <c r="L51" s="12">
        <f ca="1">IFERROR(IF(AND(OR(LEFT(B51,FIND(" ",B51,1)-1)="Đồng",LEFT(B51,FIND(" ",B51,1)-1)="Nhôm"),E51&gt;(F51/10)),5%,0),"")</f>
        <v>0</v>
      </c>
      <c r="M51" s="41">
        <f ca="1">E51*F51*G51*H51</f>
        <v>0</v>
      </c>
      <c r="N51" s="118">
        <f ca="1">IFERROR((E51*F51*G51*H51/10^6),0)*C51</f>
        <v>0</v>
      </c>
      <c r="O51" s="11" t="str">
        <f ca="1">IFERROR(IF(H51&gt;50,E51*(H51*G51+(H51+2)*F51),IF(H51&gt;10,E51*(2*H51*G51+(H51+1)*F51),2*H51*E51*(F51+G51)))*6/M51,"")</f>
      </c>
      <c r="P51" s="12">
        <v>0.035</v>
      </c>
      <c r="Q51" s="41">
        <f ca="1">IFERROR(IF(H51&gt;50,E51*(H51*G51+(H51+2)*F51),IF(H51&gt;10,E51*(2*H51*G51+(H51+1)*F51),2*H51*E51*(F51+G51)))*3/N51,0)</f>
        <v>0</v>
      </c>
      <c r="R51" s="41" t="str">
        <f ca="1">IFERROR((D51*(1+O51+P51)+Q51)/(1-(I51*0.007/30)),"")</f>
      </c>
      <c r="S51" s="11">
        <f ca="1">IFERROR(VLOOKUP(B51,DATA!$B$17:$D$18,2,0),"")</f>
        <v>0.12</v>
      </c>
      <c r="T51" s="56" t="str">
        <f ca="1">IFERROR(ROUND(R51/(1-S51)+($J$12+$K$12)/($N$62*(1-L51)),-3),"")</f>
      </c>
      <c r="U51" s="41" t="str">
        <f ca="1">IFERROR(ROUND(T51*N51,0),"")</f>
      </c>
    </row>
    <row r="52" spans="1:21" ht="11.65" customHeight="1">
      <c r="A52" s="9"/>
      <c r="B52" s="10" t="s">
        <v>50</v>
      </c>
      <c r="C52" s="9">
        <f ca="1">IFERROR(VLOOKUP(B52,DATA!$B$17:$D$18,3,0),0)</f>
        <v>7.95</v>
      </c>
      <c r="D52" s="45"/>
      <c r="E52" s="28"/>
      <c r="F52" s="28"/>
      <c r="G52" s="28"/>
      <c r="H52" s="22"/>
      <c r="I52" s="22"/>
      <c r="J52" s="45"/>
      <c r="K52" s="22"/>
      <c r="L52" s="12">
        <f ca="1">IFERROR(IF(AND(OR(LEFT(B52,FIND(" ",B52,1)-1)="Đồng",LEFT(B52,FIND(" ",B52,1)-1)="Nhôm"),E52&gt;(F52/10)),5%,0),"")</f>
        <v>0</v>
      </c>
      <c r="M52" s="41">
        <f ca="1">E52*F52*G52*H52</f>
        <v>0</v>
      </c>
      <c r="N52" s="118">
        <f ca="1">IFERROR((E52*F52*G52*H52/10^6),0)*C52</f>
        <v>0</v>
      </c>
      <c r="O52" s="11" t="str">
        <f ca="1">IFERROR(IF(H52&gt;50,E52*(H52*G52+(H52+2)*F52),IF(H52&gt;10,E52*(2*H52*G52+(H52+1)*F52),2*H52*E52*(F52+G52)))*6/M52,"")</f>
      </c>
      <c r="P52" s="12">
        <v>0.035</v>
      </c>
      <c r="Q52" s="41">
        <f ca="1">IFERROR(IF(H52&gt;50,E52*(H52*G52+(H52+2)*F52),IF(H52&gt;10,E52*(2*H52*G52+(H52+1)*F52),2*H52*E52*(F52+G52)))*3/N52,0)</f>
        <v>0</v>
      </c>
      <c r="R52" s="41" t="str">
        <f ca="1">IFERROR((D52*(1+O52+P52)+Q52)/(1-(I52*0.007/30)),"")</f>
      </c>
      <c r="S52" s="11">
        <f ca="1">IFERROR(VLOOKUP(B52,DATA!$B$17:$D$18,2,0),"")</f>
        <v>0.12</v>
      </c>
      <c r="T52" s="56" t="str">
        <f ca="1">IFERROR(ROUND(R52/(1-S52)+($J$12+$K$12)/($N$62*(1-L52)),-3),"")</f>
      </c>
      <c r="U52" s="41" t="str">
        <f ca="1">IFERROR(ROUND(T52*N52,0),"")</f>
      </c>
    </row>
    <row r="53" spans="1:21" ht="11.65" customHeight="1">
      <c r="A53" s="9"/>
      <c r="B53" s="10" t="s">
        <v>50</v>
      </c>
      <c r="C53" s="9">
        <f ca="1">IFERROR(VLOOKUP(B53,DATA!$B$17:$D$18,3,0),0)</f>
        <v>7.95</v>
      </c>
      <c r="D53" s="45"/>
      <c r="E53" s="28"/>
      <c r="F53" s="28"/>
      <c r="G53" s="28"/>
      <c r="H53" s="22"/>
      <c r="I53" s="22"/>
      <c r="J53" s="45"/>
      <c r="K53" s="22"/>
      <c r="L53" s="12">
        <f ca="1">IFERROR(IF(AND(OR(LEFT(B53,FIND(" ",B53,1)-1)="Đồng",LEFT(B53,FIND(" ",B53,1)-1)="Nhôm"),E53&gt;(F53/10)),5%,0),"")</f>
        <v>0</v>
      </c>
      <c r="M53" s="41">
        <f ca="1">E53*F53*G53*H53</f>
        <v>0</v>
      </c>
      <c r="N53" s="118">
        <f ca="1">IFERROR((E53*F53*G53*H53/10^6),0)*C53</f>
        <v>0</v>
      </c>
      <c r="O53" s="11" t="str">
        <f ca="1">IFERROR(IF(H53&gt;50,E53*(H53*G53+(H53+2)*F53),IF(H53&gt;10,E53*(2*H53*G53+(H53+1)*F53),2*H53*E53*(F53+G53)))*6/M53,"")</f>
      </c>
      <c r="P53" s="12">
        <v>0.035</v>
      </c>
      <c r="Q53" s="41">
        <f ca="1">IFERROR(IF(H53&gt;50,E53*(H53*G53+(H53+2)*F53),IF(H53&gt;10,E53*(2*H53*G53+(H53+1)*F53),2*H53*E53*(F53+G53)))*3/N53,0)</f>
        <v>0</v>
      </c>
      <c r="R53" s="41" t="str">
        <f ca="1">IFERROR((D53*(1+O53+P53)+Q53)/(1-(I53*0.007/30)),"")</f>
      </c>
      <c r="S53" s="11">
        <f ca="1">IFERROR(VLOOKUP(B53,DATA!$B$17:$D$18,2,0),"")</f>
        <v>0.12</v>
      </c>
      <c r="T53" s="56" t="str">
        <f ca="1">IFERROR(ROUND(R53/(1-S53)+($J$12+$K$12)/($N$62*(1-L53)),-3),"")</f>
      </c>
      <c r="U53" s="41" t="str">
        <f ca="1">IFERROR(ROUND(T53*N53,0),"")</f>
      </c>
    </row>
    <row r="54" spans="1:21" ht="11.65" customHeight="1">
      <c r="A54" s="9"/>
      <c r="B54" s="10" t="s">
        <v>50</v>
      </c>
      <c r="C54" s="9">
        <f ca="1">IFERROR(VLOOKUP(B54,DATA!$B$17:$D$18,3,0),0)</f>
        <v>7.95</v>
      </c>
      <c r="D54" s="45"/>
      <c r="E54" s="28"/>
      <c r="F54" s="28"/>
      <c r="G54" s="28"/>
      <c r="H54" s="22"/>
      <c r="I54" s="22"/>
      <c r="J54" s="45"/>
      <c r="K54" s="22"/>
      <c r="L54" s="12">
        <f ca="1">IFERROR(IF(AND(OR(LEFT(B54,FIND(" ",B54,1)-1)="Đồng",LEFT(B54,FIND(" ",B54,1)-1)="Nhôm"),E54&gt;(F54/10)),5%,0),"")</f>
        <v>0</v>
      </c>
      <c r="M54" s="41">
        <f ca="1">E54*F54*G54*H54</f>
        <v>0</v>
      </c>
      <c r="N54" s="118">
        <f ca="1">IFERROR((E54*F54*G54*H54/10^6),0)*C54</f>
        <v>0</v>
      </c>
      <c r="O54" s="11" t="str">
        <f ca="1">IFERROR(IF(H54&gt;50,E54*(H54*G54+(H54+2)*F54),IF(H54&gt;10,E54*(2*H54*G54+(H54+1)*F54),2*H54*E54*(F54+G54)))*6/M54,"")</f>
      </c>
      <c r="P54" s="12">
        <v>0.035</v>
      </c>
      <c r="Q54" s="41">
        <f ca="1">IFERROR(IF(H54&gt;50,E54*(H54*G54+(H54+2)*F54),IF(H54&gt;10,E54*(2*H54*G54+(H54+1)*F54),2*H54*E54*(F54+G54)))*3/N54,0)</f>
        <v>0</v>
      </c>
      <c r="R54" s="41" t="str">
        <f ca="1">IFERROR((D54*(1+O54+P54)+Q54)/(1-(I54*0.007/30)),"")</f>
      </c>
      <c r="S54" s="11">
        <f ca="1">IFERROR(VLOOKUP(B54,DATA!$B$17:$D$18,2,0),"")</f>
        <v>0.12</v>
      </c>
      <c r="T54" s="56" t="str">
        <f ca="1">IFERROR(ROUND(R54/(1-S54)+($J$12+$K$12)/($N$62*(1-L54)),-3),"")</f>
      </c>
      <c r="U54" s="41" t="str">
        <f ca="1">IFERROR(ROUND(T54*N54,0),"")</f>
      </c>
    </row>
    <row r="55" spans="1:21" ht="11.65" customHeight="1">
      <c r="A55" s="9"/>
      <c r="B55" s="10" t="s">
        <v>50</v>
      </c>
      <c r="C55" s="9">
        <f ca="1">IFERROR(VLOOKUP(B55,DATA!$B$17:$D$18,3,0),0)</f>
        <v>7.95</v>
      </c>
      <c r="D55" s="45"/>
      <c r="E55" s="28"/>
      <c r="F55" s="28"/>
      <c r="G55" s="28"/>
      <c r="H55" s="22"/>
      <c r="I55" s="22"/>
      <c r="J55" s="45"/>
      <c r="K55" s="22"/>
      <c r="L55" s="12">
        <f ca="1">IFERROR(IF(AND(OR(LEFT(B55,FIND(" ",B55,1)-1)="Đồng",LEFT(B55,FIND(" ",B55,1)-1)="Nhôm"),E55&gt;(F55/10)),5%,0),"")</f>
        <v>0</v>
      </c>
      <c r="M55" s="41">
        <f ca="1">E55*F55*G55*H55</f>
        <v>0</v>
      </c>
      <c r="N55" s="118">
        <f ca="1">IFERROR((E55*F55*G55*H55/10^6),0)*C55</f>
        <v>0</v>
      </c>
      <c r="O55" s="11" t="str">
        <f ca="1">IFERROR(IF(H55&gt;50,E55*(H55*G55+(H55+2)*F55),IF(H55&gt;10,E55*(2*H55*G55+(H55+1)*F55),2*H55*E55*(F55+G55)))*6/M55,"")</f>
      </c>
      <c r="P55" s="12">
        <v>0.035</v>
      </c>
      <c r="Q55" s="41">
        <f ca="1">IFERROR(IF(H55&gt;50,E55*(H55*G55+(H55+2)*F55),IF(H55&gt;10,E55*(2*H55*G55+(H55+1)*F55),2*H55*E55*(F55+G55)))*3/N55,0)</f>
        <v>0</v>
      </c>
      <c r="R55" s="41" t="str">
        <f ca="1">IFERROR((D55*(1+O55+P55)+Q55)/(1-(I55*0.007/30)),"")</f>
      </c>
      <c r="S55" s="11">
        <f ca="1">IFERROR(VLOOKUP(B55,DATA!$B$17:$D$18,2,0),"")</f>
        <v>0.12</v>
      </c>
      <c r="T55" s="56" t="str">
        <f ca="1">IFERROR(ROUND(R55/(1-S55)+($J$12+$K$12)/($N$62*(1-L55)),-3),"")</f>
      </c>
      <c r="U55" s="41" t="str">
        <f ca="1">IFERROR(ROUND(T55*N55,0),"")</f>
      </c>
    </row>
    <row r="56" spans="1:21" ht="11.65" customHeight="1">
      <c r="A56" s="9"/>
      <c r="B56" s="10" t="s">
        <v>50</v>
      </c>
      <c r="C56" s="9">
        <f ca="1">IFERROR(VLOOKUP(B56,DATA!$B$17:$D$18,3,0),0)</f>
        <v>7.95</v>
      </c>
      <c r="D56" s="45"/>
      <c r="E56" s="28"/>
      <c r="F56" s="28"/>
      <c r="G56" s="28"/>
      <c r="H56" s="22"/>
      <c r="I56" s="22"/>
      <c r="J56" s="45"/>
      <c r="K56" s="22"/>
      <c r="L56" s="12">
        <f ca="1">IFERROR(IF(AND(OR(LEFT(B56,FIND(" ",B56,1)-1)="Đồng",LEFT(B56,FIND(" ",B56,1)-1)="Nhôm"),E56&gt;(F56/10)),5%,0),"")</f>
        <v>0</v>
      </c>
      <c r="M56" s="41">
        <f ca="1">E56*F56*G56*H56</f>
        <v>0</v>
      </c>
      <c r="N56" s="118">
        <f ca="1">IFERROR((E56*F56*G56*H56/10^6),0)*C56</f>
        <v>0</v>
      </c>
      <c r="O56" s="11" t="str">
        <f ca="1">IFERROR(IF(H56&gt;50,E56*(H56*G56+(H56+2)*F56),IF(H56&gt;10,E56*(2*H56*G56+(H56+1)*F56),2*H56*E56*(F56+G56)))*6/M56,"")</f>
      </c>
      <c r="P56" s="12">
        <v>0.035</v>
      </c>
      <c r="Q56" s="41">
        <f ca="1">IFERROR(IF(H56&gt;50,E56*(H56*G56+(H56+2)*F56),IF(H56&gt;10,E56*(2*H56*G56+(H56+1)*F56),2*H56*E56*(F56+G56)))*3/N56,0)</f>
        <v>0</v>
      </c>
      <c r="R56" s="41" t="str">
        <f ca="1">IFERROR((D56*(1+O56+P56)+Q56)/(1-(I56*0.007/30)),"")</f>
      </c>
      <c r="S56" s="11">
        <f ca="1">IFERROR(VLOOKUP(B56,DATA!$B$17:$D$18,2,0),"")</f>
        <v>0.12</v>
      </c>
      <c r="T56" s="56" t="str">
        <f ca="1">IFERROR(ROUND(R56/(1-S56)+($J$12+$K$12)/($N$62*(1-L56)),-3),"")</f>
      </c>
      <c r="U56" s="41" t="str">
        <f ca="1">IFERROR(ROUND(T56*N56,0),"")</f>
      </c>
    </row>
    <row r="57" spans="1:21" ht="11.65" customHeight="1">
      <c r="A57" s="9"/>
      <c r="B57" s="10" t="s">
        <v>50</v>
      </c>
      <c r="C57" s="9">
        <f ca="1">IFERROR(VLOOKUP(B57,DATA!$B$17:$D$18,3,0),0)</f>
        <v>7.95</v>
      </c>
      <c r="D57" s="45"/>
      <c r="E57" s="28"/>
      <c r="F57" s="28"/>
      <c r="G57" s="28"/>
      <c r="H57" s="22"/>
      <c r="I57" s="22"/>
      <c r="J57" s="45"/>
      <c r="K57" s="22"/>
      <c r="L57" s="12">
        <f ca="1">IFERROR(IF(AND(OR(LEFT(B57,FIND(" ",B57,1)-1)="Đồng",LEFT(B57,FIND(" ",B57,1)-1)="Nhôm"),E57&gt;(F57/10)),5%,0),"")</f>
        <v>0</v>
      </c>
      <c r="M57" s="41">
        <f ca="1">E57*F57*G57*H57</f>
        <v>0</v>
      </c>
      <c r="N57" s="118">
        <f ca="1">IFERROR((E57*F57*G57*H57/10^6),0)*C57</f>
        <v>0</v>
      </c>
      <c r="O57" s="11" t="str">
        <f ca="1">IFERROR(IF(H57&gt;50,E57*(H57*G57+(H57+2)*F57),IF(H57&gt;10,E57*(2*H57*G57+(H57+1)*F57),2*H57*E57*(F57+G57)))*6/M57,"")</f>
      </c>
      <c r="P57" s="12">
        <v>0.035</v>
      </c>
      <c r="Q57" s="41">
        <f ca="1">IFERROR(IF(H57&gt;50,E57*(H57*G57+(H57+2)*F57),IF(H57&gt;10,E57*(2*H57*G57+(H57+1)*F57),2*H57*E57*(F57+G57)))*3/N57,0)</f>
        <v>0</v>
      </c>
      <c r="R57" s="41" t="str">
        <f ca="1">IFERROR((D57*(1+O57+P57)+Q57)/(1-(I57*0.007/30)),"")</f>
      </c>
      <c r="S57" s="11">
        <f ca="1">IFERROR(VLOOKUP(B57,DATA!$B$17:$D$18,2,0),"")</f>
        <v>0.12</v>
      </c>
      <c r="T57" s="56" t="str">
        <f ca="1">IFERROR(ROUND(R57/(1-S57)+($J$12+$K$12)/($N$62*(1-L57)),-3),"")</f>
      </c>
      <c r="U57" s="41" t="str">
        <f ca="1">IFERROR(ROUND(T57*N57,0),"")</f>
      </c>
    </row>
    <row r="58" spans="1:21" ht="11.65" customHeight="1">
      <c r="A58" s="9"/>
      <c r="B58" s="10" t="s">
        <v>50</v>
      </c>
      <c r="C58" s="9">
        <f ca="1">IFERROR(VLOOKUP(B58,DATA!$B$17:$D$18,3,0),0)</f>
        <v>7.95</v>
      </c>
      <c r="D58" s="45"/>
      <c r="E58" s="28"/>
      <c r="F58" s="28"/>
      <c r="G58" s="28"/>
      <c r="H58" s="22"/>
      <c r="I58" s="22"/>
      <c r="J58" s="45"/>
      <c r="K58" s="22"/>
      <c r="L58" s="12">
        <f ca="1">IFERROR(IF(AND(OR(LEFT(B58,FIND(" ",B58,1)-1)="Đồng",LEFT(B58,FIND(" ",B58,1)-1)="Nhôm"),E58&gt;(F58/10)),5%,0),"")</f>
        <v>0</v>
      </c>
      <c r="M58" s="41">
        <f ca="1">E58*F58*G58*H58</f>
        <v>0</v>
      </c>
      <c r="N58" s="118">
        <f ca="1">IFERROR((E58*F58*G58*H58/10^6),0)*C58</f>
        <v>0</v>
      </c>
      <c r="O58" s="11" t="str">
        <f ca="1">IFERROR(IF(H58&gt;50,E58*(H58*G58+(H58+2)*F58),IF(H58&gt;10,E58*(2*H58*G58+(H58+1)*F58),2*H58*E58*(F58+G58)))*6/M58,"")</f>
      </c>
      <c r="P58" s="12">
        <v>0.035</v>
      </c>
      <c r="Q58" s="41">
        <f ca="1">IFERROR(IF(H58&gt;50,E58*(H58*G58+(H58+2)*F58),IF(H58&gt;10,E58*(2*H58*G58+(H58+1)*F58),2*H58*E58*(F58+G58)))*3/N58,0)</f>
        <v>0</v>
      </c>
      <c r="R58" s="41" t="str">
        <f ca="1">IFERROR((D58*(1+O58+P58)+Q58)/(1-(I58*0.007/30)),"")</f>
      </c>
      <c r="S58" s="11">
        <f ca="1">IFERROR(VLOOKUP(B58,DATA!$B$17:$D$18,2,0),"")</f>
        <v>0.12</v>
      </c>
      <c r="T58" s="56" t="str">
        <f ca="1">IFERROR(ROUND(R58/(1-S58)+($J$12+$K$12)/($N$62*(1-L58)),-3),"")</f>
      </c>
      <c r="U58" s="41" t="str">
        <f ca="1">IFERROR(ROUND(T58*N58,0),"")</f>
      </c>
    </row>
    <row r="59" spans="1:21" ht="11.65" customHeight="1">
      <c r="A59" s="9"/>
      <c r="B59" s="10" t="s">
        <v>50</v>
      </c>
      <c r="C59" s="9">
        <f ca="1">IFERROR(VLOOKUP(B59,DATA!$B$17:$D$18,3,0),0)</f>
        <v>7.95</v>
      </c>
      <c r="D59" s="45"/>
      <c r="E59" s="28"/>
      <c r="F59" s="28"/>
      <c r="G59" s="28"/>
      <c r="H59" s="22"/>
      <c r="I59" s="22"/>
      <c r="J59" s="45"/>
      <c r="K59" s="22"/>
      <c r="L59" s="12">
        <f ca="1">IFERROR(IF(AND(OR(LEFT(B59,FIND(" ",B59,1)-1)="Đồng",LEFT(B59,FIND(" ",B59,1)-1)="Nhôm"),E59&gt;(F59/10)),5%,0),"")</f>
        <v>0</v>
      </c>
      <c r="M59" s="41">
        <f ca="1">E59*F59*G59*H59</f>
        <v>0</v>
      </c>
      <c r="N59" s="118">
        <f ca="1">IFERROR((E59*F59*G59*H59/10^6),0)*C59</f>
        <v>0</v>
      </c>
      <c r="O59" s="11" t="str">
        <f ca="1">IFERROR(IF(H59&gt;50,E59*(H59*G59+(H59+2)*F59),IF(H59&gt;10,E59*(2*H59*G59+(H59+1)*F59),2*H59*E59*(F59+G59)))*6/M59,"")</f>
      </c>
      <c r="P59" s="12">
        <v>0.035</v>
      </c>
      <c r="Q59" s="41">
        <f ca="1">IFERROR(IF(H59&gt;50,E59*(H59*G59+(H59+2)*F59),IF(H59&gt;10,E59*(2*H59*G59+(H59+1)*F59),2*H59*E59*(F59+G59)))*3/N59,0)</f>
        <v>0</v>
      </c>
      <c r="R59" s="41" t="str">
        <f ca="1">IFERROR((D59*(1+O59+P59)+Q59)/(1-(I59*0.007/30)),"")</f>
      </c>
      <c r="S59" s="11">
        <f ca="1">IFERROR(VLOOKUP(B59,DATA!$B$17:$D$18,2,0),"")</f>
        <v>0.12</v>
      </c>
      <c r="T59" s="56" t="str">
        <f ca="1">IFERROR(ROUND(R59/(1-S59)+($J$12+$K$12)/($N$62*(1-L59)),-3),"")</f>
      </c>
      <c r="U59" s="41" t="str">
        <f ca="1">IFERROR(ROUND(T59*N59,0),"")</f>
      </c>
    </row>
    <row r="60" spans="1:21" ht="11.65" customHeight="1">
      <c r="A60" s="9"/>
      <c r="B60" s="10" t="s">
        <v>50</v>
      </c>
      <c r="C60" s="9">
        <f ca="1">IFERROR(VLOOKUP(B60,DATA!$B$17:$D$18,3,0),0)</f>
        <v>7.95</v>
      </c>
      <c r="D60" s="45"/>
      <c r="E60" s="28"/>
      <c r="F60" s="28"/>
      <c r="G60" s="28"/>
      <c r="H60" s="22"/>
      <c r="I60" s="22"/>
      <c r="J60" s="45"/>
      <c r="K60" s="22"/>
      <c r="L60" s="12">
        <f ca="1">IFERROR(IF(AND(OR(LEFT(B60,FIND(" ",B60,1)-1)="Đồng",LEFT(B60,FIND(" ",B60,1)-1)="Nhôm"),E60&gt;(F60/10)),5%,0),"")</f>
        <v>0</v>
      </c>
      <c r="M60" s="41">
        <f ca="1">E60*F60*G60*H60</f>
        <v>0</v>
      </c>
      <c r="N60" s="118">
        <f ca="1">IFERROR((E60*F60*G60*H60/10^6),0)*C60</f>
        <v>0</v>
      </c>
      <c r="O60" s="11" t="str">
        <f ca="1">IFERROR(IF(H60&gt;50,E60*(H60*G60+(H60+2)*F60),IF(H60&gt;10,E60*(2*H60*G60+(H60+1)*F60),2*H60*E60*(F60+G60)))*6/M60,"")</f>
      </c>
      <c r="P60" s="12">
        <v>0.035</v>
      </c>
      <c r="Q60" s="41">
        <f ca="1">IFERROR(IF(H60&gt;50,E60*(H60*G60+(H60+2)*F60),IF(H60&gt;10,E60*(2*H60*G60+(H60+1)*F60),2*H60*E60*(F60+G60)))*3/N60,0)</f>
        <v>0</v>
      </c>
      <c r="R60" s="41" t="str">
        <f ca="1">IFERROR((D60*(1+O60+P60)+Q60)/(1-(I60*0.007/30)),"")</f>
      </c>
      <c r="S60" s="11">
        <f ca="1">IFERROR(VLOOKUP(B60,DATA!$B$17:$D$18,2,0),"")</f>
        <v>0.12</v>
      </c>
      <c r="T60" s="56" t="str">
        <f ca="1">IFERROR(ROUND(R60/(1-S60)+($J$12+$K$12)/($N$62*(1-L60)),-3),"")</f>
      </c>
      <c r="U60" s="41" t="str">
        <f ca="1">IFERROR(ROUND(T60*N60,0),"")</f>
      </c>
    </row>
    <row r="61" spans="1:21" ht="11.65" customHeight="1">
      <c r="A61" s="14"/>
      <c r="B61" s="13" t="s">
        <v>50</v>
      </c>
      <c r="C61" s="14">
        <f ca="1">IFERROR(VLOOKUP(B61,DATA!$B$17:$D$18,3,0),0)</f>
        <v>7.95</v>
      </c>
      <c r="D61" s="46"/>
      <c r="E61" s="29"/>
      <c r="F61" s="29"/>
      <c r="G61" s="29"/>
      <c r="H61" s="23"/>
      <c r="I61" s="23"/>
      <c r="J61" s="46"/>
      <c r="K61" s="23"/>
      <c r="L61" s="16">
        <f ca="1">IFERROR(IF(AND(OR(LEFT(B61,FIND(" ",B61,1)-1)="Đồng",LEFT(B61,FIND(" ",B61,1)-1)="Nhôm"),E61&gt;(F61/10)),5%,0),"")</f>
        <v>0</v>
      </c>
      <c r="M61" s="42">
        <f ca="1">E61*F61*G61*H61</f>
        <v>0</v>
      </c>
      <c r="N61" s="119">
        <f ca="1">IFERROR((E61*F61*G61*H61/10^6),0)*C61</f>
        <v>0</v>
      </c>
      <c r="O61" s="15" t="str">
        <f ca="1">IFERROR(IF(H61&gt;50,E61*(H61*G61+(H61+2)*F61),IF(H61&gt;10,E61*(2*H61*G61+(H61+1)*F61),2*H61*E61*(F61+G61)))*6/M61,"")</f>
      </c>
      <c r="P61" s="16">
        <v>0.035</v>
      </c>
      <c r="Q61" s="42">
        <f ca="1">IFERROR(IF(H61&gt;50,E61*(H61*G61+(H61+2)*F61),IF(H61&gt;10,E61*(2*H61*G61+(H61+1)*F61),2*H61*E61*(F61+G61)))*3/N61,0)</f>
        <v>0</v>
      </c>
      <c r="R61" s="42" t="str">
        <f ca="1">IFERROR((D61*(1+O61+P61)+Q61)/(1-(I61*0.007/30)),"")</f>
      </c>
      <c r="S61" s="15">
        <f ca="1">IFERROR(VLOOKUP(B61,DATA!$B$17:$D$18,2,0),"")</f>
        <v>0.12</v>
      </c>
      <c r="T61" s="56" t="str">
        <f ca="1">IFERROR(ROUND(R61/(1-S61)+($J$12+$K$12)/($N$62*(1-L61)),-3),"")</f>
      </c>
      <c r="U61" s="42" t="str">
        <f ca="1">IFERROR(ROUND(T61*N61,0),"")</f>
      </c>
    </row>
    <row r="62" spans="1:21" ht="11.65" customHeight="1">
      <c r="A62" s="17" t="s">
        <v>85</v>
      </c>
      <c r="B62" s="18"/>
      <c r="C62" s="18"/>
      <c r="D62" s="47"/>
      <c r="E62" s="30"/>
      <c r="F62" s="31"/>
      <c r="G62" s="32"/>
      <c r="H62" s="34">
        <f ca="1">SUM(H12:H61)</f>
        <v>2</v>
      </c>
      <c r="I62" s="34"/>
      <c r="J62" s="43"/>
      <c r="K62" s="34"/>
      <c r="L62" s="37"/>
      <c r="M62" s="43"/>
      <c r="N62" s="120">
        <f ca="1">SUM(N12:N61)</f>
        <v>35.61759</v>
      </c>
      <c r="O62" s="52"/>
      <c r="P62" s="50"/>
      <c r="Q62" s="53"/>
      <c r="R62" s="53"/>
      <c r="S62" s="50"/>
      <c r="T62" s="43"/>
      <c r="U62" s="43"/>
    </row>
    <row r="63" spans="18:20" ht="11.65" customHeight="1">
      <c r="R63" s="54"/>
      <c r="S63" s="55"/>
    </row>
    <row r="64" spans="18:20" ht="11.65" customHeight="1">
      <c r="R64" s="54"/>
      <c r="S64" s="55"/>
    </row>
    <row r="65" spans="18:20" ht="11.65" customHeight="1">
      <c r="R65" s="54"/>
      <c r="S65" s="55"/>
    </row>
    <row r="66" spans="18:20" ht="11.65" customHeight="1">
      <c r="R66" s="54"/>
      <c r="S66" s="55"/>
    </row>
    <row r="67" spans="18:20" ht="11.65" customHeight="1">
      <c r="R67" s="54"/>
      <c r="S67" s="55"/>
    </row>
    <row r="68" spans="18:20" ht="11.65" customHeight="1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/>
  </dataValidations>
  <printOptions/>
  <pageMargins left="0.7" right="0.7" top="0.75" bottom="0.75" header="0.3" footer="0.3"/>
  <pageSetup horizontalDpi="600" verticalDpi="600" orientation="portrait" paperSize="9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68"/>
  <sheetViews>
    <sheetView workbookViewId="0" topLeftCell="A10">
      <pane ySplit="2" topLeftCell="A12" activePane="bottomLeft" state="frozen"/>
      <selection pane="topLeft" activeCell="A10" sqref="A10"/>
      <selection pane="bottomLeft" activeCell="S12" sqref="S12"/>
    </sheetView>
  </sheetViews>
  <sheetFormatPr defaultColWidth="8.571428571428571" defaultRowHeight="11.65" customHeight="1"/>
  <cols>
    <col min="1" max="1" width="17" style="2" customWidth="1"/>
    <col min="2" max="2" width="18" style="2" customWidth="1"/>
    <col min="3" max="3" width="11" style="2" customWidth="1"/>
    <col min="4" max="4" width="13" style="39" customWidth="1"/>
    <col min="5" max="7" width="8" style="26" customWidth="1"/>
    <col min="8" max="8" width="6" style="19" customWidth="1"/>
    <col min="9" max="9" width="7" style="19" customWidth="1"/>
    <col min="10" max="10" width="7" style="39" customWidth="1"/>
    <col min="11" max="11" width="10" style="19" customWidth="1"/>
    <col min="12" max="12" width="7" style="35" customWidth="1"/>
    <col min="13" max="13" width="11" style="39" customWidth="1"/>
    <col min="14" max="14" width="7" style="57" customWidth="1"/>
    <col min="15" max="15" width="12" style="51" customWidth="1"/>
    <col min="16" max="16" width="12.142857142857142" style="35" customWidth="1"/>
    <col min="17" max="17" width="10" style="39" customWidth="1"/>
    <col min="18" max="18" width="9" style="39" customWidth="1"/>
    <col min="19" max="19" width="8" style="35" customWidth="1"/>
    <col min="20" max="20" width="10" style="39" customWidth="1"/>
    <col min="21" max="21" width="11" style="39" customWidth="1"/>
    <col min="22" max="22" width="8" style="2" customWidth="1"/>
    <col min="23" max="23" width="8.142857142857142" style="2" customWidth="1"/>
    <col min="24" max="24" width="8.285714285714286" style="2" customWidth="1"/>
    <col min="25" max="25" width="8.428571428571429" style="2" customWidth="1"/>
    <col min="26" max="16384" width="8.571428571428571" style="2" customWidth="1"/>
  </cols>
  <sheetData>
    <row r="1" spans="5:7" ht="41.1" customHeight="1" hidden="1">
      <c r="E1" s="24" t="s">
        <v>3</v>
      </c>
      <c r="F1" s="25">
        <v>140000</v>
      </c>
    </row>
    <row r="2" spans="1:4" ht="14.25" customHeight="1" hidden="1">
      <c r="A2" s="2" t="s">
        <v>101</v>
      </c>
      <c r="B2" s="2" t="s">
        <v>98</v>
      </c>
      <c r="C2" s="2" t="s">
        <v>17</v>
      </c>
    </row>
    <row r="3" spans="1:4" ht="14.25" customHeight="1" hidden="1">
      <c r="A3" s="2" t="s">
        <v>97</v>
      </c>
      <c r="B3" s="2" t="s">
        <v>5</v>
      </c>
      <c r="C3" s="2" t="s">
        <v>21</v>
      </c>
    </row>
    <row r="4" spans="1:4" ht="14.25" customHeight="1" hidden="1">
      <c r="A4" s="2" t="s">
        <v>77</v>
      </c>
      <c r="B4" s="2" t="s">
        <v>23</v>
      </c>
      <c r="C4" s="2" t="s">
        <v>111</v>
      </c>
    </row>
    <row r="5" spans="1:4" ht="14.25" customHeight="1" hidden="1">
      <c r="A5" s="2" t="s">
        <v>90</v>
      </c>
      <c r="B5" s="2" t="s">
        <v>52</v>
      </c>
      <c r="C5" s="2" t="s">
        <v>44</v>
      </c>
    </row>
    <row r="6" spans="1:22" ht="14.25" customHeight="1" hidden="1"/>
    <row r="7" spans="1:22" ht="14.25" customHeight="1" hidden="1"/>
    <row r="8" spans="1:22" ht="14.25" customHeight="1" hidden="1"/>
    <row r="9" spans="1:22" ht="14.25" customHeight="1" hidden="1"/>
    <row r="10" spans="1:22" ht="25.5" customHeight="1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68</v>
      </c>
      <c r="T10" s="162"/>
      <c r="U10" s="163"/>
    </row>
    <row r="11" spans="1:22" ht="11.65" customHeight="1">
      <c r="A11" s="3" t="s">
        <v>38</v>
      </c>
      <c r="B11" s="3" t="s">
        <v>19</v>
      </c>
      <c r="C11" s="4" t="s">
        <v>20</v>
      </c>
      <c r="D11" s="20" t="s">
        <v>6</v>
      </c>
      <c r="E11" s="48" t="s">
        <v>10</v>
      </c>
      <c r="F11" s="48" t="s">
        <v>114</v>
      </c>
      <c r="G11" s="48" t="s">
        <v>73</v>
      </c>
      <c r="H11" s="33" t="s">
        <v>104</v>
      </c>
      <c r="I11" s="20" t="s">
        <v>100</v>
      </c>
      <c r="J11" s="20" t="s">
        <v>67</v>
      </c>
      <c r="K11" s="20" t="s">
        <v>105</v>
      </c>
      <c r="L11" s="36" t="s">
        <v>108</v>
      </c>
      <c r="M11" s="38" t="s">
        <v>43</v>
      </c>
      <c r="N11" s="58" t="s">
        <v>63</v>
      </c>
      <c r="O11" s="49" t="s">
        <v>48</v>
      </c>
      <c r="P11" s="49" t="s">
        <v>60</v>
      </c>
      <c r="Q11" s="38" t="s">
        <v>112</v>
      </c>
      <c r="R11" s="38" t="s">
        <v>87</v>
      </c>
      <c r="S11" s="49" t="s">
        <v>0</v>
      </c>
      <c r="T11" s="38" t="s">
        <v>61</v>
      </c>
      <c r="U11" s="38" t="s">
        <v>84</v>
      </c>
    </row>
    <row r="12" spans="1:22" ht="11.65" customHeight="1">
      <c r="A12" s="5"/>
      <c r="B12" s="6" t="s">
        <v>24</v>
      </c>
      <c r="C12" s="5">
        <f ca="1">IFERROR(VLOOKUP(B12,DATA!$B$12:$D$13,3,0),0)</f>
        <v>7.95</v>
      </c>
      <c r="D12" s="44">
        <v>130000</v>
      </c>
      <c r="E12" s="27">
        <v>25</v>
      </c>
      <c r="F12" s="27">
        <v>30</v>
      </c>
      <c r="G12" s="27">
        <v>19</v>
      </c>
      <c r="H12" s="21">
        <v>10</v>
      </c>
      <c r="I12" s="21"/>
      <c r="J12" s="44"/>
      <c r="K12" s="21"/>
      <c r="L12" s="8">
        <f ca="1">IFERROR(IF(AND(OR(LEFT(B12,FIND(" ",B12,1)-1)="Đồng",LEFT(B12,FIND(" ",B12,1)-1)="Nhôm"),E12&gt;(F12/10)),5%,0),"")</f>
        <v>0</v>
      </c>
      <c r="M12" s="40">
        <f ca="1">E12*F12*G12*H12</f>
        <v>142500</v>
      </c>
      <c r="N12" s="118">
        <f ca="1">IFERROR((E12*F12*G12*H12/10^6),0)*C12</f>
        <v>1.1328749999999999</v>
      </c>
      <c r="O12" s="7">
        <f ca="1">IFERROR(((E12+5)*(F12+5)*(G12+5))/(E12*F12*G12)-1,"")</f>
        <v>0.7684210526315789</v>
      </c>
      <c r="P12" s="8">
        <v>0.035</v>
      </c>
      <c r="Q12" s="40">
        <f ca="1">IFERROR(IF(H12&gt;50,E12*(H12*G12+(H12+2)*F12),IF(H12&gt;10,E12*(2*H12*G12+(H12+1)*F12),2*H12*E12*(F12+G12)))*13/N12,0)</f>
        <v>281143.10934569134</v>
      </c>
      <c r="R12" s="153">
        <f ca="1">IFERROR((D12*(1+O12+P12)+Q12)/(1-(I12*0.007/30)),"")</f>
        <v>515587.84618779656</v>
      </c>
      <c r="S12" s="7">
        <v>0.12</v>
      </c>
      <c r="T12" s="155">
        <f ca="1">IFERROR(ROUND((R12/(1-S12)+($J$12+$K$12)/$N$62)/(1-L12),-3),"")</f>
        <v>586000</v>
      </c>
      <c r="U12" s="40">
        <f ca="1">IFERROR(ROUND(T12*N12,0),"")</f>
        <v>663865</v>
      </c>
      <c r="V12" s="99"/>
    </row>
    <row r="13" spans="1:22" ht="11.65" customHeight="1">
      <c r="A13" s="9"/>
      <c r="B13" s="10" t="s">
        <v>9</v>
      </c>
      <c r="C13" s="9">
        <f ca="1">IFERROR(VLOOKUP(B13,DATA!$B$12:$D$13,3,0),0)</f>
        <v>8.9</v>
      </c>
      <c r="D13" s="45">
        <v>130000</v>
      </c>
      <c r="E13" s="28">
        <v>12</v>
      </c>
      <c r="F13" s="28">
        <v>285</v>
      </c>
      <c r="G13" s="28">
        <v>655</v>
      </c>
      <c r="H13" s="22">
        <v>2</v>
      </c>
      <c r="I13" s="22"/>
      <c r="J13" s="45"/>
      <c r="K13" s="22"/>
      <c r="L13" s="12">
        <f ca="1">IFERROR(IF(AND(OR(LEFT(B13,FIND(" ",B13,1)-1)="Đồng",LEFT(B13,FIND(" ",B13,1)-1)="Nhôm"),E13&gt;(F13/10)),5%,0),"")</f>
        <v>0</v>
      </c>
      <c r="M13" s="41">
        <f ca="1">E13*F13*G13*H13</f>
        <v>4480200</v>
      </c>
      <c r="N13" s="118">
        <f ca="1">IFERROR((E13*F13*G13*H13/10^6),0)*C13</f>
        <v>39.873780000000004</v>
      </c>
      <c r="O13" s="11">
        <f ca="1">IFERROR(((E13+5)*(F13+5)*(G13+5))/(E13*F13*G13)-1,"")</f>
        <v>0.4525244408731752</v>
      </c>
      <c r="P13" s="12">
        <v>0.035</v>
      </c>
      <c r="Q13" s="41">
        <f ca="1">IFERROR(IF(H13&gt;50,E13*(H13*G13+(H13+2)*F13),IF(H13&gt;10,E13*(2*H13*G13+(H13+1)*F13),2*H13*E13*(F13+G13)))*13/N13,0)</f>
        <v>14710.418726290809</v>
      </c>
      <c r="R13" s="41">
        <f ca="1">IFERROR((D13*(1+O13+P13)+Q13+(($J$12+$K$12)/$N$62))/(1-L13-(I13*0.007/30)),"")</f>
        <v>208088.59603980358</v>
      </c>
      <c r="S13" s="11">
        <f ca="1">IFERROR(VLOOKUP(B13,DATA!$B$12:$D$13,2,0),"")</f>
        <v>0.18</v>
      </c>
      <c r="T13" s="56">
        <f ca="1">IFERROR(ROUND((R13/(1-S13)+($J$12+$K$12)/$N$62)/(1-L13),-3),"")</f>
        <v>254000</v>
      </c>
      <c r="U13" s="41">
        <f ca="1">IFERROR(ROUND(T13*N13,0),"")</f>
        <v>10127940</v>
      </c>
      <c r="V13" s="99"/>
    </row>
    <row r="14" spans="1:22" ht="11.65" customHeight="1">
      <c r="A14" s="9"/>
      <c r="B14" s="10" t="s">
        <v>9</v>
      </c>
      <c r="C14" s="9">
        <f ca="1">IFERROR(VLOOKUP(B14,DATA!$B$12:$D$13,3,0),0)</f>
        <v>8.9</v>
      </c>
      <c r="D14" s="45">
        <v>130000</v>
      </c>
      <c r="E14" s="28">
        <v>12</v>
      </c>
      <c r="F14" s="28">
        <v>285</v>
      </c>
      <c r="G14" s="28">
        <v>655</v>
      </c>
      <c r="H14" s="22">
        <v>2</v>
      </c>
      <c r="I14" s="22"/>
      <c r="J14" s="45"/>
      <c r="K14" s="22"/>
      <c r="L14" s="12">
        <f ca="1">IFERROR(IF(AND(OR(LEFT(B14,FIND(" ",B14,1)-1)="Đồng",LEFT(B14,FIND(" ",B14,1)-1)="Nhôm"),E14&gt;(F14/10)),5%,0),"")</f>
        <v>0</v>
      </c>
      <c r="M14" s="41">
        <f ca="1">E14*F14*G14*H14</f>
        <v>4480200</v>
      </c>
      <c r="N14" s="118">
        <f ca="1">IFERROR((E14*F14*G14*H14/10^6),0)*C14</f>
        <v>39.873780000000004</v>
      </c>
      <c r="O14" s="11">
        <f ca="1">IFERROR(((E14+5)*(F14+5)*(G14+5))/(E14*F14*G14)-1,"")</f>
        <v>0.4525244408731752</v>
      </c>
      <c r="P14" s="12">
        <v>0.035</v>
      </c>
      <c r="Q14" s="41">
        <f ca="1">IFERROR(IF(H14&gt;50,E14*(H14*G14+(H14+2)*F14),IF(H14&gt;10,E14*(2*H14*G14+(H14+1)*F14),2*H14*E14*(F14+G14)))*13/N14,0)</f>
        <v>14710.418726290809</v>
      </c>
      <c r="R14" s="41">
        <f ca="1">IFERROR((D14*(1+O14+P14)+Q14+(($J$12+$K$12)/$N$62))/(1-L14-(I14*0.007/30)),"")</f>
        <v>208088.59603980358</v>
      </c>
      <c r="S14" s="11">
        <f ca="1">IFERROR(VLOOKUP(B14,DATA!$B$12:$D$13,2,0),"")</f>
        <v>0.18</v>
      </c>
      <c r="T14" s="56">
        <f ca="1">IFERROR(ROUND((R14/(1-S14)+($J$12+$K$12)/$N$62)/(1-L14),-3),"")</f>
        <v>254000</v>
      </c>
      <c r="U14" s="41">
        <f ca="1">IFERROR(ROUND(T14*N14,0),"")</f>
        <v>10127940</v>
      </c>
      <c r="V14" s="99"/>
    </row>
    <row r="15" spans="1:22" ht="11.65" customHeight="1">
      <c r="A15" s="9"/>
      <c r="B15" s="10"/>
      <c r="C15" s="9">
        <f ca="1">IFERROR(VLOOKUP(B15,DATA!$B$12:$D$13,3,0),0)</f>
        <v>0</v>
      </c>
      <c r="D15" s="45"/>
      <c r="E15" s="28"/>
      <c r="F15" s="28"/>
      <c r="G15" s="28"/>
      <c r="H15" s="22"/>
      <c r="I15" s="22"/>
      <c r="J15" s="45"/>
      <c r="K15" s="22"/>
      <c r="L15" s="12" t="str">
        <f ca="1">IFERROR(IF(AND(OR(LEFT(B15,FIND(" ",B15,1)-1)="Đồng",LEFT(B15,FIND(" ",B15,1)-1)="Nhôm"),E15&gt;(F15/10)),5%,0),"")</f>
      </c>
      <c r="M15" s="41">
        <f ca="1">E15*F15*G15*H15</f>
        <v>0</v>
      </c>
      <c r="N15" s="118">
        <f ca="1">IFERROR((E15*F15*G15*H15/10^6),0)*C15</f>
        <v>0</v>
      </c>
      <c r="O15" s="11" t="str">
        <f ca="1">IFERROR(((E15+5)*(F15+5)*(G15+5))/(E15*F15*G15)-1,"")</f>
      </c>
      <c r="P15" s="12">
        <v>0.035</v>
      </c>
      <c r="Q15" s="41">
        <f ca="1">IFERROR(IF(H15&gt;50,E15*(H15*G15+(H15+2)*F15),IF(H15&gt;10,E15*(2*H15*G15+(H15+1)*F15),2*H15*E15*(F15+G15)))*13/N15,0)</f>
        <v>0</v>
      </c>
      <c r="R15" s="41" t="str">
        <f ca="1">IFERROR((D15*(1+O15+P15)+Q15+(($J$12+$K$12)/$N$62))/(1-L15-(I15*0.007/30)),"")</f>
      </c>
      <c r="S15" s="11" t="str">
        <f ca="1">IFERROR(VLOOKUP(B15,DATA!$B$12:$D$13,2,0),"")</f>
      </c>
      <c r="T15" s="56" t="str">
        <f ca="1">IFERROR(ROUND((R15/(1-S15)+($J$12+$K$12)/$N$62)/(1-L15),-3),"")</f>
      </c>
      <c r="U15" s="41" t="str">
        <f ca="1">IFERROR(ROUND(T15*N15,0),"")</f>
      </c>
      <c r="V15" s="99"/>
    </row>
    <row r="16" spans="1:22" ht="11.65" customHeight="1">
      <c r="A16" s="9"/>
      <c r="B16" s="10"/>
      <c r="C16" s="9">
        <f ca="1">IFERROR(VLOOKUP(B16,DATA!$B$12:$D$13,3,0),0)</f>
        <v>0</v>
      </c>
      <c r="D16" s="45"/>
      <c r="E16" s="28"/>
      <c r="F16" s="28"/>
      <c r="G16" s="28"/>
      <c r="H16" s="22"/>
      <c r="I16" s="22"/>
      <c r="J16" s="45"/>
      <c r="K16" s="22"/>
      <c r="L16" s="12" t="str">
        <f ca="1">IFERROR(IF(AND(OR(LEFT(B16,FIND(" ",B16,1)-1)="Đồng",LEFT(B16,FIND(" ",B16,1)-1)="Nhôm"),E16&gt;(F16/10)),5%,0),"")</f>
      </c>
      <c r="M16" s="41">
        <f ca="1">E16*F16*G16*H16</f>
        <v>0</v>
      </c>
      <c r="N16" s="118">
        <f ca="1">IFERROR((E16*F16*G16*H16/10^6),0)*C16</f>
        <v>0</v>
      </c>
      <c r="O16" s="11" t="str">
        <f ca="1">IFERROR(((E16+5)*(F16+5)*(G16+5))/(E16*F16*G16)-1,"")</f>
      </c>
      <c r="P16" s="12">
        <v>0.035</v>
      </c>
      <c r="Q16" s="41">
        <f ca="1">IFERROR(IF(H16&gt;50,E16*(H16*G16+(H16+2)*F16),IF(H16&gt;10,E16*(2*H16*G16+(H16+1)*F16),2*H16*E16*(F16+G16)))*13/N16,0)</f>
        <v>0</v>
      </c>
      <c r="R16" s="41" t="str">
        <f ca="1">IFERROR((D16*(1+O16+P16)+Q16+(($J$12+$K$12)/$N$62))/(1-L16-(I16*0.007/30)),"")</f>
      </c>
      <c r="S16" s="11" t="str">
        <f ca="1">IFERROR(VLOOKUP(B16,DATA!$B$12:$D$13,2,0),"")</f>
      </c>
      <c r="T16" s="56" t="str">
        <f ca="1">IFERROR(ROUND((R16/(1-S16)+($J$12+$K$12)/$N$62)/(1-L16),-3),"")</f>
      </c>
      <c r="U16" s="41" t="str">
        <f ca="1">IFERROR(ROUND(T16*N16,0),"")</f>
      </c>
      <c r="V16" s="99"/>
    </row>
    <row r="17" spans="1:22" ht="11.65" customHeight="1">
      <c r="A17" s="9"/>
      <c r="B17" s="10"/>
      <c r="C17" s="9">
        <f ca="1">IFERROR(VLOOKUP(B17,DATA!$B$12:$D$13,3,0),0)</f>
        <v>0</v>
      </c>
      <c r="D17" s="45"/>
      <c r="E17" s="28"/>
      <c r="F17" s="28"/>
      <c r="G17" s="28"/>
      <c r="H17" s="22"/>
      <c r="I17" s="22"/>
      <c r="J17" s="45"/>
      <c r="K17" s="22"/>
      <c r="L17" s="12" t="str">
        <f ca="1">IFERROR(IF(AND(OR(LEFT(B17,FIND(" ",B17,1)-1)="Đồng",LEFT(B17,FIND(" ",B17,1)-1)="Nhôm"),E17&gt;(F17/10)),5%,0),"")</f>
      </c>
      <c r="M17" s="41">
        <f ca="1">E17*F17*G17*H17</f>
        <v>0</v>
      </c>
      <c r="N17" s="118">
        <f ca="1">IFERROR((E17*F17*G17*H17/10^6),0)*C17</f>
        <v>0</v>
      </c>
      <c r="O17" s="11" t="str">
        <f ca="1">IFERROR(((E17+5)*(F17+5)*(G17+5))/(E17*F17*G17)-1,"")</f>
      </c>
      <c r="P17" s="12">
        <v>0.035</v>
      </c>
      <c r="Q17" s="41">
        <f ca="1">IFERROR(IF(H17&gt;50,E17*(H17*G17+(H17+2)*F17),IF(H17&gt;10,E17*(2*H17*G17+(H17+1)*F17),2*H17*E17*(F17+G17)))*13/N17,0)</f>
        <v>0</v>
      </c>
      <c r="R17" s="41" t="str">
        <f ca="1">IFERROR((D17*(1+O17+P17)+Q17+(($J$12+$K$12)/$N$62))/(1-L17-(I17*0.007/30)),"")</f>
      </c>
      <c r="S17" s="11" t="str">
        <f ca="1">IFERROR(VLOOKUP(B17,DATA!$B$12:$D$13,2,0),"")</f>
      </c>
      <c r="T17" s="56" t="str">
        <f ca="1">IFERROR(ROUND((R17/(1-S17)+($J$12+$K$12)/$N$62)/(1-L17),-3),"")</f>
      </c>
      <c r="U17" s="41" t="str">
        <f ca="1">IFERROR(ROUND(T17*N17,0),"")</f>
      </c>
      <c r="V17" s="99"/>
    </row>
    <row r="18" spans="1:22" ht="11.65" customHeight="1">
      <c r="A18" s="9"/>
      <c r="B18" s="10"/>
      <c r="C18" s="9">
        <f ca="1">IFERROR(VLOOKUP(B18,DATA!$B$12:$D$13,3,0),0)</f>
        <v>0</v>
      </c>
      <c r="D18" s="45"/>
      <c r="E18" s="28"/>
      <c r="F18" s="28"/>
      <c r="G18" s="28"/>
      <c r="H18" s="22"/>
      <c r="I18" s="22"/>
      <c r="J18" s="45"/>
      <c r="K18" s="22"/>
      <c r="L18" s="12" t="str">
        <f ca="1">IFERROR(IF(AND(OR(LEFT(B18,FIND(" ",B18,1)-1)="Đồng",LEFT(B18,FIND(" ",B18,1)-1)="Nhôm"),E18&gt;(F18/10)),5%,0),"")</f>
      </c>
      <c r="M18" s="41">
        <f ca="1">E18*F18*G18*H18</f>
        <v>0</v>
      </c>
      <c r="N18" s="118">
        <f ca="1">IFERROR((E18*F18*G18*H18/10^6),0)*C18</f>
        <v>0</v>
      </c>
      <c r="O18" s="11" t="str">
        <f ca="1">IFERROR(((E18+5)*(F18+5)*(G18+5))/(E18*F18*G18)-1,"")</f>
      </c>
      <c r="P18" s="12">
        <v>0.035</v>
      </c>
      <c r="Q18" s="41">
        <f ca="1">IFERROR(IF(H18&gt;50,E18*(H18*G18+(H18+2)*F18),IF(H18&gt;10,E18*(2*H18*G18+(H18+1)*F18),2*H18*E18*(F18+G18)))*13/N18,0)</f>
        <v>0</v>
      </c>
      <c r="R18" s="41" t="str">
        <f ca="1">IFERROR((D18*(1+O18+P18)+Q18+(($J$12+$K$12)/$N$62))/(1-L18-(I18*0.007/30)),"")</f>
      </c>
      <c r="S18" s="11" t="str">
        <f ca="1">IFERROR(VLOOKUP(B18,DATA!$B$12:$D$13,2,0),"")</f>
      </c>
      <c r="T18" s="56" t="str">
        <f ca="1">IFERROR(ROUND((R18/(1-S18)+($J$12+$K$12)/$N$62)/(1-L18),-3),"")</f>
      </c>
      <c r="U18" s="41" t="str">
        <f ca="1">IFERROR(ROUND(T18*N18,0),"")</f>
      </c>
      <c r="V18" s="99"/>
    </row>
    <row r="19" spans="1:22" ht="11.65" customHeight="1">
      <c r="A19" s="9"/>
      <c r="B19" s="10"/>
      <c r="C19" s="9">
        <f ca="1">IFERROR(VLOOKUP(B19,DATA!$B$12:$D$13,3,0),0)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ca="1">IFERROR(IF(AND(OR(LEFT(B19,FIND(" ",B19,1)-1)="Đồng",LEFT(B19,FIND(" ",B19,1)-1)="Nhôm"),E19&gt;(F19/10)),5%,0),"")</f>
      </c>
      <c r="M19" s="41">
        <f ca="1">E19*F19*G19*H19</f>
        <v>0</v>
      </c>
      <c r="N19" s="118">
        <f ca="1">IFERROR((E19*F19*G19*H19/10^6),0)*C19</f>
        <v>0</v>
      </c>
      <c r="O19" s="11" t="str">
        <f ca="1">IFERROR(((E19+5)*(F19+5)*(G19+5))/(E19*F19*G19)-1,"")</f>
      </c>
      <c r="P19" s="12">
        <v>0.035</v>
      </c>
      <c r="Q19" s="41">
        <f ca="1">IFERROR(IF(H19&gt;50,E19*(H19*G19+(H19+2)*F19),IF(H19&gt;10,E19*(2*H19*G19+(H19+1)*F19),2*H19*E19*(F19+G19)))*13/N19,0)</f>
        <v>0</v>
      </c>
      <c r="R19" s="41" t="str">
        <f ca="1">IFERROR((D19*(1+O19+P19)+Q19+(($J$12+$K$12)/$N$62))/(1-L19-(I19*0.007/30)),"")</f>
      </c>
      <c r="S19" s="11" t="str">
        <f ca="1">IFERROR(VLOOKUP(B19,DATA!$B$12:$D$13,2,0),"")</f>
      </c>
      <c r="T19" s="56" t="str">
        <f ca="1">IFERROR(ROUND((R19/(1-S19)+($J$12+$K$12)/$N$62)/(1-L19),-3),"")</f>
      </c>
      <c r="U19" s="41" t="str">
        <f ca="1">IFERROR(ROUND(T19*N19,0),"")</f>
      </c>
    </row>
    <row r="20" spans="1:22" ht="11.65" customHeight="1">
      <c r="A20" s="9"/>
      <c r="B20" s="10"/>
      <c r="C20" s="9">
        <f ca="1">IFERROR(VLOOKUP(B20,DATA!$B$12:$D$13,3,0),0)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ca="1">IFERROR(IF(AND(OR(LEFT(B20,FIND(" ",B20,1)-1)="Đồng",LEFT(B20,FIND(" ",B20,1)-1)="Nhôm"),E20&gt;(F20/10)),5%,0),"")</f>
      </c>
      <c r="M20" s="41">
        <f ca="1">E20*F20*G20*H20</f>
        <v>0</v>
      </c>
      <c r="N20" s="118">
        <f ca="1">IFERROR((E20*F20*G20*H20/10^6),0)*C20</f>
        <v>0</v>
      </c>
      <c r="O20" s="11" t="str">
        <f ca="1">IFERROR(((E20+5)*(F20+5)*(G20+5))/(E20*F20*G20)-1,"")</f>
      </c>
      <c r="P20" s="12">
        <v>0.035</v>
      </c>
      <c r="Q20" s="41">
        <f ca="1">IFERROR(IF(H20&gt;50,E20*(H20*G20+(H20+2)*F20),IF(H20&gt;10,E20*(2*H20*G20+(H20+1)*F20),2*H20*E20*(F20+G20)))*13/N20,0)</f>
        <v>0</v>
      </c>
      <c r="R20" s="41" t="str">
        <f ca="1">IFERROR((D20*(1+O20+P20)+Q20+(($J$12+$K$12)/$N$62))/(1-L20-(I20*0.007/30)),"")</f>
      </c>
      <c r="S20" s="11" t="str">
        <f ca="1">IFERROR(VLOOKUP(B20,DATA!$B$12:$D$13,2,0),"")</f>
      </c>
      <c r="T20" s="56" t="str">
        <f ca="1">IFERROR(ROUND((R20/(1-S20)+($J$12+$K$12)/$N$62)/(1-L20),-3),"")</f>
      </c>
      <c r="U20" s="41" t="str">
        <f ca="1">IFERROR(ROUND(T20*N20,0),"")</f>
      </c>
    </row>
    <row r="21" spans="1:22" ht="11.65" customHeight="1">
      <c r="A21" s="9"/>
      <c r="B21" s="10"/>
      <c r="C21" s="9">
        <f ca="1">IFERROR(VLOOKUP(B21,DATA!$B$12:$D$13,3,0),0)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ca="1">IFERROR(IF(AND(OR(LEFT(B21,FIND(" ",B21,1)-1)="Đồng",LEFT(B21,FIND(" ",B21,1)-1)="Nhôm"),E21&gt;(F21/10)),5%,0),"")</f>
      </c>
      <c r="M21" s="41">
        <f ca="1">E21*F21*G21*H21</f>
        <v>0</v>
      </c>
      <c r="N21" s="118">
        <f ca="1">IFERROR((E21*F21*G21*H21/10^6),0)*C21</f>
        <v>0</v>
      </c>
      <c r="O21" s="11" t="str">
        <f ca="1">IFERROR(((E21+5)*(F21+5)*(G21+5))/(E21*F21*G21)-1,"")</f>
      </c>
      <c r="P21" s="12">
        <v>0.035</v>
      </c>
      <c r="Q21" s="41">
        <f ca="1">IFERROR(IF(H21&gt;50,E21*(H21*G21+(H21+2)*F21),IF(H21&gt;10,E21*(2*H21*G21+(H21+1)*F21),2*H21*E21*(F21+G21)))*13/N21,0)</f>
        <v>0</v>
      </c>
      <c r="R21" s="41" t="str">
        <f ca="1">IFERROR((D21*(1+O21+P21)+Q21+(($J$12+$K$12)/$N$62))/(1-L21-(I21*0.007/30)),"")</f>
      </c>
      <c r="S21" s="11" t="str">
        <f ca="1">IFERROR(VLOOKUP(B21,DATA!$B$12:$D$13,2,0),"")</f>
      </c>
      <c r="T21" s="56" t="str">
        <f ca="1">IFERROR(ROUND((R21/(1-S21)+($J$12+$K$12)/$N$62)/(1-L21),-3),"")</f>
      </c>
      <c r="U21" s="41" t="str">
        <f ca="1">IFERROR(ROUND(T21*N21,0),"")</f>
      </c>
    </row>
    <row r="22" spans="1:22" ht="11.65" customHeight="1">
      <c r="A22" s="9"/>
      <c r="B22" s="10"/>
      <c r="C22" s="9">
        <f ca="1">IFERROR(VLOOKUP(B22,DATA!$B$12:$D$13,3,0),0)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ca="1">IFERROR(IF(AND(OR(LEFT(B22,FIND(" ",B22,1)-1)="Đồng",LEFT(B22,FIND(" ",B22,1)-1)="Nhôm"),E22&gt;(F22/10)),5%,0),"")</f>
      </c>
      <c r="M22" s="41">
        <f ca="1">E22*F22*G22*H22</f>
        <v>0</v>
      </c>
      <c r="N22" s="118">
        <f ca="1">IFERROR((E22*F22*G22*H22/10^6),0)*C22</f>
        <v>0</v>
      </c>
      <c r="O22" s="11" t="str">
        <f ca="1">IFERROR(((E22+5)*(F22+5)*(G22+5))/(E22*F22*G22)-1,"")</f>
      </c>
      <c r="P22" s="12">
        <v>0.035</v>
      </c>
      <c r="Q22" s="41">
        <f ca="1">IFERROR(IF(H22&gt;50,E22*(H22*G22+(H22+2)*F22),IF(H22&gt;10,E22*(2*H22*G22+(H22+1)*F22),2*H22*E22*(F22+G22)))*13/N22,0)</f>
        <v>0</v>
      </c>
      <c r="R22" s="41" t="str">
        <f ca="1">IFERROR((D22*(1+O22+P22)+Q22+(($J$12+$K$12)/$N$62))/(1-L22-(I22*0.007/30)),"")</f>
      </c>
      <c r="S22" s="11" t="str">
        <f ca="1">IFERROR(VLOOKUP(B22,DATA!$B$12:$D$13,2,0),"")</f>
      </c>
      <c r="T22" s="56" t="str">
        <f ca="1">IFERROR(ROUND((R22/(1-S22)+($J$12+$K$12)/$N$62)/(1-L22),-3),"")</f>
      </c>
      <c r="U22" s="41" t="str">
        <f ca="1">IFERROR(ROUND(T22*N22,0),"")</f>
      </c>
    </row>
    <row r="23" spans="1:22" ht="11.65" customHeight="1">
      <c r="A23" s="9"/>
      <c r="B23" s="10"/>
      <c r="C23" s="9">
        <f ca="1">IFERROR(VLOOKUP(B23,DATA!$B$12:$D$13,3,0),0)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ca="1">IFERROR(IF(AND(OR(LEFT(B23,FIND(" ",B23,1)-1)="Đồng",LEFT(B23,FIND(" ",B23,1)-1)="Nhôm"),E23&gt;(F23/10)),5%,0),"")</f>
      </c>
      <c r="M23" s="41">
        <f ca="1">E23*F23*G23*H23</f>
        <v>0</v>
      </c>
      <c r="N23" s="118">
        <f ca="1">IFERROR((E23*F23*G23*H23/10^6),0)*C23</f>
        <v>0</v>
      </c>
      <c r="O23" s="11" t="str">
        <f ca="1">IFERROR(((E23+5)*(F23+5)*(G23+5))/(E23*F23*G23)-1,"")</f>
      </c>
      <c r="P23" s="12">
        <v>0.035</v>
      </c>
      <c r="Q23" s="41">
        <f ca="1">IFERROR(IF(H23&gt;50,E23*(H23*G23+(H23+2)*F23),IF(H23&gt;10,E23*(2*H23*G23+(H23+1)*F23),2*H23*E23*(F23+G23)))*13/N23,0)</f>
        <v>0</v>
      </c>
      <c r="R23" s="41" t="str">
        <f ca="1">IFERROR((D23*(1+O23+P23)+Q23+(($J$12+$K$12)/$N$62))/(1-L23-(I23*0.007/30)),"")</f>
      </c>
      <c r="S23" s="11" t="str">
        <f ca="1">IFERROR(VLOOKUP(B23,DATA!$B$12:$D$13,2,0),"")</f>
      </c>
      <c r="T23" s="56" t="str">
        <f ca="1">IFERROR(ROUND((R23/(1-S23)+($J$12+$K$12)/$N$62)/(1-L23),-3),"")</f>
      </c>
      <c r="U23" s="41" t="str">
        <f ca="1">IFERROR(ROUND(T23*N23,0),"")</f>
      </c>
    </row>
    <row r="24" spans="1:22" ht="11.65" customHeight="1">
      <c r="A24" s="9"/>
      <c r="B24" s="10"/>
      <c r="C24" s="9">
        <f ca="1">IFERROR(VLOOKUP(B24,DATA!$B$12:$D$13,3,0),0)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ca="1">IFERROR(IF(AND(OR(LEFT(B24,FIND(" ",B24,1)-1)="Đồng",LEFT(B24,FIND(" ",B24,1)-1)="Nhôm"),E24&gt;(F24/10)),5%,0),"")</f>
      </c>
      <c r="M24" s="41">
        <f ca="1">E24*F24*G24*H24</f>
        <v>0</v>
      </c>
      <c r="N24" s="118">
        <f ca="1">IFERROR((E24*F24*G24*H24/10^6),0)*C24</f>
        <v>0</v>
      </c>
      <c r="O24" s="11" t="str">
        <f ca="1">IFERROR(((E24+5)*(F24+5)*(G24+5))/(E24*F24*G24)-1,"")</f>
      </c>
      <c r="P24" s="12">
        <v>0.035</v>
      </c>
      <c r="Q24" s="41">
        <f ca="1">IFERROR(IF(H24&gt;50,E24*(H24*G24+(H24+2)*F24),IF(H24&gt;10,E24*(2*H24*G24+(H24+1)*F24),2*H24*E24*(F24+G24)))*13/N24,0)</f>
        <v>0</v>
      </c>
      <c r="R24" s="41" t="str">
        <f ca="1">IFERROR((D24*(1+O24+P24)+Q24+(($J$12+$K$12)/$N$62))/(1-L24-(I24*0.007/30)),"")</f>
      </c>
      <c r="S24" s="11" t="str">
        <f ca="1">IFERROR(VLOOKUP(B24,DATA!$B$12:$D$13,2,0),"")</f>
      </c>
      <c r="T24" s="56" t="str">
        <f ca="1">IFERROR(ROUND((R24/(1-S24)+($J$12+$K$12)/$N$62)/(1-L24),-3),"")</f>
      </c>
      <c r="U24" s="41" t="str">
        <f ca="1">IFERROR(ROUND(T24*N24,0),"")</f>
      </c>
    </row>
    <row r="25" spans="1:22" ht="11.65" customHeight="1">
      <c r="A25" s="9"/>
      <c r="B25" s="10"/>
      <c r="C25" s="9">
        <f ca="1">IFERROR(VLOOKUP(B25,DATA!$B$12:$D$13,3,0),0)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ca="1">IFERROR(IF(AND(OR(LEFT(B25,FIND(" ",B25,1)-1)="Đồng",LEFT(B25,FIND(" ",B25,1)-1)="Nhôm"),E25&gt;(F25/10)),5%,0),"")</f>
      </c>
      <c r="M25" s="41">
        <f ca="1">E25*F25*G25*H25</f>
        <v>0</v>
      </c>
      <c r="N25" s="118">
        <f ca="1">IFERROR((E25*F25*G25*H25/10^6),0)*C25</f>
        <v>0</v>
      </c>
      <c r="O25" s="11" t="str">
        <f ca="1">IFERROR(((E25+5)*(F25+5)*(G25+5))/(E25*F25*G25)-1,"")</f>
      </c>
      <c r="P25" s="12">
        <v>0.035</v>
      </c>
      <c r="Q25" s="41">
        <f ca="1">IFERROR(IF(H25&gt;50,E25*(H25*G25+(H25+2)*F25),IF(H25&gt;10,E25*(2*H25*G25+(H25+1)*F25),2*H25*E25*(F25+G25)))*13/N25,0)</f>
        <v>0</v>
      </c>
      <c r="R25" s="41" t="str">
        <f ca="1">IFERROR((D25*(1+O25+P25)+Q25+(($J$12+$K$12)/$N$62))/(1-L25-(I25*0.007/30)),"")</f>
      </c>
      <c r="S25" s="11" t="str">
        <f ca="1">IFERROR(VLOOKUP(B25,DATA!$B$12:$D$13,2,0),"")</f>
      </c>
      <c r="T25" s="56" t="str">
        <f ca="1">IFERROR(ROUND((R25/(1-S25)+($J$12+$K$12)/$N$62)/(1-L25),-3),"")</f>
      </c>
      <c r="U25" s="41" t="str">
        <f ca="1">IFERROR(ROUND(T25*N25,0),"")</f>
      </c>
    </row>
    <row r="26" spans="1:22" ht="11.65" customHeight="1">
      <c r="A26" s="9"/>
      <c r="B26" s="10"/>
      <c r="C26" s="9">
        <f ca="1">IFERROR(VLOOKUP(B26,DATA!$B$12:$D$13,3,0),0)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ca="1">IFERROR(IF(AND(OR(LEFT(B26,FIND(" ",B26,1)-1)="Đồng",LEFT(B26,FIND(" ",B26,1)-1)="Nhôm"),E26&gt;(F26/10)),5%,0),"")</f>
      </c>
      <c r="M26" s="41">
        <f ca="1">E26*F26*G26*H26</f>
        <v>0</v>
      </c>
      <c r="N26" s="118">
        <f ca="1">IFERROR((E26*F26*G26*H26/10^6),0)*C26</f>
        <v>0</v>
      </c>
      <c r="O26" s="11" t="str">
        <f ca="1">IFERROR(((E26+5)*(F26+5)*(G26+5))/(E26*F26*G26)-1,"")</f>
      </c>
      <c r="P26" s="12">
        <v>0.035</v>
      </c>
      <c r="Q26" s="41">
        <f ca="1">IFERROR(IF(H26&gt;50,E26*(H26*G26+(H26+2)*F26),IF(H26&gt;10,E26*(2*H26*G26+(H26+1)*F26),2*H26*E26*(F26+G26)))*13/N26,0)</f>
        <v>0</v>
      </c>
      <c r="R26" s="41" t="str">
        <f ca="1">IFERROR((D26*(1+O26+P26)+Q26+(($J$12+$K$12)/$N$62))/(1-L26-(I26*0.007/30)),"")</f>
      </c>
      <c r="S26" s="11" t="str">
        <f ca="1">IFERROR(VLOOKUP(B26,DATA!$B$12:$D$13,2,0),"")</f>
      </c>
      <c r="T26" s="56" t="str">
        <f ca="1">IFERROR(ROUND((R26/(1-S26)+($J$12+$K$12)/$N$62)/(1-L26),-3),"")</f>
      </c>
      <c r="U26" s="41" t="str">
        <f ca="1">IFERROR(ROUND(T26*N26,0),"")</f>
      </c>
    </row>
    <row r="27" spans="1:22" ht="11.65" customHeight="1">
      <c r="A27" s="9"/>
      <c r="B27" s="10"/>
      <c r="C27" s="9">
        <f ca="1">IFERROR(VLOOKUP(B27,DATA!$B$12:$D$13,3,0),0)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ca="1">IFERROR(IF(AND(OR(LEFT(B27,FIND(" ",B27,1)-1)="Đồng",LEFT(B27,FIND(" ",B27,1)-1)="Nhôm"),E27&gt;(F27/10)),5%,0),"")</f>
      </c>
      <c r="M27" s="41">
        <f ca="1">E27*F27*G27*H27</f>
        <v>0</v>
      </c>
      <c r="N27" s="118">
        <f ca="1">IFERROR((E27*F27*G27*H27/10^6),0)*C27</f>
        <v>0</v>
      </c>
      <c r="O27" s="11" t="str">
        <f ca="1">IFERROR(((E27+5)*(F27+5)*(G27+5))/(E27*F27*G27)-1,"")</f>
      </c>
      <c r="P27" s="12">
        <v>0.035</v>
      </c>
      <c r="Q27" s="41">
        <f ca="1">IFERROR(IF(H27&gt;50,E27*(H27*G27+(H27+2)*F27),IF(H27&gt;10,E27*(2*H27*G27+(H27+1)*F27),2*H27*E27*(F27+G27)))*13/N27,0)</f>
        <v>0</v>
      </c>
      <c r="R27" s="41" t="str">
        <f ca="1">IFERROR((D27*(1+O27+P27)+Q27+(($J$12+$K$12)/$N$62))/(1-L27-(I27*0.007/30)),"")</f>
      </c>
      <c r="S27" s="11" t="str">
        <f ca="1">IFERROR(VLOOKUP(B27,DATA!$B$12:$D$13,2,0),"")</f>
      </c>
      <c r="T27" s="56" t="str">
        <f ca="1">IFERROR(ROUND((R27/(1-S27)+($J$12+$K$12)/$N$62)/(1-L27),-3),"")</f>
      </c>
      <c r="U27" s="41" t="str">
        <f ca="1">IFERROR(ROUND(T27*N27,0),"")</f>
      </c>
    </row>
    <row r="28" spans="1:22" ht="11.65" customHeight="1">
      <c r="A28" s="9"/>
      <c r="B28" s="10"/>
      <c r="C28" s="9">
        <f ca="1">IFERROR(VLOOKUP(B28,DATA!$B$12:$D$13,3,0),0)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ca="1">IFERROR(IF(AND(OR(LEFT(B28,FIND(" ",B28,1)-1)="Đồng",LEFT(B28,FIND(" ",B28,1)-1)="Nhôm"),E28&gt;(F28/10)),5%,0),"")</f>
      </c>
      <c r="M28" s="41">
        <f ca="1">E28*F28*G28*H28</f>
        <v>0</v>
      </c>
      <c r="N28" s="118">
        <f ca="1">IFERROR((E28*F28*G28*H28/10^6),0)*C28</f>
        <v>0</v>
      </c>
      <c r="O28" s="11" t="str">
        <f ca="1">IFERROR(((E28+5)*(F28+5)*(G28+5))/(E28*F28*G28)-1,"")</f>
      </c>
      <c r="P28" s="12">
        <v>0.035</v>
      </c>
      <c r="Q28" s="41">
        <f ca="1">IFERROR(IF(H28&gt;50,E28*(H28*G28+(H28+2)*F28),IF(H28&gt;10,E28*(2*H28*G28+(H28+1)*F28),2*H28*E28*(F28+G28)))*13/N28,0)</f>
        <v>0</v>
      </c>
      <c r="R28" s="41" t="str">
        <f ca="1">IFERROR((D28*(1+O28+P28)+Q28+(($J$12+$K$12)/$N$62))/(1-L28-(I28*0.007/30)),"")</f>
      </c>
      <c r="S28" s="11" t="str">
        <f ca="1">IFERROR(VLOOKUP(B28,DATA!$B$12:$D$13,2,0),"")</f>
      </c>
      <c r="T28" s="56" t="str">
        <f ca="1">IFERROR(ROUND((R28/(1-S28)+($J$12+$K$12)/$N$62)/(1-L28),-3),"")</f>
      </c>
      <c r="U28" s="41" t="str">
        <f ca="1">IFERROR(ROUND(T28*N28,0),"")</f>
      </c>
    </row>
    <row r="29" spans="1:22" ht="11.65" customHeight="1">
      <c r="A29" s="9"/>
      <c r="B29" s="10"/>
      <c r="C29" s="9">
        <f ca="1">IFERROR(VLOOKUP(B29,DATA!$B$12:$D$13,3,0),0)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ca="1">IFERROR(IF(AND(OR(LEFT(B29,FIND(" ",B29,1)-1)="Đồng",LEFT(B29,FIND(" ",B29,1)-1)="Nhôm"),E29&gt;(F29/10)),5%,0),"")</f>
      </c>
      <c r="M29" s="41">
        <f ca="1">E29*F29*G29*H29</f>
        <v>0</v>
      </c>
      <c r="N29" s="118">
        <f ca="1">IFERROR((E29*F29*G29*H29/10^6),0)*C29</f>
        <v>0</v>
      </c>
      <c r="O29" s="11" t="str">
        <f ca="1">IFERROR(((E29+5)*(F29+5)*(G29+5))/(E29*F29*G29)-1,"")</f>
      </c>
      <c r="P29" s="12">
        <v>0.035</v>
      </c>
      <c r="Q29" s="41">
        <f ca="1">IFERROR(IF(H29&gt;50,E29*(H29*G29+(H29+2)*F29),IF(H29&gt;10,E29*(2*H29*G29+(H29+1)*F29),2*H29*E29*(F29+G29)))*13/N29,0)</f>
        <v>0</v>
      </c>
      <c r="R29" s="41" t="str">
        <f ca="1">IFERROR((D29*(1+O29+P29)+Q29+(($J$12+$K$12)/$N$62))/(1-L29-(I29*0.007/30)),"")</f>
      </c>
      <c r="S29" s="11" t="str">
        <f ca="1">IFERROR(VLOOKUP(B29,DATA!$B$12:$D$13,2,0),"")</f>
      </c>
      <c r="T29" s="56" t="str">
        <f ca="1">IFERROR(ROUND((R29/(1-S29)+($J$12+$K$12)/$N$62)/(1-L29),-3),"")</f>
      </c>
      <c r="U29" s="41" t="str">
        <f ca="1">IFERROR(ROUND(T29*N29,0),"")</f>
      </c>
    </row>
    <row r="30" spans="1:22" ht="11.65" customHeight="1">
      <c r="A30" s="9"/>
      <c r="B30" s="10"/>
      <c r="C30" s="9">
        <f ca="1">IFERROR(VLOOKUP(B30,DATA!$B$12:$D$13,3,0),0)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ca="1">IFERROR(IF(AND(OR(LEFT(B30,FIND(" ",B30,1)-1)="Đồng",LEFT(B30,FIND(" ",B30,1)-1)="Nhôm"),E30&gt;(F30/10)),5%,0),"")</f>
      </c>
      <c r="M30" s="41">
        <f ca="1">E30*F30*G30*H30</f>
        <v>0</v>
      </c>
      <c r="N30" s="118">
        <f ca="1">IFERROR((E30*F30*G30*H30/10^6),0)*C30</f>
        <v>0</v>
      </c>
      <c r="O30" s="11" t="str">
        <f ca="1">IFERROR(((E30+5)*(F30+5)*(G30+5))/(E30*F30*G30)-1,"")</f>
      </c>
      <c r="P30" s="12">
        <v>0.035</v>
      </c>
      <c r="Q30" s="41">
        <f ca="1">IFERROR(IF(H30&gt;50,E30*(H30*G30+(H30+2)*F30),IF(H30&gt;10,E30*(2*H30*G30+(H30+1)*F30),2*H30*E30*(F30+G30)))*13/N30,0)</f>
        <v>0</v>
      </c>
      <c r="R30" s="41" t="str">
        <f ca="1">IFERROR((D30*(1+O30+P30)+Q30+(($J$12+$K$12)/$N$62))/(1-L30-(I30*0.007/30)),"")</f>
      </c>
      <c r="S30" s="11" t="str">
        <f ca="1">IFERROR(VLOOKUP(B30,DATA!$B$12:$D$13,2,0),"")</f>
      </c>
      <c r="T30" s="56" t="str">
        <f ca="1">IFERROR(ROUND((R30/(1-S30)+($J$12+$K$12)/$N$62)/(1-L30),-3),"")</f>
      </c>
      <c r="U30" s="41" t="str">
        <f ca="1">IFERROR(ROUND(T30*N30,0),"")</f>
      </c>
    </row>
    <row r="31" spans="1:22" ht="11.65" customHeight="1">
      <c r="A31" s="9"/>
      <c r="B31" s="10"/>
      <c r="C31" s="9">
        <f ca="1">IFERROR(VLOOKUP(B31,DATA!$B$12:$D$13,3,0),0)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ca="1">IFERROR(IF(AND(OR(LEFT(B31,FIND(" ",B31,1)-1)="Đồng",LEFT(B31,FIND(" ",B31,1)-1)="Nhôm"),E31&gt;(F31/10)),5%,0),"")</f>
      </c>
      <c r="M31" s="41">
        <f ca="1">E31*F31*G31*H31</f>
        <v>0</v>
      </c>
      <c r="N31" s="118">
        <f ca="1">IFERROR((E31*F31*G31*H31/10^6),0)*C31</f>
        <v>0</v>
      </c>
      <c r="O31" s="11" t="str">
        <f ca="1">IFERROR(((E31+5)*(F31+5)*(G31+5))/(E31*F31*G31)-1,"")</f>
      </c>
      <c r="P31" s="12">
        <v>0.035</v>
      </c>
      <c r="Q31" s="41">
        <f ca="1">IFERROR(IF(H31&gt;50,E31*(H31*G31+(H31+2)*F31),IF(H31&gt;10,E31*(2*H31*G31+(H31+1)*F31),2*H31*E31*(F31+G31)))*13/N31,0)</f>
        <v>0</v>
      </c>
      <c r="R31" s="41" t="str">
        <f ca="1">IFERROR((D31*(1+O31+P31)+Q31+(($J$12+$K$12)/$N$62))/(1-L31-(I31*0.007/30)),"")</f>
      </c>
      <c r="S31" s="11" t="str">
        <f ca="1">IFERROR(VLOOKUP(B31,DATA!$B$12:$D$13,2,0),"")</f>
      </c>
      <c r="T31" s="56" t="str">
        <f ca="1">IFERROR(ROUND((R31/(1-S31)+($J$12+$K$12)/$N$62)/(1-L31),-3),"")</f>
      </c>
      <c r="U31" s="41" t="str">
        <f ca="1">IFERROR(ROUND(T31*N31,0),"")</f>
      </c>
    </row>
    <row r="32" spans="1:22" ht="11.65" customHeight="1">
      <c r="A32" s="9"/>
      <c r="B32" s="10"/>
      <c r="C32" s="9">
        <f ca="1">IFERROR(VLOOKUP(B32,DATA!$B$12:$D$13,3,0),0)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ca="1">IFERROR(IF(AND(OR(LEFT(B32,FIND(" ",B32,1)-1)="Đồng",LEFT(B32,FIND(" ",B32,1)-1)="Nhôm"),E32&gt;(F32/10)),5%,0),"")</f>
      </c>
      <c r="M32" s="41">
        <f ca="1">E32*F32*G32*H32</f>
        <v>0</v>
      </c>
      <c r="N32" s="118">
        <f ca="1">IFERROR((E32*F32*G32*H32/10^6),0)*C32</f>
        <v>0</v>
      </c>
      <c r="O32" s="11" t="str">
        <f ca="1">IFERROR(((E32+5)*(F32+5)*(G32+5))/(E32*F32*G32)-1,"")</f>
      </c>
      <c r="P32" s="12">
        <v>0.035</v>
      </c>
      <c r="Q32" s="41">
        <f ca="1">IFERROR(IF(H32&gt;50,E32*(H32*G32+(H32+2)*F32),IF(H32&gt;10,E32*(2*H32*G32+(H32+1)*F32),2*H32*E32*(F32+G32)))*13/N32,0)</f>
        <v>0</v>
      </c>
      <c r="R32" s="41" t="str">
        <f ca="1">IFERROR((D32*(1+O32+P32)+Q32+(($J$12+$K$12)/$N$62))/(1-L32-(I32*0.007/30)),"")</f>
      </c>
      <c r="S32" s="11" t="str">
        <f ca="1">IFERROR(VLOOKUP(B32,DATA!$B$12:$D$13,2,0),"")</f>
      </c>
      <c r="T32" s="56" t="str">
        <f ca="1">IFERROR(ROUND((R32/(1-S32)+($J$12+$K$12)/$N$62)/(1-L32),-3),"")</f>
      </c>
      <c r="U32" s="41" t="str">
        <f ca="1">IFERROR(ROUND(T32*N32,0),"")</f>
      </c>
    </row>
    <row r="33" spans="1:22" ht="11.65" customHeight="1">
      <c r="A33" s="9"/>
      <c r="B33" s="10"/>
      <c r="C33" s="9">
        <f ca="1">IFERROR(VLOOKUP(B33,DATA!$B$12:$D$13,3,0),0)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ca="1">IFERROR(IF(AND(OR(LEFT(B33,FIND(" ",B33,1)-1)="Đồng",LEFT(B33,FIND(" ",B33,1)-1)="Nhôm"),E33&gt;(F33/10)),5%,0),"")</f>
      </c>
      <c r="M33" s="41">
        <f ca="1">E33*F33*G33*H33</f>
        <v>0</v>
      </c>
      <c r="N33" s="118">
        <f ca="1">IFERROR((E33*F33*G33*H33/10^6),0)*C33</f>
        <v>0</v>
      </c>
      <c r="O33" s="11" t="str">
        <f ca="1">IFERROR(((E33+5)*(F33+5)*(G33+5))/(E33*F33*G33)-1,"")</f>
      </c>
      <c r="P33" s="12">
        <v>0.035</v>
      </c>
      <c r="Q33" s="41">
        <f ca="1">IFERROR(IF(H33&gt;50,E33*(H33*G33+(H33+2)*F33),IF(H33&gt;10,E33*(2*H33*G33+(H33+1)*F33),2*H33*E33*(F33+G33)))*13/N33,0)</f>
        <v>0</v>
      </c>
      <c r="R33" s="41" t="str">
        <f ca="1">IFERROR((D33*(1+O33+P33)+Q33+(($J$12+$K$12)/$N$62))/(1-L33-(I33*0.007/30)),"")</f>
      </c>
      <c r="S33" s="11" t="str">
        <f ca="1">IFERROR(VLOOKUP(B33,DATA!$B$12:$D$13,2,0),"")</f>
      </c>
      <c r="T33" s="56" t="str">
        <f ca="1">IFERROR(ROUND((R33/(1-S33)+($J$12+$K$12)/$N$62)/(1-L33),-3),"")</f>
      </c>
      <c r="U33" s="41" t="str">
        <f ca="1">IFERROR(ROUND(T33*N33,0),"")</f>
      </c>
    </row>
    <row r="34" spans="1:22" ht="11.65" customHeight="1">
      <c r="A34" s="9"/>
      <c r="B34" s="10"/>
      <c r="C34" s="9">
        <f ca="1">IFERROR(VLOOKUP(B34,DATA!$B$12:$D$13,3,0),0)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ca="1">IFERROR(IF(AND(OR(LEFT(B34,FIND(" ",B34,1)-1)="Đồng",LEFT(B34,FIND(" ",B34,1)-1)="Nhôm"),E34&gt;(F34/10)),5%,0),"")</f>
      </c>
      <c r="M34" s="41">
        <f ca="1">E34*F34*G34*H34</f>
        <v>0</v>
      </c>
      <c r="N34" s="118">
        <f ca="1">IFERROR((E34*F34*G34*H34/10^6),0)*C34</f>
        <v>0</v>
      </c>
      <c r="O34" s="11" t="str">
        <f ca="1">IFERROR(((E34+5)*(F34+5)*(G34+5))/(E34*F34*G34)-1,"")</f>
      </c>
      <c r="P34" s="12">
        <v>0.035</v>
      </c>
      <c r="Q34" s="41">
        <f ca="1">IFERROR(IF(H34&gt;50,E34*(H34*G34+(H34+2)*F34),IF(H34&gt;10,E34*(2*H34*G34+(H34+1)*F34),2*H34*E34*(F34+G34)))*13/N34,0)</f>
        <v>0</v>
      </c>
      <c r="R34" s="41" t="str">
        <f ca="1">IFERROR((D34*(1+O34+P34)+Q34+(($J$12+$K$12)/$N$62))/(1-L34-(I34*0.007/30)),"")</f>
      </c>
      <c r="S34" s="11" t="str">
        <f ca="1">IFERROR(VLOOKUP(B34,DATA!$B$12:$D$13,2,0),"")</f>
      </c>
      <c r="T34" s="56" t="str">
        <f ca="1">IFERROR(ROUND((R34/(1-S34)+($J$12+$K$12)/$N$62)/(1-L34),-3),"")</f>
      </c>
      <c r="U34" s="41" t="str">
        <f ca="1">IFERROR(ROUND(T34*N34,0),"")</f>
      </c>
    </row>
    <row r="35" spans="1:22" ht="11.65" customHeight="1">
      <c r="A35" s="9"/>
      <c r="B35" s="10"/>
      <c r="C35" s="9">
        <f ca="1">IFERROR(VLOOKUP(B35,DATA!$B$12:$D$13,3,0),0)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ca="1">IFERROR(IF(AND(OR(LEFT(B35,FIND(" ",B35,1)-1)="Đồng",LEFT(B35,FIND(" ",B35,1)-1)="Nhôm"),E35&gt;(F35/10)),5%,0),"")</f>
      </c>
      <c r="M35" s="41">
        <f ca="1">E35*F35*G35*H35</f>
        <v>0</v>
      </c>
      <c r="N35" s="118">
        <f ca="1">IFERROR((E35*F35*G35*H35/10^6),0)*C35</f>
        <v>0</v>
      </c>
      <c r="O35" s="11" t="str">
        <f ca="1">IFERROR(((E35+5)*(F35+5)*(G35+5))/(E35*F35*G35)-1,"")</f>
      </c>
      <c r="P35" s="12">
        <v>0.035</v>
      </c>
      <c r="Q35" s="41">
        <f ca="1">IFERROR(IF(H35&gt;50,E35*(H35*G35+(H35+2)*F35),IF(H35&gt;10,E35*(2*H35*G35+(H35+1)*F35),2*H35*E35*(F35+G35)))*13/N35,0)</f>
        <v>0</v>
      </c>
      <c r="R35" s="41" t="str">
        <f ca="1">IFERROR((D35*(1+O35+P35)+Q35+(($J$12+$K$12)/$N$62))/(1-L35-(I35*0.007/30)),"")</f>
      </c>
      <c r="S35" s="11" t="str">
        <f ca="1">IFERROR(VLOOKUP(B35,DATA!$B$12:$D$13,2,0),"")</f>
      </c>
      <c r="T35" s="56" t="str">
        <f ca="1">IFERROR(ROUND((R35/(1-S35)+($J$12+$K$12)/$N$62)/(1-L35),-3),"")</f>
      </c>
      <c r="U35" s="41" t="str">
        <f ca="1">IFERROR(ROUND(T35*N35,0),"")</f>
      </c>
    </row>
    <row r="36" spans="1:22" ht="11.65" customHeight="1">
      <c r="A36" s="9"/>
      <c r="B36" s="10"/>
      <c r="C36" s="9">
        <f ca="1">IFERROR(VLOOKUP(B36,DATA!$B$12:$D$13,3,0),0)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ca="1">IFERROR(IF(AND(OR(LEFT(B36,FIND(" ",B36,1)-1)="Đồng",LEFT(B36,FIND(" ",B36,1)-1)="Nhôm"),E36&gt;(F36/10)),5%,0),"")</f>
      </c>
      <c r="M36" s="41">
        <f ca="1">E36*F36*G36*H36</f>
        <v>0</v>
      </c>
      <c r="N36" s="118">
        <f ca="1">IFERROR((E36*F36*G36*H36/10^6),0)*C36</f>
        <v>0</v>
      </c>
      <c r="O36" s="11" t="str">
        <f ca="1">IFERROR(((E36+5)*(F36+5)*(G36+5))/(E36*F36*G36)-1,"")</f>
      </c>
      <c r="P36" s="12">
        <v>0.035</v>
      </c>
      <c r="Q36" s="41">
        <f ca="1">IFERROR(IF(H36&gt;50,E36*(H36*G36+(H36+2)*F36),IF(H36&gt;10,E36*(2*H36*G36+(H36+1)*F36),2*H36*E36*(F36+G36)))*13/N36,0)</f>
        <v>0</v>
      </c>
      <c r="R36" s="41" t="str">
        <f ca="1">IFERROR((D36*(1+O36+P36)+Q36+(($J$12+$K$12)/$N$62))/(1-L36-(I36*0.007/30)),"")</f>
      </c>
      <c r="S36" s="11" t="str">
        <f ca="1">IFERROR(VLOOKUP(B36,DATA!$B$12:$D$13,2,0),"")</f>
      </c>
      <c r="T36" s="56" t="str">
        <f ca="1">IFERROR(ROUND((R36/(1-S36)+($J$12+$K$12)/$N$62)/(1-L36),-3),"")</f>
      </c>
      <c r="U36" s="41" t="str">
        <f ca="1">IFERROR(ROUND(T36*N36,0),"")</f>
      </c>
    </row>
    <row r="37" spans="1:22" ht="11.65" customHeight="1">
      <c r="A37" s="9"/>
      <c r="B37" s="10"/>
      <c r="C37" s="9">
        <f ca="1">IFERROR(VLOOKUP(B37,DATA!$B$12:$D$13,3,0),0)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ca="1">IFERROR(IF(AND(OR(LEFT(B37,FIND(" ",B37,1)-1)="Đồng",LEFT(B37,FIND(" ",B37,1)-1)="Nhôm"),E37&gt;(F37/10)),5%,0),"")</f>
      </c>
      <c r="M37" s="41">
        <f ca="1">E37*F37*G37*H37</f>
        <v>0</v>
      </c>
      <c r="N37" s="118">
        <f ca="1">IFERROR((E37*F37*G37*H37/10^6),0)*C37</f>
        <v>0</v>
      </c>
      <c r="O37" s="11" t="str">
        <f ca="1">IFERROR(((E37+5)*(F37+5)*(G37+5))/(E37*F37*G37)-1,"")</f>
      </c>
      <c r="P37" s="12">
        <v>0.035</v>
      </c>
      <c r="Q37" s="41">
        <f ca="1">IFERROR(IF(H37&gt;50,E37*(H37*G37+(H37+2)*F37),IF(H37&gt;10,E37*(2*H37*G37+(H37+1)*F37),2*H37*E37*(F37+G37)))*13/N37,0)</f>
        <v>0</v>
      </c>
      <c r="R37" s="41" t="str">
        <f ca="1">IFERROR((D37*(1+O37+P37)+Q37+(($J$12+$K$12)/$N$62))/(1-L37-(I37*0.007/30)),"")</f>
      </c>
      <c r="S37" s="11" t="str">
        <f ca="1">IFERROR(VLOOKUP(B37,DATA!$B$12:$D$13,2,0),"")</f>
      </c>
      <c r="T37" s="56" t="str">
        <f ca="1">IFERROR(ROUND((R37/(1-S37)+($J$12+$K$12)/$N$62)/(1-L37),-3),"")</f>
      </c>
      <c r="U37" s="41" t="str">
        <f ca="1">IFERROR(ROUND(T37*N37,0),"")</f>
      </c>
    </row>
    <row r="38" spans="1:22" ht="11.65" customHeight="1">
      <c r="A38" s="9"/>
      <c r="B38" s="10"/>
      <c r="C38" s="9">
        <f ca="1">IFERROR(VLOOKUP(B38,DATA!$B$12:$D$13,3,0),0)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ca="1">IFERROR(IF(AND(OR(LEFT(B38,FIND(" ",B38,1)-1)="Đồng",LEFT(B38,FIND(" ",B38,1)-1)="Nhôm"),E38&gt;(F38/10)),5%,0),"")</f>
      </c>
      <c r="M38" s="41">
        <f ca="1">E38*F38*G38*H38</f>
        <v>0</v>
      </c>
      <c r="N38" s="118">
        <f ca="1">IFERROR((E38*F38*G38*H38/10^6),0)*C38</f>
        <v>0</v>
      </c>
      <c r="O38" s="11" t="str">
        <f ca="1">IFERROR(((E38+5)*(F38+5)*(G38+5))/(E38*F38*G38)-1,"")</f>
      </c>
      <c r="P38" s="12">
        <v>0.035</v>
      </c>
      <c r="Q38" s="41">
        <f ca="1">IFERROR(IF(H38&gt;50,E38*(H38*G38+(H38+2)*F38),IF(H38&gt;10,E38*(2*H38*G38+(H38+1)*F38),2*H38*E38*(F38+G38)))*13/N38,0)</f>
        <v>0</v>
      </c>
      <c r="R38" s="41" t="str">
        <f ca="1">IFERROR((D38*(1+O38+P38)+Q38+(($J$12+$K$12)/$N$62))/(1-L38-(I38*0.007/30)),"")</f>
      </c>
      <c r="S38" s="11" t="str">
        <f ca="1">IFERROR(VLOOKUP(B38,DATA!$B$12:$D$13,2,0),"")</f>
      </c>
      <c r="T38" s="56" t="str">
        <f ca="1">IFERROR(ROUND((R38/(1-S38)+($J$12+$K$12)/$N$62)/(1-L38),-3),"")</f>
      </c>
      <c r="U38" s="41" t="str">
        <f ca="1">IFERROR(ROUND(T38*N38,0),"")</f>
      </c>
    </row>
    <row r="39" spans="1:22" ht="11.65" customHeight="1">
      <c r="A39" s="9"/>
      <c r="B39" s="10"/>
      <c r="C39" s="9">
        <f ca="1">IFERROR(VLOOKUP(B39,DATA!$B$12:$D$13,3,0),0)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ca="1">IFERROR(IF(AND(OR(LEFT(B39,FIND(" ",B39,1)-1)="Đồng",LEFT(B39,FIND(" ",B39,1)-1)="Nhôm"),E39&gt;(F39/10)),5%,0),"")</f>
      </c>
      <c r="M39" s="41">
        <f ca="1">E39*F39*G39*H39</f>
        <v>0</v>
      </c>
      <c r="N39" s="118">
        <f ca="1">IFERROR((E39*F39*G39*H39/10^6),0)*C39</f>
        <v>0</v>
      </c>
      <c r="O39" s="11" t="str">
        <f ca="1">IFERROR(((E39+5)*(F39+5)*(G39+5))/(E39*F39*G39)-1,"")</f>
      </c>
      <c r="P39" s="12">
        <v>0.035</v>
      </c>
      <c r="Q39" s="41">
        <f ca="1">IFERROR(IF(H39&gt;50,E39*(H39*G39+(H39+2)*F39),IF(H39&gt;10,E39*(2*H39*G39+(H39+1)*F39),2*H39*E39*(F39+G39)))*13/N39,0)</f>
        <v>0</v>
      </c>
      <c r="R39" s="41" t="str">
        <f ca="1">IFERROR((D39*(1+O39+P39)+Q39+(($J$12+$K$12)/$N$62))/(1-L39-(I39*0.007/30)),"")</f>
      </c>
      <c r="S39" s="11" t="str">
        <f ca="1">IFERROR(VLOOKUP(B39,DATA!$B$12:$D$13,2,0),"")</f>
      </c>
      <c r="T39" s="56" t="str">
        <f ca="1">IFERROR(ROUND((R39/(1-S39)+($J$12+$K$12)/$N$62)/(1-L39),-3),"")</f>
      </c>
      <c r="U39" s="41" t="str">
        <f ca="1">IFERROR(ROUND(T39*N39,0),"")</f>
      </c>
    </row>
    <row r="40" spans="1:22" ht="11.65" customHeight="1">
      <c r="A40" s="9"/>
      <c r="B40" s="10"/>
      <c r="C40" s="9">
        <f ca="1">IFERROR(VLOOKUP(B40,DATA!$B$12:$D$13,3,0),0)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ca="1">IFERROR(IF(AND(OR(LEFT(B40,FIND(" ",B40,1)-1)="Đồng",LEFT(B40,FIND(" ",B40,1)-1)="Nhôm"),E40&gt;(F40/10)),5%,0),"")</f>
      </c>
      <c r="M40" s="41">
        <f ca="1">E40*F40*G40*H40</f>
        <v>0</v>
      </c>
      <c r="N40" s="118">
        <f ca="1">IFERROR((E40*F40*G40*H40/10^6),0)*C40</f>
        <v>0</v>
      </c>
      <c r="O40" s="11" t="str">
        <f ca="1">IFERROR(((E40+5)*(F40+5)*(G40+5))/(E40*F40*G40)-1,"")</f>
      </c>
      <c r="P40" s="12">
        <v>0.035</v>
      </c>
      <c r="Q40" s="41">
        <f ca="1">IFERROR(IF(H40&gt;50,E40*(H40*G40+(H40+2)*F40),IF(H40&gt;10,E40*(2*H40*G40+(H40+1)*F40),2*H40*E40*(F40+G40)))*13/N40,0)</f>
        <v>0</v>
      </c>
      <c r="R40" s="41" t="str">
        <f ca="1">IFERROR((D40*(1+O40+P40)+Q40+(($J$12+$K$12)/$N$62))/(1-L40-(I40*0.007/30)),"")</f>
      </c>
      <c r="S40" s="11" t="str">
        <f ca="1">IFERROR(VLOOKUP(B40,DATA!$B$12:$D$13,2,0),"")</f>
      </c>
      <c r="T40" s="56" t="str">
        <f ca="1">IFERROR(ROUND((R40/(1-S40)+($J$12+$K$12)/$N$62)/(1-L40),-3),"")</f>
      </c>
      <c r="U40" s="41" t="str">
        <f ca="1">IFERROR(ROUND(T40*N40,0),"")</f>
      </c>
    </row>
    <row r="41" spans="1:22" ht="11.65" customHeight="1">
      <c r="A41" s="9"/>
      <c r="B41" s="10"/>
      <c r="C41" s="9">
        <f ca="1">IFERROR(VLOOKUP(B41,DATA!$B$12:$D$13,3,0),0)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ca="1">IFERROR(IF(AND(OR(LEFT(B41,FIND(" ",B41,1)-1)="Đồng",LEFT(B41,FIND(" ",B41,1)-1)="Nhôm"),E41&gt;(F41/10)),5%,0),"")</f>
      </c>
      <c r="M41" s="41">
        <f ca="1">E41*F41*G41*H41</f>
        <v>0</v>
      </c>
      <c r="N41" s="118">
        <f ca="1">IFERROR((E41*F41*G41*H41/10^6),0)*C41</f>
        <v>0</v>
      </c>
      <c r="O41" s="11" t="str">
        <f ca="1">IFERROR(((E41+5)*(F41+5)*(G41+5))/(E41*F41*G41)-1,"")</f>
      </c>
      <c r="P41" s="12">
        <v>0.035</v>
      </c>
      <c r="Q41" s="41">
        <f ca="1">IFERROR(IF(H41&gt;50,E41*(H41*G41+(H41+2)*F41),IF(H41&gt;10,E41*(2*H41*G41+(H41+1)*F41),2*H41*E41*(F41+G41)))*13/N41,0)</f>
        <v>0</v>
      </c>
      <c r="R41" s="41" t="str">
        <f ca="1">IFERROR((D41*(1+O41+P41)+Q41+(($J$12+$K$12)/$N$62))/(1-L41-(I41*0.007/30)),"")</f>
      </c>
      <c r="S41" s="11" t="str">
        <f ca="1">IFERROR(VLOOKUP(B41,DATA!$B$12:$D$13,2,0),"")</f>
      </c>
      <c r="T41" s="56" t="str">
        <f ca="1">IFERROR(ROUND((R41/(1-S41)+($J$12+$K$12)/$N$62)/(1-L41),-3),"")</f>
      </c>
      <c r="U41" s="41" t="str">
        <f ca="1">IFERROR(ROUND(T41*N41,0),"")</f>
      </c>
    </row>
    <row r="42" spans="1:22" ht="11.65" customHeight="1">
      <c r="A42" s="9"/>
      <c r="B42" s="10"/>
      <c r="C42" s="9">
        <f ca="1">IFERROR(VLOOKUP(B42,DATA!$B$12:$D$13,3,0),0)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ca="1">IFERROR(IF(AND(OR(LEFT(B42,FIND(" ",B42,1)-1)="Đồng",LEFT(B42,FIND(" ",B42,1)-1)="Nhôm"),E42&gt;(F42/10)),5%,0),"")</f>
      </c>
      <c r="M42" s="41">
        <f ca="1">E42*F42*G42*H42</f>
        <v>0</v>
      </c>
      <c r="N42" s="118">
        <f ca="1">IFERROR((E42*F42*G42*H42/10^6),0)*C42</f>
        <v>0</v>
      </c>
      <c r="O42" s="11" t="str">
        <f ca="1">IFERROR(((E42+5)*(F42+5)*(G42+5))/(E42*F42*G42)-1,"")</f>
      </c>
      <c r="P42" s="12">
        <v>0.035</v>
      </c>
      <c r="Q42" s="41">
        <f ca="1">IFERROR(IF(H42&gt;50,E42*(H42*G42+(H42+2)*F42),IF(H42&gt;10,E42*(2*H42*G42+(H42+1)*F42),2*H42*E42*(F42+G42)))*13/N42,0)</f>
        <v>0</v>
      </c>
      <c r="R42" s="41" t="str">
        <f ca="1">IFERROR((D42*(1+O42+P42)+Q42+(($J$12+$K$12)/$N$62))/(1-L42-(I42*0.007/30)),"")</f>
      </c>
      <c r="S42" s="11" t="str">
        <f ca="1">IFERROR(VLOOKUP(B42,DATA!$B$12:$D$13,2,0),"")</f>
      </c>
      <c r="T42" s="56" t="str">
        <f ca="1">IFERROR(ROUND((R42/(1-S42)+($J$12+$K$12)/$N$62)/(1-L42),-3),"")</f>
      </c>
      <c r="U42" s="41" t="str">
        <f ca="1">IFERROR(ROUND(T42*N42,0),"")</f>
      </c>
    </row>
    <row r="43" spans="1:22" ht="11.65" customHeight="1">
      <c r="A43" s="9"/>
      <c r="B43" s="10"/>
      <c r="C43" s="9">
        <f ca="1">IFERROR(VLOOKUP(B43,DATA!$B$12:$D$13,3,0),0)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ca="1">IFERROR(IF(AND(OR(LEFT(B43,FIND(" ",B43,1)-1)="Đồng",LEFT(B43,FIND(" ",B43,1)-1)="Nhôm"),E43&gt;(F43/10)),5%,0),"")</f>
      </c>
      <c r="M43" s="41">
        <f ca="1">E43*F43*G43*H43</f>
        <v>0</v>
      </c>
      <c r="N43" s="118">
        <f ca="1">IFERROR((E43*F43*G43*H43/10^6),0)*C43</f>
        <v>0</v>
      </c>
      <c r="O43" s="11" t="str">
        <f ca="1">IFERROR(((E43+5)*(F43+5)*(G43+5))/(E43*F43*G43)-1,"")</f>
      </c>
      <c r="P43" s="12">
        <v>0.035</v>
      </c>
      <c r="Q43" s="41">
        <f ca="1">IFERROR(IF(H43&gt;50,E43*(H43*G43+(H43+2)*F43),IF(H43&gt;10,E43*(2*H43*G43+(H43+1)*F43),2*H43*E43*(F43+G43)))*13/N43,0)</f>
        <v>0</v>
      </c>
      <c r="R43" s="41" t="str">
        <f ca="1">IFERROR((D43*(1+O43+P43)+Q43+(($J$12+$K$12)/$N$62))/(1-L43-(I43*0.007/30)),"")</f>
      </c>
      <c r="S43" s="11" t="str">
        <f ca="1">IFERROR(VLOOKUP(B43,DATA!$B$12:$D$13,2,0),"")</f>
      </c>
      <c r="T43" s="56" t="str">
        <f ca="1">IFERROR(ROUND((R43/(1-S43)+($J$12+$K$12)/$N$62)/(1-L43),-3),"")</f>
      </c>
      <c r="U43" s="41" t="str">
        <f ca="1">IFERROR(ROUND(T43*N43,0),"")</f>
      </c>
    </row>
    <row r="44" spans="1:22" ht="11.65" customHeight="1">
      <c r="A44" s="9"/>
      <c r="B44" s="10"/>
      <c r="C44" s="9">
        <f ca="1">IFERROR(VLOOKUP(B44,DATA!$B$12:$D$13,3,0),0)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ca="1">IFERROR(IF(AND(OR(LEFT(B44,FIND(" ",B44,1)-1)="Đồng",LEFT(B44,FIND(" ",B44,1)-1)="Nhôm"),E44&gt;(F44/10)),5%,0),"")</f>
      </c>
      <c r="M44" s="41">
        <f ca="1">E44*F44*G44*H44</f>
        <v>0</v>
      </c>
      <c r="N44" s="118">
        <f ca="1">IFERROR((E44*F44*G44*H44/10^6),0)*C44</f>
        <v>0</v>
      </c>
      <c r="O44" s="11" t="str">
        <f ca="1">IFERROR(((E44+5)*(F44+5)*(G44+5))/(E44*F44*G44)-1,"")</f>
      </c>
      <c r="P44" s="12">
        <v>0.035</v>
      </c>
      <c r="Q44" s="41">
        <f ca="1">IFERROR(IF(H44&gt;50,E44*(H44*G44+(H44+2)*F44),IF(H44&gt;10,E44*(2*H44*G44+(H44+1)*F44),2*H44*E44*(F44+G44)))*13/N44,0)</f>
        <v>0</v>
      </c>
      <c r="R44" s="41" t="str">
        <f ca="1">IFERROR((D44*(1+O44+P44)+Q44+(($J$12+$K$12)/$N$62))/(1-L44-(I44*0.007/30)),"")</f>
      </c>
      <c r="S44" s="11" t="str">
        <f ca="1">IFERROR(VLOOKUP(B44,DATA!$B$12:$D$13,2,0),"")</f>
      </c>
      <c r="T44" s="56" t="str">
        <f ca="1">IFERROR(ROUND((R44/(1-S44)+($J$12+$K$12)/$N$62)/(1-L44),-3),"")</f>
      </c>
      <c r="U44" s="41" t="str">
        <f ca="1">IFERROR(ROUND(T44*N44,0),"")</f>
      </c>
    </row>
    <row r="45" spans="1:22" ht="11.65" customHeight="1">
      <c r="A45" s="9"/>
      <c r="B45" s="10"/>
      <c r="C45" s="9">
        <f ca="1">IFERROR(VLOOKUP(B45,DATA!$B$12:$D$13,3,0),0)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ca="1">IFERROR(IF(AND(OR(LEFT(B45,FIND(" ",B45,1)-1)="Đồng",LEFT(B45,FIND(" ",B45,1)-1)="Nhôm"),E45&gt;(F45/10)),5%,0),"")</f>
      </c>
      <c r="M45" s="41">
        <f ca="1">E45*F45*G45*H45</f>
        <v>0</v>
      </c>
      <c r="N45" s="118">
        <f ca="1">IFERROR((E45*F45*G45*H45/10^6),0)*C45</f>
        <v>0</v>
      </c>
      <c r="O45" s="11" t="str">
        <f ca="1">IFERROR(((E45+5)*(F45+5)*(G45+5))/(E45*F45*G45)-1,"")</f>
      </c>
      <c r="P45" s="12">
        <v>0.035</v>
      </c>
      <c r="Q45" s="41">
        <f ca="1">IFERROR(IF(H45&gt;50,E45*(H45*G45+(H45+2)*F45),IF(H45&gt;10,E45*(2*H45*G45+(H45+1)*F45),2*H45*E45*(F45+G45)))*13/N45,0)</f>
        <v>0</v>
      </c>
      <c r="R45" s="41" t="str">
        <f ca="1">IFERROR((D45*(1+O45+P45)+Q45+(($J$12+$K$12)/$N$62))/(1-L45-(I45*0.007/30)),"")</f>
      </c>
      <c r="S45" s="11" t="str">
        <f ca="1">IFERROR(VLOOKUP(B45,DATA!$B$12:$D$13,2,0),"")</f>
      </c>
      <c r="T45" s="56" t="str">
        <f ca="1">IFERROR(ROUND((R45/(1-S45)+($J$12+$K$12)/$N$62)/(1-L45),-3),"")</f>
      </c>
      <c r="U45" s="41" t="str">
        <f ca="1">IFERROR(ROUND(T45*N45,0),"")</f>
      </c>
    </row>
    <row r="46" spans="1:22" ht="11.65" customHeight="1">
      <c r="A46" s="9"/>
      <c r="B46" s="10"/>
      <c r="C46" s="9">
        <f ca="1">IFERROR(VLOOKUP(B46,DATA!$B$12:$D$13,3,0),0)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ca="1">IFERROR(IF(AND(OR(LEFT(B46,FIND(" ",B46,1)-1)="Đồng",LEFT(B46,FIND(" ",B46,1)-1)="Nhôm"),E46&gt;(F46/10)),5%,0),"")</f>
      </c>
      <c r="M46" s="41">
        <f ca="1">E46*F46*G46*H46</f>
        <v>0</v>
      </c>
      <c r="N46" s="118">
        <f ca="1">IFERROR((E46*F46*G46*H46/10^6),0)*C46</f>
        <v>0</v>
      </c>
      <c r="O46" s="11" t="str">
        <f ca="1">IFERROR(((E46+5)*(F46+5)*(G46+5))/(E46*F46*G46)-1,"")</f>
      </c>
      <c r="P46" s="12">
        <v>0.035</v>
      </c>
      <c r="Q46" s="41">
        <f ca="1">IFERROR(IF(H46&gt;50,E46*(H46*G46+(H46+2)*F46),IF(H46&gt;10,E46*(2*H46*G46+(H46+1)*F46),2*H46*E46*(F46+G46)))*13/N46,0)</f>
        <v>0</v>
      </c>
      <c r="R46" s="41" t="str">
        <f ca="1">IFERROR((D46*(1+O46+P46)+Q46+(($J$12+$K$12)/$N$62))/(1-L46-(I46*0.007/30)),"")</f>
      </c>
      <c r="S46" s="11" t="str">
        <f ca="1">IFERROR(VLOOKUP(B46,DATA!$B$12:$D$13,2,0),"")</f>
      </c>
      <c r="T46" s="56" t="str">
        <f ca="1">IFERROR(ROUND((R46/(1-S46)+($J$12+$K$12)/$N$62)/(1-L46),-3),"")</f>
      </c>
      <c r="U46" s="41" t="str">
        <f ca="1">IFERROR(ROUND(T46*N46,0),"")</f>
      </c>
    </row>
    <row r="47" spans="1:22" ht="11.65" customHeight="1">
      <c r="A47" s="9"/>
      <c r="B47" s="10"/>
      <c r="C47" s="9">
        <f ca="1">IFERROR(VLOOKUP(B47,DATA!$B$12:$D$13,3,0),0)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ca="1">IFERROR(IF(AND(OR(LEFT(B47,FIND(" ",B47,1)-1)="Đồng",LEFT(B47,FIND(" ",B47,1)-1)="Nhôm"),E47&gt;(F47/10)),5%,0),"")</f>
      </c>
      <c r="M47" s="41">
        <f ca="1">E47*F47*G47*H47</f>
        <v>0</v>
      </c>
      <c r="N47" s="118">
        <f ca="1">IFERROR((E47*F47*G47*H47/10^6),0)*C47</f>
        <v>0</v>
      </c>
      <c r="O47" s="11" t="str">
        <f ca="1">IFERROR(((E47+5)*(F47+5)*(G47+5))/(E47*F47*G47)-1,"")</f>
      </c>
      <c r="P47" s="12">
        <v>0.035</v>
      </c>
      <c r="Q47" s="41">
        <f ca="1">IFERROR(IF(H47&gt;50,E47*(H47*G47+(H47+2)*F47),IF(H47&gt;10,E47*(2*H47*G47+(H47+1)*F47),2*H47*E47*(F47+G47)))*13/N47,0)</f>
        <v>0</v>
      </c>
      <c r="R47" s="41" t="str">
        <f ca="1">IFERROR((D47*(1+O47+P47)+Q47+(($J$12+$K$12)/$N$62))/(1-L47-(I47*0.007/30)),"")</f>
      </c>
      <c r="S47" s="11" t="str">
        <f ca="1">IFERROR(VLOOKUP(B47,DATA!$B$12:$D$13,2,0),"")</f>
      </c>
      <c r="T47" s="56" t="str">
        <f ca="1">IFERROR(ROUND((R47/(1-S47)+($J$12+$K$12)/$N$62)/(1-L47),-3),"")</f>
      </c>
      <c r="U47" s="41" t="str">
        <f ca="1">IFERROR(ROUND(T47*N47,0),"")</f>
      </c>
    </row>
    <row r="48" spans="1:22" ht="11.65" customHeight="1">
      <c r="A48" s="9"/>
      <c r="B48" s="10"/>
      <c r="C48" s="9">
        <f ca="1">IFERROR(VLOOKUP(B48,DATA!$B$12:$D$13,3,0),0)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ca="1">IFERROR(IF(AND(OR(LEFT(B48,FIND(" ",B48,1)-1)="Đồng",LEFT(B48,FIND(" ",B48,1)-1)="Nhôm"),E48&gt;(F48/10)),5%,0),"")</f>
      </c>
      <c r="M48" s="41">
        <f ca="1">E48*F48*G48*H48</f>
        <v>0</v>
      </c>
      <c r="N48" s="118">
        <f ca="1">IFERROR((E48*F48*G48*H48/10^6),0)*C48</f>
        <v>0</v>
      </c>
      <c r="O48" s="11" t="str">
        <f ca="1">IFERROR(((E48+5)*(F48+5)*(G48+5))/(E48*F48*G48)-1,"")</f>
      </c>
      <c r="P48" s="12">
        <v>0.035</v>
      </c>
      <c r="Q48" s="41">
        <f ca="1">IFERROR(IF(H48&gt;50,E48*(H48*G48+(H48+2)*F48),IF(H48&gt;10,E48*(2*H48*G48+(H48+1)*F48),2*H48*E48*(F48+G48)))*13/N48,0)</f>
        <v>0</v>
      </c>
      <c r="R48" s="41" t="str">
        <f ca="1">IFERROR((D48*(1+O48+P48)+Q48+(($J$12+$K$12)/$N$62))/(1-L48-(I48*0.007/30)),"")</f>
      </c>
      <c r="S48" s="11" t="str">
        <f ca="1">IFERROR(VLOOKUP(B48,DATA!$B$12:$D$13,2,0),"")</f>
      </c>
      <c r="T48" s="56" t="str">
        <f ca="1">IFERROR(ROUND((R48/(1-S48)+($J$12+$K$12)/$N$62)/(1-L48),-3),"")</f>
      </c>
      <c r="U48" s="41" t="str">
        <f ca="1">IFERROR(ROUND(T48*N48,0),"")</f>
      </c>
    </row>
    <row r="49" spans="1:22" ht="11.65" customHeight="1">
      <c r="A49" s="9"/>
      <c r="B49" s="10"/>
      <c r="C49" s="9">
        <f ca="1">IFERROR(VLOOKUP(B49,DATA!$B$12:$D$13,3,0),0)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ca="1">IFERROR(IF(AND(OR(LEFT(B49,FIND(" ",B49,1)-1)="Đồng",LEFT(B49,FIND(" ",B49,1)-1)="Nhôm"),E49&gt;(F49/10)),5%,0),"")</f>
      </c>
      <c r="M49" s="41">
        <f ca="1">E49*F49*G49*H49</f>
        <v>0</v>
      </c>
      <c r="N49" s="118">
        <f ca="1">IFERROR((E49*F49*G49*H49/10^6),0)*C49</f>
        <v>0</v>
      </c>
      <c r="O49" s="11" t="str">
        <f ca="1">IFERROR(((E49+5)*(F49+5)*(G49+5))/(E49*F49*G49)-1,"")</f>
      </c>
      <c r="P49" s="12">
        <v>0.035</v>
      </c>
      <c r="Q49" s="41">
        <f ca="1">IFERROR(IF(H49&gt;50,E49*(H49*G49+(H49+2)*F49),IF(H49&gt;10,E49*(2*H49*G49+(H49+1)*F49),2*H49*E49*(F49+G49)))*13/N49,0)</f>
        <v>0</v>
      </c>
      <c r="R49" s="41" t="str">
        <f ca="1">IFERROR((D49*(1+O49+P49)+Q49+(($J$12+$K$12)/$N$62))/(1-L49-(I49*0.007/30)),"")</f>
      </c>
      <c r="S49" s="11" t="str">
        <f ca="1">IFERROR(VLOOKUP(B49,DATA!$B$12:$D$13,2,0),"")</f>
      </c>
      <c r="T49" s="56" t="str">
        <f ca="1">IFERROR(ROUND((R49/(1-S49)+($J$12+$K$12)/$N$62)/(1-L49),-3),"")</f>
      </c>
      <c r="U49" s="41" t="str">
        <f ca="1">IFERROR(ROUND(T49*N49,0),"")</f>
      </c>
    </row>
    <row r="50" spans="1:22" ht="11.65" customHeight="1">
      <c r="A50" s="9"/>
      <c r="B50" s="10"/>
      <c r="C50" s="9">
        <f ca="1">IFERROR(VLOOKUP(B50,DATA!$B$12:$D$13,3,0),0)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ca="1">IFERROR(IF(AND(OR(LEFT(B50,FIND(" ",B50,1)-1)="Đồng",LEFT(B50,FIND(" ",B50,1)-1)="Nhôm"),E50&gt;(F50/10)),5%,0),"")</f>
      </c>
      <c r="M50" s="41">
        <f ca="1">E50*F50*G50*H50</f>
        <v>0</v>
      </c>
      <c r="N50" s="118">
        <f ca="1">IFERROR((E50*F50*G50*H50/10^6),0)*C50</f>
        <v>0</v>
      </c>
      <c r="O50" s="11" t="str">
        <f ca="1">IFERROR(((E50+5)*(F50+5)*(G50+5))/(E50*F50*G50)-1,"")</f>
      </c>
      <c r="P50" s="12">
        <v>0.035</v>
      </c>
      <c r="Q50" s="41">
        <f ca="1">IFERROR(IF(H50&gt;50,E50*(H50*G50+(H50+2)*F50),IF(H50&gt;10,E50*(2*H50*G50+(H50+1)*F50),2*H50*E50*(F50+G50)))*13/N50,0)</f>
        <v>0</v>
      </c>
      <c r="R50" s="41" t="str">
        <f ca="1">IFERROR((D50*(1+O50+P50)+Q50+(($J$12+$K$12)/$N$62))/(1-L50-(I50*0.007/30)),"")</f>
      </c>
      <c r="S50" s="11" t="str">
        <f ca="1">IFERROR(VLOOKUP(B50,DATA!$B$12:$D$13,2,0),"")</f>
      </c>
      <c r="T50" s="56" t="str">
        <f ca="1">IFERROR(ROUND((R50/(1-S50)+($J$12+$K$12)/$N$62)/(1-L50),-3),"")</f>
      </c>
      <c r="U50" s="41" t="str">
        <f ca="1">IFERROR(ROUND(T50*N50,0),"")</f>
      </c>
    </row>
    <row r="51" spans="1:22" ht="11.65" customHeight="1">
      <c r="A51" s="9"/>
      <c r="B51" s="10"/>
      <c r="C51" s="9">
        <f ca="1">IFERROR(VLOOKUP(B51,DATA!$B$12:$D$13,3,0),0)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ca="1">IFERROR(IF(AND(OR(LEFT(B51,FIND(" ",B51,1)-1)="Đồng",LEFT(B51,FIND(" ",B51,1)-1)="Nhôm"),E51&gt;(F51/10)),5%,0),"")</f>
      </c>
      <c r="M51" s="41">
        <f ca="1">E51*F51*G51*H51</f>
        <v>0</v>
      </c>
      <c r="N51" s="118">
        <f ca="1">IFERROR((E51*F51*G51*H51/10^6),0)*C51</f>
        <v>0</v>
      </c>
      <c r="O51" s="11" t="str">
        <f ca="1">IFERROR(((E51+5)*(F51+5)*(G51+5))/(E51*F51*G51)-1,"")</f>
      </c>
      <c r="P51" s="12">
        <v>0.035</v>
      </c>
      <c r="Q51" s="41">
        <f ca="1">IFERROR(IF(H51&gt;50,E51*(H51*G51+(H51+2)*F51),IF(H51&gt;10,E51*(2*H51*G51+(H51+1)*F51),2*H51*E51*(F51+G51)))*13/N51,0)</f>
        <v>0</v>
      </c>
      <c r="R51" s="41" t="str">
        <f ca="1">IFERROR((D51*(1+O51+P51)+Q51+(($J$12+$K$12)/$N$62))/(1-L51-(I51*0.007/30)),"")</f>
      </c>
      <c r="S51" s="11" t="str">
        <f ca="1">IFERROR(VLOOKUP(B51,DATA!$B$12:$D$13,2,0),"")</f>
      </c>
      <c r="T51" s="56" t="str">
        <f ca="1">IFERROR(ROUND((R51/(1-S51)+($J$12+$K$12)/$N$62)/(1-L51),-3),"")</f>
      </c>
      <c r="U51" s="41" t="str">
        <f ca="1">IFERROR(ROUND(T51*N51,0),"")</f>
      </c>
    </row>
    <row r="52" spans="1:22" ht="11.65" customHeight="1">
      <c r="A52" s="9"/>
      <c r="B52" s="10"/>
      <c r="C52" s="9">
        <f ca="1">IFERROR(VLOOKUP(B52,DATA!$B$12:$D$13,3,0),0)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ca="1">IFERROR(IF(AND(OR(LEFT(B52,FIND(" ",B52,1)-1)="Đồng",LEFT(B52,FIND(" ",B52,1)-1)="Nhôm"),E52&gt;(F52/10)),5%,0),"")</f>
      </c>
      <c r="M52" s="41">
        <f ca="1">E52*F52*G52*H52</f>
        <v>0</v>
      </c>
      <c r="N52" s="118">
        <f ca="1">IFERROR((E52*F52*G52*H52/10^6),0)*C52</f>
        <v>0</v>
      </c>
      <c r="O52" s="11" t="str">
        <f ca="1">IFERROR(((E52+5)*(F52+5)*(G52+5))/(E52*F52*G52)-1,"")</f>
      </c>
      <c r="P52" s="12">
        <v>0.035</v>
      </c>
      <c r="Q52" s="41">
        <f ca="1">IFERROR(IF(H52&gt;50,E52*(H52*G52+(H52+2)*F52),IF(H52&gt;10,E52*(2*H52*G52+(H52+1)*F52),2*H52*E52*(F52+G52)))*13/N52,0)</f>
        <v>0</v>
      </c>
      <c r="R52" s="41" t="str">
        <f ca="1">IFERROR((D52*(1+O52+P52)+Q52+(($J$12+$K$12)/$N$62))/(1-L52-(I52*0.007/30)),"")</f>
      </c>
      <c r="S52" s="11" t="str">
        <f ca="1">IFERROR(VLOOKUP(B52,DATA!$B$12:$D$13,2,0),"")</f>
      </c>
      <c r="T52" s="56" t="str">
        <f ca="1">IFERROR(ROUND((R52/(1-S52)+($J$12+$K$12)/$N$62)/(1-L52),-3),"")</f>
      </c>
      <c r="U52" s="41" t="str">
        <f ca="1">IFERROR(ROUND(T52*N52,0),"")</f>
      </c>
    </row>
    <row r="53" spans="1:22" ht="11.65" customHeight="1">
      <c r="A53" s="9"/>
      <c r="B53" s="10"/>
      <c r="C53" s="9">
        <f ca="1">IFERROR(VLOOKUP(B53,DATA!$B$12:$D$13,3,0),0)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ca="1">IFERROR(IF(AND(OR(LEFT(B53,FIND(" ",B53,1)-1)="Đồng",LEFT(B53,FIND(" ",B53,1)-1)="Nhôm"),E53&gt;(F53/10)),5%,0),"")</f>
      </c>
      <c r="M53" s="41">
        <f ca="1">E53*F53*G53*H53</f>
        <v>0</v>
      </c>
      <c r="N53" s="118">
        <f ca="1">IFERROR((E53*F53*G53*H53/10^6),0)*C53</f>
        <v>0</v>
      </c>
      <c r="O53" s="11" t="str">
        <f ca="1">IFERROR(((E53+5)*(F53+5)*(G53+5))/(E53*F53*G53)-1,"")</f>
      </c>
      <c r="P53" s="12">
        <v>0.035</v>
      </c>
      <c r="Q53" s="41">
        <f ca="1">IFERROR(IF(H53&gt;50,E53*(H53*G53+(H53+2)*F53),IF(H53&gt;10,E53*(2*H53*G53+(H53+1)*F53),2*H53*E53*(F53+G53)))*13/N53,0)</f>
        <v>0</v>
      </c>
      <c r="R53" s="41" t="str">
        <f ca="1">IFERROR((D53*(1+O53+P53)+Q53+(($J$12+$K$12)/$N$62))/(1-L53-(I53*0.007/30)),"")</f>
      </c>
      <c r="S53" s="11" t="str">
        <f ca="1">IFERROR(VLOOKUP(B53,DATA!$B$12:$D$13,2,0),"")</f>
      </c>
      <c r="T53" s="56" t="str">
        <f ca="1">IFERROR(ROUND((R53/(1-S53)+($J$12+$K$12)/$N$62)/(1-L53),-3),"")</f>
      </c>
      <c r="U53" s="41" t="str">
        <f ca="1">IFERROR(ROUND(T53*N53,0),"")</f>
      </c>
    </row>
    <row r="54" spans="1:22" ht="11.65" customHeight="1">
      <c r="A54" s="9"/>
      <c r="B54" s="10"/>
      <c r="C54" s="9">
        <f ca="1">IFERROR(VLOOKUP(B54,DATA!$B$12:$D$13,3,0),0)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ca="1">IFERROR(IF(AND(OR(LEFT(B54,FIND(" ",B54,1)-1)="Đồng",LEFT(B54,FIND(" ",B54,1)-1)="Nhôm"),E54&gt;(F54/10)),5%,0),"")</f>
      </c>
      <c r="M54" s="41">
        <f ca="1">E54*F54*G54*H54</f>
        <v>0</v>
      </c>
      <c r="N54" s="118">
        <f ca="1">IFERROR((E54*F54*G54*H54/10^6),0)*C54</f>
        <v>0</v>
      </c>
      <c r="O54" s="11" t="str">
        <f ca="1">IFERROR(((E54+5)*(F54+5)*(G54+5))/(E54*F54*G54)-1,"")</f>
      </c>
      <c r="P54" s="12">
        <v>0.035</v>
      </c>
      <c r="Q54" s="41">
        <f ca="1">IFERROR(IF(H54&gt;50,E54*(H54*G54+(H54+2)*F54),IF(H54&gt;10,E54*(2*H54*G54+(H54+1)*F54),2*H54*E54*(F54+G54)))*13/N54,0)</f>
        <v>0</v>
      </c>
      <c r="R54" s="41" t="str">
        <f ca="1">IFERROR((D54*(1+O54+P54)+Q54+(($J$12+$K$12)/$N$62))/(1-L54-(I54*0.007/30)),"")</f>
      </c>
      <c r="S54" s="11" t="str">
        <f ca="1">IFERROR(VLOOKUP(B54,DATA!$B$12:$D$13,2,0),"")</f>
      </c>
      <c r="T54" s="56" t="str">
        <f ca="1">IFERROR(ROUND((R54/(1-S54)+($J$12+$K$12)/$N$62)/(1-L54),-3),"")</f>
      </c>
      <c r="U54" s="41" t="str">
        <f ca="1">IFERROR(ROUND(T54*N54,0),"")</f>
      </c>
    </row>
    <row r="55" spans="1:22" ht="11.65" customHeight="1">
      <c r="A55" s="9"/>
      <c r="B55" s="10"/>
      <c r="C55" s="9">
        <f ca="1">IFERROR(VLOOKUP(B55,DATA!$B$12:$D$13,3,0),0)</f>
        <v>0</v>
      </c>
      <c r="D55" s="45"/>
      <c r="E55" s="28"/>
      <c r="F55" s="28"/>
      <c r="G55" s="28"/>
      <c r="H55" s="22"/>
      <c r="I55" s="22"/>
      <c r="J55" s="45"/>
      <c r="K55" s="22"/>
      <c r="L55" s="12" t="str">
        <f ca="1">IFERROR(IF(AND(OR(LEFT(B55,FIND(" ",B55,1)-1)="Đồng",LEFT(B55,FIND(" ",B55,1)-1)="Nhôm"),E55&gt;(F55/10)),5%,0),"")</f>
      </c>
      <c r="M55" s="41">
        <f ca="1">E55*F55*G55*H55</f>
        <v>0</v>
      </c>
      <c r="N55" s="118">
        <f ca="1">IFERROR((E55*F55*G55*H55/10^6),0)*C55</f>
        <v>0</v>
      </c>
      <c r="O55" s="11" t="str">
        <f ca="1">IFERROR(((E55+5)*(F55+5)*(G55+5))/(E55*F55*G55)-1,"")</f>
      </c>
      <c r="P55" s="12">
        <v>0.035</v>
      </c>
      <c r="Q55" s="41">
        <f ca="1">IFERROR(IF(H55&gt;50,E55*(H55*G55+(H55+2)*F55),IF(H55&gt;10,E55*(2*H55*G55+(H55+1)*F55),2*H55*E55*(F55+G55)))*13/N55,0)</f>
        <v>0</v>
      </c>
      <c r="R55" s="41" t="str">
        <f ca="1">IFERROR((D55*(1+O55+P55)+Q55+(($J$12+$K$12)/$N$62))/(1-L55-(I55*0.007/30)),"")</f>
      </c>
      <c r="S55" s="11" t="str">
        <f ca="1">IFERROR(VLOOKUP(B55,DATA!$B$12:$D$13,2,0),"")</f>
      </c>
      <c r="T55" s="56" t="str">
        <f ca="1">IFERROR(ROUND((R55/(1-S55)+($J$12+$K$12)/$N$62)/(1-L55),-3),"")</f>
      </c>
      <c r="U55" s="41" t="str">
        <f ca="1">IFERROR(ROUND(T55*N55,0),"")</f>
      </c>
    </row>
    <row r="56" spans="1:22" ht="11.65" customHeight="1">
      <c r="A56" s="9"/>
      <c r="B56" s="10"/>
      <c r="C56" s="9">
        <f ca="1">IFERROR(VLOOKUP(B56,DATA!$B$12:$D$13,3,0),0)</f>
        <v>0</v>
      </c>
      <c r="D56" s="45"/>
      <c r="E56" s="28"/>
      <c r="F56" s="28"/>
      <c r="G56" s="28"/>
      <c r="H56" s="22"/>
      <c r="I56" s="22"/>
      <c r="J56" s="45"/>
      <c r="K56" s="22"/>
      <c r="L56" s="12" t="str">
        <f ca="1">IFERROR(IF(AND(OR(LEFT(B56,FIND(" ",B56,1)-1)="Đồng",LEFT(B56,FIND(" ",B56,1)-1)="Nhôm"),E56&gt;(F56/10)),5%,0),"")</f>
      </c>
      <c r="M56" s="41">
        <f ca="1">E56*F56*G56*H56</f>
        <v>0</v>
      </c>
      <c r="N56" s="118">
        <f ca="1">IFERROR((E56*F56*G56*H56/10^6),0)*C56</f>
        <v>0</v>
      </c>
      <c r="O56" s="11" t="str">
        <f ca="1">IFERROR(((E56+5)*(F56+5)*(G56+5))/(E56*F56*G56)-1,"")</f>
      </c>
      <c r="P56" s="12">
        <v>0.035</v>
      </c>
      <c r="Q56" s="41">
        <f ca="1">IFERROR(IF(H56&gt;50,E56*(H56*G56+(H56+2)*F56),IF(H56&gt;10,E56*(2*H56*G56+(H56+1)*F56),2*H56*E56*(F56+G56)))*13/N56,0)</f>
        <v>0</v>
      </c>
      <c r="R56" s="41" t="str">
        <f ca="1">IFERROR((D56*(1+O56+P56)+Q56+(($J$12+$K$12)/$N$62))/(1-L56-(I56*0.007/30)),"")</f>
      </c>
      <c r="S56" s="11" t="str">
        <f ca="1">IFERROR(VLOOKUP(B56,DATA!$B$12:$D$13,2,0),"")</f>
      </c>
      <c r="T56" s="56" t="str">
        <f ca="1">IFERROR(ROUND((R56/(1-S56)+($J$12+$K$12)/$N$62)/(1-L56),-3),"")</f>
      </c>
      <c r="U56" s="41" t="str">
        <f ca="1">IFERROR(ROUND(T56*N56,0),"")</f>
      </c>
    </row>
    <row r="57" spans="1:22" ht="11.65" customHeight="1">
      <c r="A57" s="9"/>
      <c r="B57" s="10"/>
      <c r="C57" s="9">
        <f ca="1">IFERROR(VLOOKUP(B57,DATA!$B$12:$D$13,3,0),0)</f>
        <v>0</v>
      </c>
      <c r="D57" s="45"/>
      <c r="E57" s="28"/>
      <c r="F57" s="28"/>
      <c r="G57" s="28"/>
      <c r="H57" s="22"/>
      <c r="I57" s="22"/>
      <c r="J57" s="45"/>
      <c r="K57" s="22"/>
      <c r="L57" s="12" t="str">
        <f ca="1">IFERROR(IF(AND(OR(LEFT(B57,FIND(" ",B57,1)-1)="Đồng",LEFT(B57,FIND(" ",B57,1)-1)="Nhôm"),E57&gt;(F57/10)),5%,0),"")</f>
      </c>
      <c r="M57" s="41">
        <f ca="1">E57*F57*G57*H57</f>
        <v>0</v>
      </c>
      <c r="N57" s="118">
        <f ca="1">IFERROR((E57*F57*G57*H57/10^6),0)*C57</f>
        <v>0</v>
      </c>
      <c r="O57" s="11" t="str">
        <f ca="1">IFERROR(((E57+5)*(F57+5)*(G57+5))/(E57*F57*G57)-1,"")</f>
      </c>
      <c r="P57" s="12">
        <v>0.035</v>
      </c>
      <c r="Q57" s="41">
        <f ca="1">IFERROR(IF(H57&gt;50,E57*(H57*G57+(H57+2)*F57),IF(H57&gt;10,E57*(2*H57*G57+(H57+1)*F57),2*H57*E57*(F57+G57)))*13/N57,0)</f>
        <v>0</v>
      </c>
      <c r="R57" s="41" t="str">
        <f ca="1">IFERROR((D57*(1+O57+P57)+Q57+(($J$12+$K$12)/$N$62))/(1-L57-(I57*0.007/30)),"")</f>
      </c>
      <c r="S57" s="11" t="str">
        <f ca="1">IFERROR(VLOOKUP(B57,DATA!$B$12:$D$13,2,0),"")</f>
      </c>
      <c r="T57" s="56" t="str">
        <f ca="1">IFERROR(ROUND((R57/(1-S57)+($J$12+$K$12)/$N$62)/(1-L57),-3),"")</f>
      </c>
      <c r="U57" s="41" t="str">
        <f ca="1">IFERROR(ROUND(T57*N57,0),"")</f>
      </c>
    </row>
    <row r="58" spans="1:22" ht="11.65" customHeight="1">
      <c r="A58" s="9"/>
      <c r="B58" s="10"/>
      <c r="C58" s="9">
        <f ca="1">IFERROR(VLOOKUP(B58,DATA!$B$12:$D$13,3,0),0)</f>
        <v>0</v>
      </c>
      <c r="D58" s="45"/>
      <c r="E58" s="28"/>
      <c r="F58" s="28"/>
      <c r="G58" s="28"/>
      <c r="H58" s="22"/>
      <c r="I58" s="22"/>
      <c r="J58" s="45"/>
      <c r="K58" s="22"/>
      <c r="L58" s="12" t="str">
        <f ca="1">IFERROR(IF(AND(OR(LEFT(B58,FIND(" ",B58,1)-1)="Đồng",LEFT(B58,FIND(" ",B58,1)-1)="Nhôm"),E58&gt;(F58/10)),5%,0),"")</f>
      </c>
      <c r="M58" s="41">
        <f ca="1">E58*F58*G58*H58</f>
        <v>0</v>
      </c>
      <c r="N58" s="118">
        <f ca="1">IFERROR((E58*F58*G58*H58/10^6),0)*C58</f>
        <v>0</v>
      </c>
      <c r="O58" s="11" t="str">
        <f ca="1">IFERROR(((E58+5)*(F58+5)*(G58+5))/(E58*F58*G58)-1,"")</f>
      </c>
      <c r="P58" s="12">
        <v>0.035</v>
      </c>
      <c r="Q58" s="41">
        <f ca="1">IFERROR(IF(H58&gt;50,E58*(H58*G58+(H58+2)*F58),IF(H58&gt;10,E58*(2*H58*G58+(H58+1)*F58),2*H58*E58*(F58+G58)))*13/N58,0)</f>
        <v>0</v>
      </c>
      <c r="R58" s="41" t="str">
        <f ca="1">IFERROR((D58*(1+O58+P58)+Q58+(($J$12+$K$12)/$N$62))/(1-L58-(I58*0.007/30)),"")</f>
      </c>
      <c r="S58" s="11" t="str">
        <f ca="1">IFERROR(VLOOKUP(B58,DATA!$B$12:$D$13,2,0),"")</f>
      </c>
      <c r="T58" s="56" t="str">
        <f ca="1">IFERROR(ROUND((R58/(1-S58)+($J$12+$K$12)/$N$62)/(1-L58),-3),"")</f>
      </c>
      <c r="U58" s="41" t="str">
        <f ca="1">IFERROR(ROUND(T58*N58,0),"")</f>
      </c>
    </row>
    <row r="59" spans="1:22" ht="11.65" customHeight="1">
      <c r="A59" s="9"/>
      <c r="B59" s="10"/>
      <c r="C59" s="9">
        <f ca="1">IFERROR(VLOOKUP(B59,DATA!$B$12:$D$13,3,0),0)</f>
        <v>0</v>
      </c>
      <c r="D59" s="45"/>
      <c r="E59" s="28"/>
      <c r="F59" s="28"/>
      <c r="G59" s="28"/>
      <c r="H59" s="22"/>
      <c r="I59" s="22"/>
      <c r="J59" s="45"/>
      <c r="K59" s="22"/>
      <c r="L59" s="12" t="str">
        <f ca="1">IFERROR(IF(AND(OR(LEFT(B59,FIND(" ",B59,1)-1)="Đồng",LEFT(B59,FIND(" ",B59,1)-1)="Nhôm"),E59&gt;(F59/10)),5%,0),"")</f>
      </c>
      <c r="M59" s="41">
        <f ca="1">E59*F59*G59*H59</f>
        <v>0</v>
      </c>
      <c r="N59" s="118">
        <f ca="1">IFERROR((E59*F59*G59*H59/10^6),0)*C59</f>
        <v>0</v>
      </c>
      <c r="O59" s="11" t="str">
        <f ca="1">IFERROR(((E59+5)*(F59+5)*(G59+5))/(E59*F59*G59)-1,"")</f>
      </c>
      <c r="P59" s="12">
        <v>0.035</v>
      </c>
      <c r="Q59" s="41">
        <f ca="1">IFERROR(IF(H59&gt;50,E59*(H59*G59+(H59+2)*F59),IF(H59&gt;10,E59*(2*H59*G59+(H59+1)*F59),2*H59*E59*(F59+G59)))*13/N59,0)</f>
        <v>0</v>
      </c>
      <c r="R59" s="41" t="str">
        <f ca="1">IFERROR((D59*(1+O59+P59)+Q59+(($J$12+$K$12)/$N$62))/(1-L59-(I59*0.007/30)),"")</f>
      </c>
      <c r="S59" s="11" t="str">
        <f ca="1">IFERROR(VLOOKUP(B59,DATA!$B$12:$D$13,2,0),"")</f>
      </c>
      <c r="T59" s="56" t="str">
        <f ca="1">IFERROR(ROUND((R59/(1-S59)+($J$12+$K$12)/$N$62)/(1-L59),-3),"")</f>
      </c>
      <c r="U59" s="41" t="str">
        <f ca="1">IFERROR(ROUND(T59*N59,0),"")</f>
      </c>
    </row>
    <row r="60" spans="1:22" ht="11.65" customHeight="1">
      <c r="A60" s="9"/>
      <c r="B60" s="10"/>
      <c r="C60" s="9">
        <f ca="1">IFERROR(VLOOKUP(B60,DATA!$B$12:$D$13,3,0),0)</f>
        <v>0</v>
      </c>
      <c r="D60" s="45"/>
      <c r="E60" s="28"/>
      <c r="F60" s="28"/>
      <c r="G60" s="28"/>
      <c r="H60" s="22"/>
      <c r="I60" s="22"/>
      <c r="J60" s="45"/>
      <c r="K60" s="22"/>
      <c r="L60" s="12" t="str">
        <f ca="1">IFERROR(IF(AND(OR(LEFT(B60,FIND(" ",B60,1)-1)="Đồng",LEFT(B60,FIND(" ",B60,1)-1)="Nhôm"),E60&gt;(F60/10)),5%,0),"")</f>
      </c>
      <c r="M60" s="41">
        <f ca="1">E60*F60*G60*H60</f>
        <v>0</v>
      </c>
      <c r="N60" s="118">
        <f ca="1">IFERROR((E60*F60*G60*H60/10^6),0)*C60</f>
        <v>0</v>
      </c>
      <c r="O60" s="11" t="str">
        <f ca="1">IFERROR(((E60+5)*(F60+5)*(G60+5))/(E60*F60*G60)-1,"")</f>
      </c>
      <c r="P60" s="12">
        <v>0.035</v>
      </c>
      <c r="Q60" s="41">
        <f ca="1">IFERROR(IF(H60&gt;50,E60*(H60*G60+(H60+2)*F60),IF(H60&gt;10,E60*(2*H60*G60+(H60+1)*F60),2*H60*E60*(F60+G60)))*13/N60,0)</f>
        <v>0</v>
      </c>
      <c r="R60" s="41" t="str">
        <f ca="1">IFERROR((D60*(1+O60+P60)+Q60+(($J$12+$K$12)/$N$62))/(1-L60-(I60*0.007/30)),"")</f>
      </c>
      <c r="S60" s="11" t="str">
        <f ca="1">IFERROR(VLOOKUP(B60,DATA!$B$12:$D$13,2,0),"")</f>
      </c>
      <c r="T60" s="56" t="str">
        <f ca="1">IFERROR(ROUND((R60/(1-S60)+($J$12+$K$12)/$N$62)/(1-L60),-3),"")</f>
      </c>
      <c r="U60" s="41" t="str">
        <f ca="1">IFERROR(ROUND(T60*N60,0),"")</f>
      </c>
    </row>
    <row r="61" spans="1:22" ht="11.65" customHeight="1">
      <c r="A61" s="14"/>
      <c r="B61" s="13"/>
      <c r="C61" s="14">
        <f ca="1">IFERROR(VLOOKUP(B61,DATA!$B$12:$D$13,3,0),0)</f>
        <v>0</v>
      </c>
      <c r="D61" s="46"/>
      <c r="E61" s="29"/>
      <c r="F61" s="29"/>
      <c r="G61" s="29"/>
      <c r="H61" s="23"/>
      <c r="I61" s="23"/>
      <c r="J61" s="46"/>
      <c r="K61" s="23"/>
      <c r="L61" s="16" t="str">
        <f ca="1">IFERROR(IF(AND(OR(LEFT(B61,FIND(" ",B61,1)-1)="Đồng",LEFT(B61,FIND(" ",B61,1)-1)="Nhôm"),E61&gt;(F61/10)),5%,0),"")</f>
      </c>
      <c r="M61" s="42">
        <f ca="1">E61*F61*G61*H61</f>
        <v>0</v>
      </c>
      <c r="N61" s="119">
        <f ca="1">IFERROR((E61*F61*G61*H61/10^6),0)*C61</f>
        <v>0</v>
      </c>
      <c r="O61" s="15" t="str">
        <f ca="1">IFERROR(((E61+5)*(F61+5)*(G61+5))/(E61*F61*G61)-1,"")</f>
      </c>
      <c r="P61" s="16">
        <v>0.035</v>
      </c>
      <c r="Q61" s="42">
        <f ca="1">IFERROR(IF(H61&gt;50,E61*(H61*G61+(H61+2)*F61),IF(H61&gt;10,E61*(2*H61*G61+(H61+1)*F61),2*H61*E61*(F61+G61)))*13/N61,0)</f>
        <v>0</v>
      </c>
      <c r="R61" s="42" t="str">
        <f ca="1">IFERROR((D61*(1+O61+P61)+Q61+(($J$12+$K$12)/$N$62))/(1-L61-(I61*0.007/30)),"")</f>
      </c>
      <c r="S61" s="15" t="str">
        <f ca="1">IFERROR(VLOOKUP(B61,DATA!$B$12:$D$13,2,0),"")</f>
      </c>
      <c r="T61" s="56" t="str">
        <f ca="1">IFERROR(ROUND((R61/(1-S61)+($J$12+$K$12)/$N$62)/(1-L61),-3),"")</f>
      </c>
      <c r="U61" s="42" t="str">
        <f ca="1">IFERROR(ROUND(T61*N61,0),"")</f>
      </c>
    </row>
    <row r="62" spans="1:22" ht="11.65" customHeight="1">
      <c r="A62" s="17" t="s">
        <v>85</v>
      </c>
      <c r="B62" s="18"/>
      <c r="C62" s="18"/>
      <c r="D62" s="47"/>
      <c r="E62" s="30"/>
      <c r="F62" s="31"/>
      <c r="G62" s="32"/>
      <c r="H62" s="34">
        <f ca="1">SUM(H12:H61)</f>
        <v>14</v>
      </c>
      <c r="I62" s="34"/>
      <c r="J62" s="43"/>
      <c r="K62" s="34"/>
      <c r="L62" s="37"/>
      <c r="M62" s="43"/>
      <c r="N62" s="120">
        <f ca="1">SUM(N12:N61)</f>
        <v>80.880435</v>
      </c>
      <c r="O62" s="52"/>
      <c r="P62" s="50"/>
      <c r="Q62" s="53"/>
      <c r="R62" s="53"/>
      <c r="S62" s="50"/>
      <c r="T62" s="43"/>
      <c r="U62" s="43"/>
    </row>
    <row r="63" spans="18:20" ht="11.65" customHeight="1">
      <c r="R63" s="54"/>
      <c r="S63" s="55"/>
    </row>
    <row r="64" spans="18:20" ht="11.65" customHeight="1">
      <c r="R64" s="54"/>
      <c r="S64" s="55"/>
    </row>
    <row r="65" spans="18:20" ht="11.65" customHeight="1">
      <c r="R65" s="54"/>
      <c r="S65" s="55"/>
    </row>
    <row r="66" spans="18:20" ht="11.65" customHeight="1">
      <c r="R66" s="54"/>
      <c r="S66" s="55"/>
    </row>
    <row r="67" spans="18:20" ht="11.65" customHeight="1">
      <c r="R67" s="54"/>
      <c r="S67" s="55"/>
    </row>
    <row r="68" spans="18:20" ht="11.65" customHeight="1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/>
  </dataValidations>
  <printOptions/>
  <pageMargins left="0.7" right="0.7" top="0.75" bottom="0.75" header="0.3" footer="0.3"/>
  <pageSetup horizontalDpi="600" verticalDpi="600" orientation="portrait" paperSize="9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62"/>
  <sheetViews>
    <sheetView workbookViewId="0" topLeftCell="A1">
      <pane ySplit="11" topLeftCell="A12" activePane="bottomLeft" state="frozen"/>
      <selection pane="topLeft" activeCell="A10" sqref="A10"/>
      <selection pane="bottomLeft" activeCell="W17" sqref="W17"/>
    </sheetView>
  </sheetViews>
  <sheetFormatPr defaultColWidth="8.571428571428571" defaultRowHeight="11.65" customHeight="1"/>
  <cols>
    <col min="1" max="1" width="17" style="2" customWidth="1"/>
    <col min="2" max="2" width="31" style="2" customWidth="1"/>
    <col min="3" max="3" width="11" style="2" customWidth="1"/>
    <col min="4" max="4" width="13" style="39" customWidth="1"/>
    <col min="5" max="7" width="8" style="26" customWidth="1"/>
    <col min="8" max="9" width="7" style="19" customWidth="1"/>
    <col min="10" max="10" width="8" style="39" customWidth="1"/>
    <col min="11" max="11" width="10" style="19" customWidth="1"/>
    <col min="12" max="12" width="7" style="35" customWidth="1"/>
    <col min="13" max="13" width="11" style="39" customWidth="1"/>
    <col min="14" max="14" width="7" style="57" customWidth="1"/>
    <col min="15" max="15" width="8" style="51" customWidth="1"/>
    <col min="16" max="16" width="10" style="35" customWidth="1"/>
    <col min="17" max="17" width="10" style="39" customWidth="1"/>
    <col min="18" max="18" width="9" style="39" customWidth="1"/>
    <col min="19" max="19" width="8" style="35" customWidth="1"/>
    <col min="20" max="20" width="10" style="39" customWidth="1"/>
    <col min="21" max="21" width="11" style="39" customWidth="1"/>
    <col min="22" max="22" width="13" style="2" customWidth="1"/>
    <col min="23" max="23" width="12" style="2" customWidth="1"/>
    <col min="24" max="24" width="8" style="2" customWidth="1"/>
    <col min="25" max="25" width="8.142857142857142" style="2" customWidth="1"/>
    <col min="26" max="26" width="8.285714285714286" style="2" customWidth="1"/>
    <col min="27" max="27" width="8.428571428571429" style="2" customWidth="1"/>
    <col min="28" max="16384" width="8.571428571428571" style="2" customWidth="1"/>
  </cols>
  <sheetData>
    <row r="1" spans="5:7" ht="41.1" customHeight="1" hidden="1">
      <c r="E1" s="24" t="s">
        <v>3</v>
      </c>
      <c r="F1" s="25">
        <v>140000</v>
      </c>
    </row>
    <row r="2" spans="1:4" ht="14.25" customHeight="1" hidden="1">
      <c r="A2" s="2" t="s">
        <v>101</v>
      </c>
      <c r="B2" s="2" t="s">
        <v>98</v>
      </c>
      <c r="C2" s="2" t="s">
        <v>17</v>
      </c>
    </row>
    <row r="3" spans="1:4" ht="14.25" customHeight="1" hidden="1">
      <c r="A3" s="2" t="s">
        <v>97</v>
      </c>
      <c r="B3" s="2" t="s">
        <v>5</v>
      </c>
      <c r="C3" s="2" t="s">
        <v>21</v>
      </c>
    </row>
    <row r="4" spans="1:4" ht="14.25" customHeight="1" hidden="1">
      <c r="A4" s="2" t="s">
        <v>77</v>
      </c>
      <c r="B4" s="2" t="s">
        <v>23</v>
      </c>
      <c r="C4" s="2" t="s">
        <v>111</v>
      </c>
    </row>
    <row r="5" spans="1:4" ht="14.25" customHeight="1" hidden="1">
      <c r="A5" s="2" t="s">
        <v>90</v>
      </c>
      <c r="B5" s="2" t="s">
        <v>52</v>
      </c>
      <c r="C5" s="2" t="s">
        <v>44</v>
      </c>
    </row>
    <row r="6" spans="1:23" ht="14.25" customHeight="1" hidden="1"/>
    <row r="7" spans="1:23" ht="14.25" customHeight="1" hidden="1"/>
    <row r="8" spans="1:23" ht="14.25" customHeight="1" hidden="1"/>
    <row r="9" spans="1:23" ht="14.25" customHeight="1" hidden="1"/>
    <row r="10" spans="1:22" ht="25.5" customHeight="1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68</v>
      </c>
      <c r="T10" s="162"/>
      <c r="U10" s="163"/>
    </row>
    <row r="11" spans="1:22" ht="11.65" customHeight="1">
      <c r="A11" s="3" t="s">
        <v>38</v>
      </c>
      <c r="B11" s="3" t="s">
        <v>19</v>
      </c>
      <c r="C11" s="4" t="s">
        <v>20</v>
      </c>
      <c r="D11" s="20" t="s">
        <v>6</v>
      </c>
      <c r="E11" s="48" t="s">
        <v>10</v>
      </c>
      <c r="F11" s="48" t="s">
        <v>114</v>
      </c>
      <c r="G11" s="48" t="s">
        <v>73</v>
      </c>
      <c r="H11" s="33" t="s">
        <v>104</v>
      </c>
      <c r="I11" s="20" t="s">
        <v>100</v>
      </c>
      <c r="J11" s="20" t="s">
        <v>67</v>
      </c>
      <c r="K11" s="20" t="s">
        <v>105</v>
      </c>
      <c r="L11" s="36" t="s">
        <v>108</v>
      </c>
      <c r="M11" s="38" t="s">
        <v>43</v>
      </c>
      <c r="N11" s="58" t="s">
        <v>63</v>
      </c>
      <c r="O11" s="49" t="s">
        <v>48</v>
      </c>
      <c r="P11" s="49" t="s">
        <v>60</v>
      </c>
      <c r="Q11" s="38" t="s">
        <v>112</v>
      </c>
      <c r="R11" s="38" t="s">
        <v>87</v>
      </c>
      <c r="S11" s="49" t="s">
        <v>0</v>
      </c>
      <c r="T11" s="38" t="s">
        <v>61</v>
      </c>
      <c r="U11" s="38" t="s">
        <v>84</v>
      </c>
    </row>
    <row r="12" spans="1:23" ht="11.65" customHeight="1">
      <c r="A12" s="5"/>
      <c r="B12" s="10" t="s">
        <v>115</v>
      </c>
      <c r="C12" s="9">
        <f ca="1">IFERROR(VLOOKUP(B12,DATA!$B$2:$D$18,3,0),0)</f>
        <v>2.75</v>
      </c>
      <c r="D12" s="45">
        <v>130000</v>
      </c>
      <c r="E12" s="28">
        <v>12</v>
      </c>
      <c r="F12" s="28">
        <v>285</v>
      </c>
      <c r="G12" s="28">
        <v>655</v>
      </c>
      <c r="H12" s="22">
        <v>2</v>
      </c>
      <c r="I12" s="22"/>
      <c r="J12" s="22"/>
      <c r="K12" s="22"/>
      <c r="L12" s="12">
        <f ca="1">IFERROR(IF(AND(OR(LEFT(B12,FIND(" ",B12,1)-1)="Đồng",LEFT(B12,FIND(" ",B12,1)-1)="Nhôm"),E12&gt;(F12/10)),5%,0),"")</f>
        <v>0</v>
      </c>
      <c r="M12" s="153">
        <f ca="1">E12*F12*G12*H12</f>
        <v>4480200</v>
      </c>
      <c r="N12" s="154">
        <f ca="1">IFERROR((E12*F12*G12*H12/10^6),0)*C12</f>
        <v>12.32055</v>
      </c>
      <c r="O12" s="11">
        <f ca="1">IFERROR(IF(H12&gt;50,E12*(H12*G12+(H12+2)*F12),IF(H12&gt;10,E12*(2*H12*G12+(H12+1)*F12),2*H12*E12*(F12+G12)))*6/M12,"")</f>
        <v>0.06042587384491764</v>
      </c>
      <c r="P12" s="12">
        <v>0.035</v>
      </c>
      <c r="Q12" s="153">
        <f ca="1">IFERROR(IF(H12&gt;50,E12*(H12*G12+(H12+2)*F12),IF(H12&gt;10,E12*(2*H12*G12+(H12+1)*F12),2*H12*E12*(F12+G12)))*1.2/N12,0)</f>
        <v>4394.609006903101</v>
      </c>
      <c r="R12" s="153">
        <f ca="1">IFERROR((D12*(1+O12+P12)+Q12)/(1-(I12*0.007/30)),"")</f>
        <v>146799.9726067424</v>
      </c>
      <c r="S12" s="11">
        <v>0.12</v>
      </c>
      <c r="T12" s="157">
        <f ca="1">IFERROR(ROUND((R12/(1-S12)+($J$12+$K$12)/$N$56)/(1-L12),-3),"")</f>
        <v>167000</v>
      </c>
      <c r="U12" s="153">
        <f ca="1">IFERROR(ROUND(T12*N12,0),"")</f>
        <v>2057532</v>
      </c>
      <c r="V12" s="67"/>
      <c r="W12" s="151"/>
    </row>
    <row r="13" spans="1:23" ht="11.65" customHeight="1">
      <c r="A13" s="9"/>
      <c r="B13" s="10" t="s">
        <v>115</v>
      </c>
      <c r="C13" s="9">
        <f ca="1">IFERROR(VLOOKUP(B13,DATA!$B$2:$D$18,3,0),0)</f>
        <v>2.75</v>
      </c>
      <c r="D13" s="45">
        <v>120000</v>
      </c>
      <c r="E13" s="28">
        <v>10</v>
      </c>
      <c r="F13" s="28">
        <v>117</v>
      </c>
      <c r="G13" s="28">
        <v>550</v>
      </c>
      <c r="H13" s="22">
        <v>2</v>
      </c>
      <c r="I13" s="22"/>
      <c r="J13" s="22"/>
      <c r="K13" s="22"/>
      <c r="L13" s="12">
        <f ca="1">IFERROR(IF(AND(OR(LEFT(B13,FIND(" ",B13,1)-1)="Đồng",LEFT(B13,FIND(" ",B13,1)-1)="Nhôm"),E13&gt;(F13/10)),5%,0),"")</f>
        <v>0</v>
      </c>
      <c r="M13" s="153">
        <f ca="1">E13*F13*G13*H13</f>
        <v>1287000</v>
      </c>
      <c r="N13" s="154">
        <f ca="1">IFERROR((E13*F13*G13*H13/10^6),0)*C13</f>
        <v>3.53925</v>
      </c>
      <c r="O13" s="11">
        <f ca="1">IFERROR(IF(H13&gt;50,E13*(H13*G13+(H13+2)*F13),IF(H13&gt;10,E13*(2*H13*G13+(H13+1)*F13),2*H13*E13*(F13+G13)))*6/M13,"")</f>
        <v>0.12438228438228438</v>
      </c>
      <c r="P13" s="12">
        <v>0.035</v>
      </c>
      <c r="Q13" s="153">
        <f ca="1">IFERROR(IF(H13&gt;50,E13*(H13*G13+(H13+2)*F13),IF(H13&gt;10,E13*(2*H13*G13+(H13+1)*F13),2*H13*E13*(F13+G13)))*1.2/N13,0)</f>
        <v>9045.984318711591</v>
      </c>
      <c r="R13" s="153">
        <f ca="1">IFERROR((D13*(1+O13+P13)+Q13)/(1-(I13*0.007/30)),"")</f>
        <v>148171.8584445857</v>
      </c>
      <c r="S13" s="11">
        <f ca="1">IFERROR(VLOOKUP(B13,DATA!$B$2:$D$6,2,0),"")</f>
        <v>0.17</v>
      </c>
      <c r="T13" s="157">
        <f ca="1">IFERROR(ROUND((R13/(1-S13)+($J$12+$K$12)/$N$56)/(1-L13),-3),"")</f>
        <v>179000</v>
      </c>
      <c r="U13" s="153">
        <f ca="1">IFERROR(ROUND(T13*N13,0),"")</f>
        <v>633526</v>
      </c>
      <c r="V13" s="67"/>
      <c r="W13" s="151"/>
    </row>
    <row r="14" spans="1:23" ht="11.65" customHeight="1">
      <c r="A14" s="9"/>
      <c r="B14" s="10" t="s">
        <v>115</v>
      </c>
      <c r="C14" s="9">
        <f ca="1">IFERROR(VLOOKUP(B14,DATA!$B$2:$D$18,3,0),0)</f>
        <v>2.75</v>
      </c>
      <c r="D14" s="45">
        <v>120000</v>
      </c>
      <c r="E14" s="28">
        <v>12</v>
      </c>
      <c r="F14" s="28">
        <v>55</v>
      </c>
      <c r="G14" s="28">
        <v>655</v>
      </c>
      <c r="H14" s="22">
        <v>2</v>
      </c>
      <c r="I14" s="22"/>
      <c r="J14" s="22"/>
      <c r="K14" s="22"/>
      <c r="L14" s="12">
        <f ca="1">IFERROR(IF(AND(OR(LEFT(B14,FIND(" ",B14,1)-1)="Đồng",LEFT(B14,FIND(" ",B14,1)-1)="Nhôm"),E14&gt;(F14/10)),5%,0),"")</f>
        <v>0.05</v>
      </c>
      <c r="M14" s="153">
        <f ca="1">E14*F14*G14*H14</f>
        <v>864600</v>
      </c>
      <c r="N14" s="154">
        <f ca="1">IFERROR((E14*F14*G14*H14/10^6),0)*C14</f>
        <v>2.37765</v>
      </c>
      <c r="O14" s="11">
        <f ca="1">IFERROR(IF(H14&gt;50,E14*(H14*G14+(H14+2)*F14),IF(H14&gt;10,E14*(2*H14*G14+(H14+1)*F14),2*H14*E14*(F14+G14)))*6/M14,"")</f>
        <v>0.23650242886884107</v>
      </c>
      <c r="P14" s="12">
        <v>0.035</v>
      </c>
      <c r="Q14" s="153">
        <f ca="1">IFERROR(IF(H14&gt;50,E14*(H14*G14+(H14+2)*F14),IF(H14&gt;10,E14*(2*H14*G14+(H14+1)*F14),2*H14*E14*(F14+G14)))*1.2/N14,0)</f>
        <v>17200.176645006624</v>
      </c>
      <c r="R14" s="153">
        <f ca="1">IFERROR((D14*(1+O14+P14)+Q14)/(1-(I14*0.007/30)),"")</f>
        <v>169780.46810926756</v>
      </c>
      <c r="S14" s="11">
        <f ca="1">IFERROR(VLOOKUP(B14,DATA!$B$2:$D$6,2,0),"")</f>
        <v>0.17</v>
      </c>
      <c r="T14" s="157">
        <f ca="1">IFERROR(ROUND((R14/(1-S14)+($J$12+$K$12)/$N$56)/(1-L14),-3),"")</f>
        <v>215000</v>
      </c>
      <c r="U14" s="153">
        <f ca="1">IFERROR(ROUND(T14*N14,0),"")</f>
        <v>511195</v>
      </c>
      <c r="V14" s="150"/>
    </row>
    <row r="15" spans="1:23" ht="11.65" customHeight="1">
      <c r="A15" s="9"/>
      <c r="B15" s="10" t="s">
        <v>115</v>
      </c>
      <c r="C15" s="9">
        <f ca="1">IFERROR(VLOOKUP(B15,DATA!$B$2:$D$18,3,0),0)</f>
        <v>2.75</v>
      </c>
      <c r="D15" s="45">
        <v>120000</v>
      </c>
      <c r="E15" s="28">
        <v>12</v>
      </c>
      <c r="F15" s="28">
        <v>57</v>
      </c>
      <c r="G15" s="28">
        <v>655</v>
      </c>
      <c r="H15" s="22">
        <v>2</v>
      </c>
      <c r="I15" s="22"/>
      <c r="J15" s="45"/>
      <c r="K15" s="22"/>
      <c r="L15" s="12">
        <f ca="1">IFERROR(IF(AND(OR(LEFT(B15,FIND(" ",B15,1)-1)="Đồng",LEFT(B15,FIND(" ",B15,1)-1)="Nhôm"),E15&gt;(F15/10)),5%,0),"")</f>
        <v>0.05</v>
      </c>
      <c r="M15" s="41">
        <f ca="1">E15*F15*G15*H15</f>
        <v>896040</v>
      </c>
      <c r="N15" s="118">
        <f ca="1">IFERROR((E15*F15*G15*H15/10^6),0)*C15</f>
        <v>2.46411</v>
      </c>
      <c r="O15" s="11">
        <f ca="1">IFERROR(IF(H15&gt;50,E15*(H15*G15+(H15+2)*F15),IF(H15&gt;10,E15*(2*H15*G15+(H15+1)*F15),2*H15*E15*(F15+G15)))*6/M15,"")</f>
        <v>0.2288469264764966</v>
      </c>
      <c r="P15" s="12">
        <v>0.035</v>
      </c>
      <c r="Q15" s="41">
        <f ca="1">IFERROR(IF(H15&gt;50,E15*(H15*G15+(H15+2)*F15),IF(H15&gt;10,E15*(2*H15*G15+(H15+1)*F15),2*H15*E15*(F15+G15)))*1.2/N15,0)</f>
        <v>16643.412834654297</v>
      </c>
      <c r="R15" s="41">
        <f ca="1">IFERROR((D15*(1+O15+P15)+Q15)/(1-(I15*0.007/30)),"")</f>
        <v>168305.04401183387</v>
      </c>
      <c r="S15" s="11">
        <f ca="1">IFERROR(VLOOKUP(B15,DATA!$B$2:$D$6,2,0),"")</f>
        <v>0.17</v>
      </c>
      <c r="T15" s="157">
        <f ca="1">IFERROR(ROUND((R15/(1-S15)+($J$12+$K$12)/$N$56)/(1-L15),-3),"")</f>
        <v>213000</v>
      </c>
      <c r="U15" s="41">
        <f ca="1">IFERROR(ROUND(T15*N15,0),"")</f>
        <v>524855</v>
      </c>
      <c r="V15" s="150"/>
    </row>
    <row r="16" spans="1:23" ht="11.65" customHeight="1">
      <c r="A16" s="9"/>
      <c r="B16" s="10" t="s">
        <v>115</v>
      </c>
      <c r="C16" s="9">
        <f ca="1">IFERROR(VLOOKUP(B16,DATA!$B$2:$D$18,3,0),0)</f>
        <v>2.75</v>
      </c>
      <c r="D16" s="45">
        <v>130000</v>
      </c>
      <c r="E16" s="28">
        <v>12</v>
      </c>
      <c r="F16" s="28">
        <v>285</v>
      </c>
      <c r="G16" s="28">
        <v>655</v>
      </c>
      <c r="H16" s="22">
        <v>2</v>
      </c>
      <c r="I16" s="22"/>
      <c r="J16" s="45"/>
      <c r="K16" s="22"/>
      <c r="L16" s="12">
        <f ca="1">IFERROR(IF(AND(OR(LEFT(B16,FIND(" ",B16,1)-1)="Đồng",LEFT(B16,FIND(" ",B16,1)-1)="Nhôm"),E16&gt;(F16/10)),5%,0),"")</f>
        <v>0</v>
      </c>
      <c r="M16" s="41">
        <f ca="1">E16*F16*G16*H16</f>
        <v>4480200</v>
      </c>
      <c r="N16" s="118">
        <f ca="1">IFERROR((E16*F16*G16*H16/10^6),0)*C16</f>
        <v>12.32055</v>
      </c>
      <c r="O16" s="11">
        <f ca="1">IFERROR(IF(H16&gt;50,E16*(H16*G16+(H16+2)*F16),IF(H16&gt;10,E16*(2*H16*G16+(H16+1)*F16),2*H16*E16*(F16+G16)))*6/M16,"")</f>
        <v>0.06042587384491764</v>
      </c>
      <c r="P16" s="12">
        <v>0.035</v>
      </c>
      <c r="Q16" s="41">
        <f ca="1">IFERROR(IF(H16&gt;50,E16*(H16*G16+(H16+2)*F16),IF(H16&gt;10,E16*(2*H16*G16+(H16+1)*F16),2*H16*E16*(F16+G16)))*1.2/N16,0)</f>
        <v>4394.609006903101</v>
      </c>
      <c r="R16" s="41">
        <f ca="1">IFERROR((D16*(1+O16+P16)+Q16)/(1-(I16*0.007/30)),"")</f>
        <v>146799.9726067424</v>
      </c>
      <c r="S16" s="11">
        <f ca="1">IFERROR(VLOOKUP(B16,DATA!$B$2:$D$6,2,0),"")</f>
        <v>0.17</v>
      </c>
      <c r="T16" s="157">
        <f ca="1">IFERROR(ROUND((R16/(1-S16)+($J$12+$K$12)/$N$56)/(1-L16),-3),"")</f>
        <v>177000</v>
      </c>
      <c r="U16" s="41">
        <f ca="1">IFERROR(ROUND(T16*N16,0),"")</f>
        <v>2180737</v>
      </c>
      <c r="V16" s="150"/>
    </row>
    <row r="17" spans="1:23" ht="11.65" customHeight="1">
      <c r="A17" s="9"/>
      <c r="B17" s="10" t="s">
        <v>115</v>
      </c>
      <c r="C17" s="9">
        <f ca="1">IFERROR(VLOOKUP(B17,DATA!$B$2:$D$18,3,0),0)</f>
        <v>2.75</v>
      </c>
      <c r="D17" s="45">
        <v>130000</v>
      </c>
      <c r="E17" s="28">
        <v>12</v>
      </c>
      <c r="F17" s="28">
        <v>285</v>
      </c>
      <c r="G17" s="28">
        <v>655</v>
      </c>
      <c r="H17" s="22">
        <v>2</v>
      </c>
      <c r="I17" s="22"/>
      <c r="J17" s="45"/>
      <c r="K17" s="22"/>
      <c r="L17" s="12">
        <f ca="1">IFERROR(IF(AND(OR(LEFT(B17,FIND(" ",B17,1)-1)="Đồng",LEFT(B17,FIND(" ",B17,1)-1)="Nhôm"),E17&gt;(F17/10)),5%,0),"")</f>
        <v>0</v>
      </c>
      <c r="M17" s="41">
        <f ca="1">E17*F17*G17*H17</f>
        <v>4480200</v>
      </c>
      <c r="N17" s="118">
        <f ca="1">IFERROR((E17*F17*G17*H17/10^6),0)*C17</f>
        <v>12.32055</v>
      </c>
      <c r="O17" s="11">
        <f ca="1">IFERROR(IF(H17&gt;50,E17*(H17*G17+(H17+2)*F17),IF(H17&gt;10,E17*(2*H17*G17+(H17+1)*F17),2*H17*E17*(F17+G17)))*6/M17,"")</f>
        <v>0.06042587384491764</v>
      </c>
      <c r="P17" s="12">
        <v>0.035</v>
      </c>
      <c r="Q17" s="41">
        <f ca="1">IFERROR(IF(H17&gt;50,E17*(H17*G17+(H17+2)*F17),IF(H17&gt;10,E17*(2*H17*G17+(H17+1)*F17),2*H17*E17*(F17+G17)))*1.2/N17,0)</f>
        <v>4394.609006903101</v>
      </c>
      <c r="R17" s="41">
        <f ca="1">IFERROR((D17*(1+O17+P17)+Q17)/(1-(I17*0.007/30)),"")</f>
        <v>146799.9726067424</v>
      </c>
      <c r="S17" s="11">
        <f ca="1">IFERROR(VLOOKUP(B17,DATA!$B$2:$D$6,2,0),"")</f>
        <v>0.17</v>
      </c>
      <c r="T17" s="157">
        <f ca="1">IFERROR(ROUND((R17/(1-S17)+($J$12+$K$12)/$N$56)/(1-L17),-3),"")</f>
        <v>177000</v>
      </c>
      <c r="U17" s="41">
        <f ca="1">IFERROR(ROUND(T17*N17,0),"")</f>
        <v>2180737</v>
      </c>
      <c r="V17" s="150"/>
    </row>
    <row r="18" spans="1:23" ht="11.65" customHeight="1">
      <c r="A18" s="9"/>
      <c r="B18" s="10" t="s">
        <v>115</v>
      </c>
      <c r="C18" s="9">
        <f ca="1">IFERROR(VLOOKUP(B18,DATA!$B$2:$D$18,3,0),0)</f>
        <v>2.75</v>
      </c>
      <c r="D18" s="45">
        <v>130000</v>
      </c>
      <c r="E18" s="28">
        <v>12</v>
      </c>
      <c r="F18" s="28">
        <v>285</v>
      </c>
      <c r="G18" s="28">
        <v>655</v>
      </c>
      <c r="H18" s="22">
        <v>2</v>
      </c>
      <c r="I18" s="22"/>
      <c r="J18" s="45"/>
      <c r="K18" s="22"/>
      <c r="L18" s="12">
        <f ca="1">IFERROR(IF(AND(OR(LEFT(B18,FIND(" ",B18,1)-1)="Đồng",LEFT(B18,FIND(" ",B18,1)-1)="Nhôm"),E18&gt;(F18/10)),5%,0),"")</f>
        <v>0</v>
      </c>
      <c r="M18" s="41">
        <f ca="1">E18*F18*G18*H18</f>
        <v>4480200</v>
      </c>
      <c r="N18" s="118">
        <f ca="1">IFERROR((E18*F18*G18*H18/10^6),0)*C18</f>
        <v>12.32055</v>
      </c>
      <c r="O18" s="11">
        <f ca="1">IFERROR(IF(H18&gt;50,E18*(H18*G18+(H18+2)*F18),IF(H18&gt;10,E18*(2*H18*G18+(H18+1)*F18),2*H18*E18*(F18+G18)))*6/M18,"")</f>
        <v>0.06042587384491764</v>
      </c>
      <c r="P18" s="12">
        <v>0.035</v>
      </c>
      <c r="Q18" s="41">
        <f ca="1">IFERROR(IF(H18&gt;50,E18*(H18*G18+(H18+2)*F18),IF(H18&gt;10,E18*(2*H18*G18+(H18+1)*F18),2*H18*E18*(F18+G18)))*1.2/N18,0)</f>
        <v>4394.609006903101</v>
      </c>
      <c r="R18" s="41">
        <f ca="1">IFERROR((D18*(1+O18+P18)+Q18)/(1-(I18*0.007/30)),"")</f>
        <v>146799.9726067424</v>
      </c>
      <c r="S18" s="11">
        <f ca="1">IFERROR(VLOOKUP(B18,DATA!$B$2:$D$6,2,0),"")</f>
        <v>0.17</v>
      </c>
      <c r="T18" s="157">
        <f ca="1">IFERROR(ROUND((R18/(1-S18)+($J$12+$K$12)/$N$56)/(1-L18),-3),"")</f>
        <v>177000</v>
      </c>
      <c r="U18" s="41">
        <f ca="1">IFERROR(ROUND(T18*N18,0),"")</f>
        <v>2180737</v>
      </c>
      <c r="V18" s="150"/>
    </row>
    <row r="19" spans="1:23" ht="11.65" customHeight="1">
      <c r="A19" s="9"/>
      <c r="B19" s="10"/>
      <c r="C19" s="9">
        <f ca="1">IFERROR(VLOOKUP(B19,DATA!$B$2:$D$18,3,0),0)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ca="1">IFERROR(IF(AND(OR(LEFT(B19,FIND(" ",B19,1)-1)="Đồng",LEFT(B19,FIND(" ",B19,1)-1)="Nhôm"),E19&gt;(F19/10)),5%,0),"")</f>
      </c>
      <c r="M19" s="41">
        <f ca="1">E19*F19*G19*H19</f>
        <v>0</v>
      </c>
      <c r="N19" s="118">
        <f ca="1">IFERROR((E19*F19*G19*H19/10^6),0)*C19</f>
        <v>0</v>
      </c>
      <c r="O19" s="11" t="str">
        <f ca="1">IFERROR(IF(H19&gt;50,E19*(H19*G19+(H19+2)*F19),IF(H19&gt;10,E19*(2*H19*G19+(H19+1)*F19),2*H19*E19*(F19+G19)))*6/M19,"")</f>
      </c>
      <c r="P19" s="12">
        <v>0.035</v>
      </c>
      <c r="Q19" s="41">
        <f ca="1">IFERROR(IF(H19&gt;50,E19*(H19*G19+(H19+2)*F19),IF(H19&gt;10,E19*(2*H19*G19+(H19+1)*F19),2*H19*E19*(F19+G19)))*1.2/N19,0)</f>
        <v>0</v>
      </c>
      <c r="R19" s="41" t="str">
        <f ca="1">IFERROR((D19*(1+O19+P19)+Q19)/(1-(I19*0.007/30)),"")</f>
      </c>
      <c r="S19" s="11" t="str">
        <f ca="1">IFERROR(VLOOKUP(B19,DATA!$B$2:$D$6,2,0),"")</f>
      </c>
      <c r="T19" s="157" t="str">
        <f ca="1">IFERROR(ROUND((R19/(1-S19)+($J$12+$K$12)/$N$56)/(1-L19),-3),"")</f>
      </c>
      <c r="U19" s="41" t="str">
        <f ca="1">IFERROR(ROUND(T19*N19,0),"")</f>
      </c>
      <c r="V19" s="150"/>
    </row>
    <row r="20" spans="1:23" ht="11.65" customHeight="1">
      <c r="A20" s="9"/>
      <c r="B20" s="10"/>
      <c r="C20" s="9">
        <f ca="1">IFERROR(VLOOKUP(B20,DATA!$B$2:$D$18,3,0),0)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ca="1">IFERROR(IF(AND(OR(LEFT(B20,FIND(" ",B20,1)-1)="Đồng",LEFT(B20,FIND(" ",B20,1)-1)="Nhôm"),E20&gt;(F20/10)),5%,0),"")</f>
      </c>
      <c r="M20" s="41">
        <f ca="1">E20*F20*G20*H20</f>
        <v>0</v>
      </c>
      <c r="N20" s="118">
        <f ca="1">IFERROR((E20*F20*G20*H20/10^6),0)*C20</f>
        <v>0</v>
      </c>
      <c r="O20" s="11" t="str">
        <f ca="1">IFERROR(IF(H20&gt;50,E20*(H20*G20+(H20+2)*F20),IF(H20&gt;10,E20*(2*H20*G20+(H20+1)*F20),2*H20*E20*(F20+G20)))*6/M20,"")</f>
      </c>
      <c r="P20" s="12">
        <v>0.035</v>
      </c>
      <c r="Q20" s="41">
        <f ca="1">IFERROR(IF(H20&gt;50,E20*(H20*G20+(H20+2)*F20),IF(H20&gt;10,E20*(2*H20*G20+(H20+1)*F20),2*H20*E20*(F20+G20)))*1.2/N20,0)</f>
        <v>0</v>
      </c>
      <c r="R20" s="41" t="str">
        <f ca="1">IFERROR((D20*(1+O20+P20)+Q20)/(1-(I20*0.007/30)),"")</f>
      </c>
      <c r="S20" s="11" t="str">
        <f ca="1">IFERROR(VLOOKUP(B20,DATA!$B$2:$D$6,2,0),"")</f>
      </c>
      <c r="T20" s="157" t="str">
        <f ca="1">IFERROR(ROUND((R20/(1-S20)+($J$12+$K$12)/$N$56)/(1-L20),-3),"")</f>
      </c>
      <c r="U20" s="41" t="str">
        <f ca="1">IFERROR(ROUND(T20*N20,0),"")</f>
      </c>
      <c r="V20" s="150"/>
    </row>
    <row r="21" spans="1:23" ht="11.65" customHeight="1">
      <c r="A21" s="9"/>
      <c r="B21" s="10"/>
      <c r="C21" s="9">
        <f ca="1">IFERROR(VLOOKUP(B21,DATA!$B$2:$D$18,3,0),0)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ca="1">IFERROR(IF(AND(OR(LEFT(B21,FIND(" ",B21,1)-1)="Đồng",LEFT(B21,FIND(" ",B21,1)-1)="Nhôm"),E21&gt;(F21/10)),5%,0),"")</f>
      </c>
      <c r="M21" s="41">
        <f ca="1">E21*F21*G21*H21</f>
        <v>0</v>
      </c>
      <c r="N21" s="118">
        <f ca="1">IFERROR((E21*F21*G21*H21/10^6),0)*C21</f>
        <v>0</v>
      </c>
      <c r="O21" s="11" t="str">
        <f ca="1">IFERROR(IF(H21&gt;50,E21*(H21*G21+(H21+2)*F21),IF(H21&gt;10,E21*(2*H21*G21+(H21+1)*F21),2*H21*E21*(F21+G21)))*6/M21,"")</f>
      </c>
      <c r="P21" s="12">
        <v>0.035</v>
      </c>
      <c r="Q21" s="41">
        <f ca="1">IFERROR(IF(H21&gt;50,E21*(H21*G21+(H21+2)*F21),IF(H21&gt;10,E21*(2*H21*G21+(H21+1)*F21),2*H21*E21*(F21+G21)))*1.2/N21,0)</f>
        <v>0</v>
      </c>
      <c r="R21" s="41" t="str">
        <f ca="1">IFERROR((D21*(1+O21+P21)+Q21)/(1-(I21*0.007/30)),"")</f>
      </c>
      <c r="S21" s="11" t="str">
        <f ca="1">IFERROR(VLOOKUP(B21,DATA!$B$2:$D$6,2,0),"")</f>
      </c>
      <c r="T21" s="157" t="str">
        <f ca="1">IFERROR(ROUND((R21/(1-S21)+($J$12+$K$12)/$N$56)/(1-L21),-3),"")</f>
      </c>
      <c r="U21" s="41" t="str">
        <f ca="1">IFERROR(ROUND(T21*N21,0),"")</f>
      </c>
      <c r="V21" s="150"/>
    </row>
    <row r="22" spans="1:23" ht="11.65" customHeight="1">
      <c r="A22" s="9"/>
      <c r="B22" s="10"/>
      <c r="C22" s="9">
        <f ca="1">IFERROR(VLOOKUP(B22,DATA!$B$2:$D$18,3,0),0)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ca="1">IFERROR(IF(AND(OR(LEFT(B22,FIND(" ",B22,1)-1)="Đồng",LEFT(B22,FIND(" ",B22,1)-1)="Nhôm"),E22&gt;(F22/10)),5%,0),"")</f>
      </c>
      <c r="M22" s="41">
        <f ca="1">E22*F22*G22*H22</f>
        <v>0</v>
      </c>
      <c r="N22" s="118">
        <f ca="1">IFERROR((E22*F22*G22*H22/10^6),0)*C22</f>
        <v>0</v>
      </c>
      <c r="O22" s="11" t="str">
        <f ca="1">IFERROR(IF(H22&gt;50,E22*(H22*G22+(H22+2)*F22),IF(H22&gt;10,E22*(2*H22*G22+(H22+1)*F22),2*H22*E22*(F22+G22)))*6/M22,"")</f>
      </c>
      <c r="P22" s="12">
        <v>0.035</v>
      </c>
      <c r="Q22" s="41">
        <f ca="1">IFERROR(IF(H22&gt;50,E22*(H22*G22+(H22+2)*F22),IF(H22&gt;10,E22*(2*H22*G22+(H22+1)*F22),2*H22*E22*(F22+G22)))*1.2/N22,0)</f>
        <v>0</v>
      </c>
      <c r="R22" s="41" t="str">
        <f ca="1">IFERROR((D22*(1+O22+P22)+Q22)/(1-(I22*0.007/30)),"")</f>
      </c>
      <c r="S22" s="11" t="str">
        <f ca="1">IFERROR(VLOOKUP(B22,DATA!$B$2:$D$6,2,0),"")</f>
      </c>
      <c r="T22" s="157" t="str">
        <f ca="1">IFERROR(ROUND((R22/(1-S22)+($J$12+$K$12)/$N$56)/(1-L22),-3),"")</f>
      </c>
      <c r="U22" s="41" t="str">
        <f ca="1">IFERROR(ROUND(T22*N22,0),"")</f>
      </c>
      <c r="V22" s="150"/>
    </row>
    <row r="23" spans="1:23" ht="11.65" customHeight="1">
      <c r="A23" s="9"/>
      <c r="B23" s="10"/>
      <c r="C23" s="9">
        <f ca="1">IFERROR(VLOOKUP(B23,DATA!$B$2:$D$18,3,0),0)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ca="1">IFERROR(IF(AND(OR(LEFT(B23,FIND(" ",B23,1)-1)="Đồng",LEFT(B23,FIND(" ",B23,1)-1)="Nhôm"),E23&gt;(F23/10)),5%,0),"")</f>
      </c>
      <c r="M23" s="41">
        <f ca="1">E23*F23*G23*H23</f>
        <v>0</v>
      </c>
      <c r="N23" s="118">
        <f ca="1">IFERROR((E23*F23*G23*H23/10^6),0)*C23</f>
        <v>0</v>
      </c>
      <c r="O23" s="11" t="str">
        <f ca="1">IFERROR(IF(H23&gt;50,E23*(H23*G23+(H23+2)*F23),IF(H23&gt;10,E23*(2*H23*G23+(H23+1)*F23),2*H23*E23*(F23+G23)))*6/M23,"")</f>
      </c>
      <c r="P23" s="12">
        <v>0.035</v>
      </c>
      <c r="Q23" s="41">
        <f ca="1">IFERROR(IF(H23&gt;50,E23*(H23*G23+(H23+2)*F23),IF(H23&gt;10,E23*(2*H23*G23+(H23+1)*F23),2*H23*E23*(F23+G23)))*1.2/N23,0)</f>
        <v>0</v>
      </c>
      <c r="R23" s="41" t="str">
        <f ca="1">IFERROR((D23*(1+O23+P23)+Q23)/(1-(I23*0.007/30)),"")</f>
      </c>
      <c r="S23" s="11" t="str">
        <f ca="1">IFERROR(VLOOKUP(B23,DATA!$B$2:$D$6,2,0),"")</f>
      </c>
      <c r="T23" s="157" t="str">
        <f ca="1">IFERROR(ROUND((R23/(1-S23)+($J$12+$K$12)/$N$56)/(1-L23),-3),"")</f>
      </c>
      <c r="U23" s="41" t="str">
        <f ca="1">IFERROR(ROUND(T23*N23,0),"")</f>
      </c>
      <c r="V23" s="150"/>
    </row>
    <row r="24" spans="1:23" ht="11.65" customHeight="1">
      <c r="A24" s="9"/>
      <c r="B24" s="10"/>
      <c r="C24" s="9">
        <f ca="1">IFERROR(VLOOKUP(B24,DATA!$B$2:$D$18,3,0),0)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ca="1">IFERROR(IF(AND(OR(LEFT(B24,FIND(" ",B24,1)-1)="Đồng",LEFT(B24,FIND(" ",B24,1)-1)="Nhôm"),E24&gt;(F24/10)),5%,0),"")</f>
      </c>
      <c r="M24" s="41">
        <f ca="1">E24*F24*G24*H24</f>
        <v>0</v>
      </c>
      <c r="N24" s="118">
        <f ca="1">IFERROR((E24*F24*G24*H24/10^6),0)*C24</f>
        <v>0</v>
      </c>
      <c r="O24" s="11" t="str">
        <f ca="1">IFERROR(IF(H24&gt;50,E24*(H24*G24+(H24+2)*F24),IF(H24&gt;10,E24*(2*H24*G24+(H24+1)*F24),2*H24*E24*(F24+G24)))*6/M24,"")</f>
      </c>
      <c r="P24" s="12">
        <v>0.035</v>
      </c>
      <c r="Q24" s="41">
        <f ca="1">IFERROR(IF(H24&gt;50,E24*(H24*G24+(H24+2)*F24),IF(H24&gt;10,E24*(2*H24*G24+(H24+1)*F24),2*H24*E24*(F24+G24)))*1.2/N24,0)</f>
        <v>0</v>
      </c>
      <c r="R24" s="41" t="str">
        <f ca="1">IFERROR((D24*(1+O24+P24)+Q24)/(1-(I24*0.007/30)),"")</f>
      </c>
      <c r="S24" s="11" t="str">
        <f ca="1">IFERROR(VLOOKUP(B24,DATA!$B$2:$D$6,2,0),"")</f>
      </c>
      <c r="T24" s="157" t="str">
        <f ca="1">IFERROR(ROUND((R24/(1-S24)+($J$12+$K$12)/$N$56)/(1-L24),-3),"")</f>
      </c>
      <c r="U24" s="41" t="str">
        <f ca="1">IFERROR(ROUND(T24*N24,0),"")</f>
      </c>
      <c r="V24" s="150"/>
    </row>
    <row r="25" spans="1:23" ht="11.65" customHeight="1">
      <c r="A25" s="9"/>
      <c r="B25" s="10"/>
      <c r="C25" s="9">
        <f ca="1">IFERROR(VLOOKUP(B25,DATA!$B$2:$D$18,3,0),0)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ca="1">IFERROR(IF(AND(OR(LEFT(B25,FIND(" ",B25,1)-1)="Đồng",LEFT(B25,FIND(" ",B25,1)-1)="Nhôm"),E25&gt;(F25/10)),5%,0),"")</f>
      </c>
      <c r="M25" s="41">
        <f ca="1">E25*F25*G25*H25</f>
        <v>0</v>
      </c>
      <c r="N25" s="118">
        <f ca="1">IFERROR((E25*F25*G25*H25/10^6),0)*C25</f>
        <v>0</v>
      </c>
      <c r="O25" s="11" t="str">
        <f ca="1">IFERROR(IF(H25&gt;50,E25*(H25*G25+(H25+2)*F25),IF(H25&gt;10,E25*(2*H25*G25+(H25+1)*F25),2*H25*E25*(F25+G25)))*6/M25,"")</f>
      </c>
      <c r="P25" s="12">
        <v>0.035</v>
      </c>
      <c r="Q25" s="41">
        <f ca="1">IFERROR(IF(H25&gt;50,E25*(H25*G25+(H25+2)*F25),IF(H25&gt;10,E25*(2*H25*G25+(H25+1)*F25),2*H25*E25*(F25+G25)))*1.2/N25,0)</f>
        <v>0</v>
      </c>
      <c r="R25" s="41" t="str">
        <f ca="1">IFERROR((D25*(1+O25+P25)+Q25)/(1-(I25*0.007/30)),"")</f>
      </c>
      <c r="S25" s="11" t="str">
        <f ca="1">IFERROR(VLOOKUP(B25,DATA!$B$2:$D$6,2,0),"")</f>
      </c>
      <c r="T25" s="157" t="str">
        <f ca="1">IFERROR(ROUND((R25/(1-S25)+($J$12+$K$12)/$N$56)/(1-L25),-3),"")</f>
      </c>
      <c r="U25" s="41" t="str">
        <f ca="1">IFERROR(ROUND(T25*N25,0),"")</f>
      </c>
      <c r="V25" s="150"/>
    </row>
    <row r="26" spans="1:23" ht="11.65" customHeight="1">
      <c r="A26" s="9"/>
      <c r="B26" s="10"/>
      <c r="C26" s="9">
        <f ca="1">IFERROR(VLOOKUP(B26,DATA!$B$2:$D$18,3,0),0)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ca="1">IFERROR(IF(AND(OR(LEFT(B26,FIND(" ",B26,1)-1)="Đồng",LEFT(B26,FIND(" ",B26,1)-1)="Nhôm"),E26&gt;(F26/10)),5%,0),"")</f>
      </c>
      <c r="M26" s="41">
        <f ca="1">E26*F26*G26*H26</f>
        <v>0</v>
      </c>
      <c r="N26" s="118">
        <f ca="1">IFERROR((E26*F26*G26*H26/10^6),0)*C26</f>
        <v>0</v>
      </c>
      <c r="O26" s="11" t="str">
        <f ca="1">IFERROR(IF(H26&gt;50,E26*(H26*G26+(H26+2)*F26),IF(H26&gt;10,E26*(2*H26*G26+(H26+1)*F26),2*H26*E26*(F26+G26)))*6/M26,"")</f>
      </c>
      <c r="P26" s="12">
        <v>0.035</v>
      </c>
      <c r="Q26" s="41">
        <f ca="1">IFERROR(IF(H26&gt;50,E26*(H26*G26+(H26+2)*F26),IF(H26&gt;10,E26*(2*H26*G26+(H26+1)*F26),2*H26*E26*(F26+G26)))*1.2/N26,0)</f>
        <v>0</v>
      </c>
      <c r="R26" s="41" t="str">
        <f ca="1">IFERROR((D26*(1+O26+P26)+Q26)/(1-(I26*0.007/30)),"")</f>
      </c>
      <c r="S26" s="11" t="str">
        <f ca="1">IFERROR(VLOOKUP(B26,DATA!$B$2:$D$6,2,0),"")</f>
      </c>
      <c r="T26" s="157" t="str">
        <f ca="1">IFERROR(ROUND((R26/(1-S26)+($J$12+$K$12)/$N$56)/(1-L26),-3),"")</f>
      </c>
      <c r="U26" s="41" t="str">
        <f ca="1">IFERROR(ROUND(T26*N26,0),"")</f>
      </c>
      <c r="V26" s="150"/>
    </row>
    <row r="27" spans="1:23" ht="11.65" customHeight="1">
      <c r="A27" s="9"/>
      <c r="B27" s="10"/>
      <c r="C27" s="9">
        <f ca="1">IFERROR(VLOOKUP(B27,DATA!$B$2:$D$18,3,0),0)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ca="1">IFERROR(IF(AND(OR(LEFT(B27,FIND(" ",B27,1)-1)="Đồng",LEFT(B27,FIND(" ",B27,1)-1)="Nhôm"),E27&gt;(F27/10)),5%,0),"")</f>
      </c>
      <c r="M27" s="41">
        <f ca="1">E27*F27*G27*H27</f>
        <v>0</v>
      </c>
      <c r="N27" s="118">
        <f ca="1">IFERROR((E27*F27*G27*H27/10^6),0)*C27</f>
        <v>0</v>
      </c>
      <c r="O27" s="11" t="str">
        <f ca="1">IFERROR(IF(H27&gt;50,E27*(H27*G27+(H27+2)*F27),IF(H27&gt;10,E27*(2*H27*G27+(H27+1)*F27),2*H27*E27*(F27+G27)))*6/M27,"")</f>
      </c>
      <c r="P27" s="12">
        <v>0.035</v>
      </c>
      <c r="Q27" s="41">
        <f ca="1">IFERROR(IF(H27&gt;50,E27*(H27*G27+(H27+2)*F27),IF(H27&gt;10,E27*(2*H27*G27+(H27+1)*F27),2*H27*E27*(F27+G27)))*1.2/N27,0)</f>
        <v>0</v>
      </c>
      <c r="R27" s="41" t="str">
        <f ca="1">IFERROR((D27*(1+O27+P27)+Q27)/(1-(I27*0.007/30)),"")</f>
      </c>
      <c r="S27" s="11" t="str">
        <f ca="1">IFERROR(VLOOKUP(B27,DATA!$B$2:$D$6,2,0),"")</f>
      </c>
      <c r="T27" s="157" t="str">
        <f ca="1">IFERROR(ROUND((R27/(1-S27)+($J$12+$K$12)/$N$56)/(1-L27),-3),"")</f>
      </c>
      <c r="U27" s="41" t="str">
        <f ca="1">IFERROR(ROUND(T27*N27,0),"")</f>
      </c>
      <c r="V27" s="150"/>
    </row>
    <row r="28" spans="1:23" ht="11.65" customHeight="1">
      <c r="A28" s="9"/>
      <c r="B28" s="10"/>
      <c r="C28" s="9">
        <f ca="1">IFERROR(VLOOKUP(B28,DATA!$B$2:$D$18,3,0),0)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ca="1">IFERROR(IF(AND(OR(LEFT(B28,FIND(" ",B28,1)-1)="Đồng",LEFT(B28,FIND(" ",B28,1)-1)="Nhôm"),E28&gt;(F28/10)),5%,0),"")</f>
      </c>
      <c r="M28" s="41">
        <f ca="1">E28*F28*G28*H28</f>
        <v>0</v>
      </c>
      <c r="N28" s="118">
        <f ca="1">IFERROR((E28*F28*G28*H28/10^6),0)*C28</f>
        <v>0</v>
      </c>
      <c r="O28" s="11" t="str">
        <f ca="1">IFERROR(IF(H28&gt;50,E28*(H28*G28+(H28+2)*F28),IF(H28&gt;10,E28*(2*H28*G28+(H28+1)*F28),2*H28*E28*(F28+G28)))*6/M28,"")</f>
      </c>
      <c r="P28" s="12">
        <v>0.035</v>
      </c>
      <c r="Q28" s="41">
        <f ca="1">IFERROR(IF(H28&gt;50,E28*(H28*G28+(H28+2)*F28),IF(H28&gt;10,E28*(2*H28*G28+(H28+1)*F28),2*H28*E28*(F28+G28)))*1.2/N28,0)</f>
        <v>0</v>
      </c>
      <c r="R28" s="41" t="str">
        <f ca="1">IFERROR((D28*(1+O28+P28)+Q28)/(1-(I28*0.007/30)),"")</f>
      </c>
      <c r="S28" s="11" t="str">
        <f ca="1">IFERROR(VLOOKUP(B28,DATA!$B$2:$D$6,2,0),"")</f>
      </c>
      <c r="T28" s="157" t="str">
        <f ca="1">IFERROR(ROUND((R28/(1-S28)+($J$12+$K$12)/$N$56)/(1-L28),-3),"")</f>
      </c>
      <c r="U28" s="41" t="str">
        <f ca="1">IFERROR(ROUND(T28*N28,0),"")</f>
      </c>
      <c r="V28" s="150"/>
    </row>
    <row r="29" spans="1:23" ht="11.65" customHeight="1">
      <c r="A29" s="9"/>
      <c r="B29" s="10"/>
      <c r="C29" s="9">
        <f ca="1">IFERROR(VLOOKUP(B29,DATA!$B$2:$D$18,3,0),0)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ca="1">IFERROR(IF(AND(OR(LEFT(B29,FIND(" ",B29,1)-1)="Đồng",LEFT(B29,FIND(" ",B29,1)-1)="Nhôm"),E29&gt;(F29/10)),5%,0),"")</f>
      </c>
      <c r="M29" s="41">
        <f ca="1">E29*F29*G29*H29</f>
        <v>0</v>
      </c>
      <c r="N29" s="118">
        <f ca="1">IFERROR((E29*F29*G29*H29/10^6),0)*C29</f>
        <v>0</v>
      </c>
      <c r="O29" s="11" t="str">
        <f ca="1">IFERROR(IF(H29&gt;50,E29*(H29*G29+(H29+2)*F29),IF(H29&gt;10,E29*(2*H29*G29+(H29+1)*F29),2*H29*E29*(F29+G29)))*6/M29,"")</f>
      </c>
      <c r="P29" s="12">
        <v>0.035</v>
      </c>
      <c r="Q29" s="41">
        <f ca="1">IFERROR(IF(H29&gt;50,E29*(H29*G29+(H29+2)*F29),IF(H29&gt;10,E29*(2*H29*G29+(H29+1)*F29),2*H29*E29*(F29+G29)))*1.2/N29,0)</f>
        <v>0</v>
      </c>
      <c r="R29" s="41" t="str">
        <f ca="1">IFERROR((D29*(1+O29+P29)+Q29)/(1-(I29*0.007/30)),"")</f>
      </c>
      <c r="S29" s="11" t="str">
        <f ca="1">IFERROR(VLOOKUP(B29,DATA!$B$2:$D$6,2,0),"")</f>
      </c>
      <c r="T29" s="157" t="str">
        <f ca="1">IFERROR(ROUND((R29/(1-S29)+($J$12+$K$12)/$N$56)/(1-L29),-3),"")</f>
      </c>
      <c r="U29" s="41" t="str">
        <f ca="1">IFERROR(ROUND(T29*N29,0),"")</f>
      </c>
      <c r="V29" s="150"/>
    </row>
    <row r="30" spans="1:23" ht="11.65" customHeight="1">
      <c r="A30" s="9"/>
      <c r="B30" s="10"/>
      <c r="C30" s="9">
        <f ca="1">IFERROR(VLOOKUP(B30,DATA!$B$2:$D$18,3,0),0)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ca="1">IFERROR(IF(AND(OR(LEFT(B30,FIND(" ",B30,1)-1)="Đồng",LEFT(B30,FIND(" ",B30,1)-1)="Nhôm"),E30&gt;(F30/10)),5%,0),"")</f>
      </c>
      <c r="M30" s="41">
        <f ca="1">E30*F30*G30*H30</f>
        <v>0</v>
      </c>
      <c r="N30" s="118">
        <f ca="1">IFERROR((E30*F30*G30*H30/10^6),0)*C30</f>
        <v>0</v>
      </c>
      <c r="O30" s="11" t="str">
        <f ca="1">IFERROR(IF(H30&gt;50,E30*(H30*G30+(H30+2)*F30),IF(H30&gt;10,E30*(2*H30*G30+(H30+1)*F30),2*H30*E30*(F30+G30)))*6/M30,"")</f>
      </c>
      <c r="P30" s="12">
        <v>0.035</v>
      </c>
      <c r="Q30" s="41">
        <f ca="1">IFERROR(IF(H30&gt;50,E30*(H30*G30+(H30+2)*F30),IF(H30&gt;10,E30*(2*H30*G30+(H30+1)*F30),2*H30*E30*(F30+G30)))*1.2/N30,0)</f>
        <v>0</v>
      </c>
      <c r="R30" s="41" t="str">
        <f ca="1">IFERROR((D30*(1+O30+P30)+Q30)/(1-(I30*0.007/30)),"")</f>
      </c>
      <c r="S30" s="11" t="str">
        <f ca="1">IFERROR(VLOOKUP(B30,DATA!$B$2:$D$6,2,0),"")</f>
      </c>
      <c r="T30" s="157" t="str">
        <f ca="1">IFERROR(ROUND((R30/(1-S30)+($J$12+$K$12)/$N$56)/(1-L30),-3),"")</f>
      </c>
      <c r="U30" s="41" t="str">
        <f ca="1">IFERROR(ROUND(T30*N30,0),"")</f>
      </c>
      <c r="V30" s="150"/>
    </row>
    <row r="31" spans="1:23" ht="11.65" customHeight="1">
      <c r="A31" s="9"/>
      <c r="B31" s="10"/>
      <c r="C31" s="9">
        <f ca="1">IFERROR(VLOOKUP(B31,DATA!$B$2:$D$18,3,0),0)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ca="1">IFERROR(IF(AND(OR(LEFT(B31,FIND(" ",B31,1)-1)="Đồng",LEFT(B31,FIND(" ",B31,1)-1)="Nhôm"),E31&gt;(F31/10)),5%,0),"")</f>
      </c>
      <c r="M31" s="41">
        <f ca="1">E31*F31*G31*H31</f>
        <v>0</v>
      </c>
      <c r="N31" s="118">
        <f ca="1">IFERROR((E31*F31*G31*H31/10^6),0)*C31</f>
        <v>0</v>
      </c>
      <c r="O31" s="11" t="str">
        <f ca="1">IFERROR(IF(H31&gt;50,E31*(H31*G31+(H31+2)*F31),IF(H31&gt;10,E31*(2*H31*G31+(H31+1)*F31),2*H31*E31*(F31+G31)))*6/M31,"")</f>
      </c>
      <c r="P31" s="12">
        <v>0.035</v>
      </c>
      <c r="Q31" s="41">
        <f ca="1">IFERROR(IF(H31&gt;50,E31*(H31*G31+(H31+2)*F31),IF(H31&gt;10,E31*(2*H31*G31+(H31+1)*F31),2*H31*E31*(F31+G31)))*1.2/N31,0)</f>
        <v>0</v>
      </c>
      <c r="R31" s="41" t="str">
        <f ca="1">IFERROR((D31*(1+O31+P31)+Q31)/(1-(I31*0.007/30)),"")</f>
      </c>
      <c r="S31" s="11" t="str">
        <f ca="1">IFERROR(VLOOKUP(B31,DATA!$B$2:$D$6,2,0),"")</f>
      </c>
      <c r="T31" s="157" t="str">
        <f ca="1">IFERROR(ROUND((R31/(1-S31)+($J$12+$K$12)/$N$56)/(1-L31),-3),"")</f>
      </c>
      <c r="U31" s="41" t="str">
        <f ca="1">IFERROR(ROUND(T31*N31,0),"")</f>
      </c>
      <c r="V31" s="150"/>
    </row>
    <row r="32" spans="1:23" ht="11.65" customHeight="1">
      <c r="A32" s="9"/>
      <c r="B32" s="10"/>
      <c r="C32" s="9">
        <f ca="1">IFERROR(VLOOKUP(B32,DATA!$B$2:$D$18,3,0),0)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ca="1">IFERROR(IF(AND(OR(LEFT(B32,FIND(" ",B32,1)-1)="Đồng",LEFT(B32,FIND(" ",B32,1)-1)="Nhôm"),E32&gt;(F32/10)),5%,0),"")</f>
      </c>
      <c r="M32" s="41">
        <f ca="1">E32*F32*G32*H32</f>
        <v>0</v>
      </c>
      <c r="N32" s="118">
        <f ca="1">IFERROR((E32*F32*G32*H32/10^6),0)*C32</f>
        <v>0</v>
      </c>
      <c r="O32" s="11" t="str">
        <f ca="1">IFERROR(IF(H32&gt;50,E32*(H32*G32+(H32+2)*F32),IF(H32&gt;10,E32*(2*H32*G32+(H32+1)*F32),2*H32*E32*(F32+G32)))*6/M32,"")</f>
      </c>
      <c r="P32" s="12">
        <v>0.035</v>
      </c>
      <c r="Q32" s="41">
        <f ca="1">IFERROR(IF(H32&gt;50,E32*(H32*G32+(H32+2)*F32),IF(H32&gt;10,E32*(2*H32*G32+(H32+1)*F32),2*H32*E32*(F32+G32)))*1.2/N32,0)</f>
        <v>0</v>
      </c>
      <c r="R32" s="41" t="str">
        <f ca="1">IFERROR((D32*(1+O32+P32)+Q32)/(1-(I32*0.007/30)),"")</f>
      </c>
      <c r="S32" s="11" t="str">
        <f ca="1">IFERROR(VLOOKUP(B32,DATA!$B$2:$D$6,2,0),"")</f>
      </c>
      <c r="T32" s="157" t="str">
        <f ca="1">IFERROR(ROUND((R32/(1-S32)+($J$12+$K$12)/$N$56)/(1-L32),-3),"")</f>
      </c>
      <c r="U32" s="41" t="str">
        <f ca="1">IFERROR(ROUND(T32*N32,0),"")</f>
      </c>
      <c r="V32" s="150"/>
    </row>
    <row r="33" spans="1:23" ht="11.65" customHeight="1">
      <c r="A33" s="9"/>
      <c r="B33" s="10"/>
      <c r="C33" s="9">
        <f ca="1">IFERROR(VLOOKUP(B33,DATA!$B$2:$D$18,3,0),0)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ca="1">IFERROR(IF(AND(OR(LEFT(B33,FIND(" ",B33,1)-1)="Đồng",LEFT(B33,FIND(" ",B33,1)-1)="Nhôm"),E33&gt;(F33/10)),5%,0),"")</f>
      </c>
      <c r="M33" s="41">
        <f ca="1">E33*F33*G33*H33</f>
        <v>0</v>
      </c>
      <c r="N33" s="118">
        <f ca="1">IFERROR((E33*F33*G33*H33/10^6),0)*C33</f>
        <v>0</v>
      </c>
      <c r="O33" s="11" t="str">
        <f ca="1">IFERROR(IF(H33&gt;50,E33*(H33*G33+(H33+2)*F33),IF(H33&gt;10,E33*(2*H33*G33+(H33+1)*F33),2*H33*E33*(F33+G33)))*6/M33,"")</f>
      </c>
      <c r="P33" s="12">
        <v>0.035</v>
      </c>
      <c r="Q33" s="41">
        <f ca="1">IFERROR(IF(H33&gt;50,E33*(H33*G33+(H33+2)*F33),IF(H33&gt;10,E33*(2*H33*G33+(H33+1)*F33),2*H33*E33*(F33+G33)))*1.2/N33,0)</f>
        <v>0</v>
      </c>
      <c r="R33" s="41" t="str">
        <f ca="1">IFERROR((D33*(1+O33+P33)+Q33)/(1-(I33*0.007/30)),"")</f>
      </c>
      <c r="S33" s="11" t="str">
        <f ca="1">IFERROR(VLOOKUP(B33,DATA!$B$2:$D$6,2,0),"")</f>
      </c>
      <c r="T33" s="157" t="str">
        <f ca="1">IFERROR(ROUND((R33/(1-S33)+($J$12+$K$12)/$N$56)/(1-L33),-3),"")</f>
      </c>
      <c r="U33" s="41" t="str">
        <f ca="1">IFERROR(ROUND(T33*N33,0),"")</f>
      </c>
      <c r="V33" s="150"/>
    </row>
    <row r="34" spans="1:22" ht="11.65" customHeight="1">
      <c r="A34" s="9"/>
      <c r="B34" s="10"/>
      <c r="C34" s="9">
        <f ca="1">IFERROR(VLOOKUP(B34,DATA!$B$2:$D$18,3,0),0)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ca="1">IFERROR(IF(AND(OR(LEFT(B34,FIND(" ",B34,1)-1)="Đồng",LEFT(B34,FIND(" ",B34,1)-1)="Nhôm"),E34&gt;(F34/10)),5%,0),"")</f>
      </c>
      <c r="M34" s="41">
        <f ca="1">E34*F34*G34*H34</f>
        <v>0</v>
      </c>
      <c r="N34" s="118">
        <f ca="1">IFERROR((E34*F34*G34*H34/10^6),0)*C34</f>
        <v>0</v>
      </c>
      <c r="O34" s="11" t="str">
        <f ca="1">IFERROR(IF(H34&gt;50,E34*(H34*G34+(H34+2)*F34),IF(H34&gt;10,E34*(2*H34*G34+(H34+1)*F34),2*H34*E34*(F34+G34)))*6/M34,"")</f>
      </c>
      <c r="P34" s="12">
        <v>0.035</v>
      </c>
      <c r="Q34" s="41">
        <f ca="1">IFERROR(IF(H34&gt;50,E34*(H34*G34+(H34+2)*F34),IF(H34&gt;10,E34*(2*H34*G34+(H34+1)*F34),2*H34*E34*(F34+G34)))*1.2/N34,0)</f>
        <v>0</v>
      </c>
      <c r="R34" s="41" t="str">
        <f ca="1">IFERROR((D34*(1+O34+P34)+Q34)/(1-(I34*0.007/30)),"")</f>
      </c>
      <c r="S34" s="11" t="str">
        <f ca="1">IFERROR(VLOOKUP(B34,DATA!$B$2:$D$6,2,0),"")</f>
      </c>
      <c r="T34" s="157" t="str">
        <f ca="1">IFERROR(ROUND((R34/(1-S34)+($J$12+$K$12)/$N$56)/(1-L34),-3),"")</f>
      </c>
      <c r="U34" s="41" t="str">
        <f ca="1">IFERROR(ROUND(T34*N34,0),"")</f>
      </c>
    </row>
    <row r="35" spans="1:22" ht="11.65" customHeight="1">
      <c r="A35" s="9"/>
      <c r="B35" s="10"/>
      <c r="C35" s="9">
        <f ca="1">IFERROR(VLOOKUP(B35,DATA!$B$2:$D$18,3,0),0)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ca="1">IFERROR(IF(AND(OR(LEFT(B35,FIND(" ",B35,1)-1)="Đồng",LEFT(B35,FIND(" ",B35,1)-1)="Nhôm"),E35&gt;(F35/10)),5%,0),"")</f>
      </c>
      <c r="M35" s="41">
        <f ca="1">E35*F35*G35*H35</f>
        <v>0</v>
      </c>
      <c r="N35" s="118">
        <f ca="1">IFERROR((E35*F35*G35*H35/10^6),0)*C35</f>
        <v>0</v>
      </c>
      <c r="O35" s="11" t="str">
        <f ca="1">IFERROR(IF(H35&gt;50,E35*(H35*G35+(H35+2)*F35),IF(H35&gt;10,E35*(2*H35*G35+(H35+1)*F35),2*H35*E35*(F35+G35)))*6/M35,"")</f>
      </c>
      <c r="P35" s="12">
        <v>0.035</v>
      </c>
      <c r="Q35" s="41">
        <f ca="1">IFERROR(IF(H35&gt;50,E35*(H35*G35+(H35+2)*F35),IF(H35&gt;10,E35*(2*H35*G35+(H35+1)*F35),2*H35*E35*(F35+G35)))*1.2/N35,0)</f>
        <v>0</v>
      </c>
      <c r="R35" s="41" t="str">
        <f ca="1">IFERROR((D35*(1+O35+P35)+Q35)/(1-(I35*0.007/30)),"")</f>
      </c>
      <c r="S35" s="11" t="str">
        <f ca="1">IFERROR(VLOOKUP(B35,DATA!$B$2:$D$6,2,0),"")</f>
      </c>
      <c r="T35" s="157" t="str">
        <f ca="1">IFERROR(ROUND((R35/(1-S35)+($J$12+$K$12)/$N$56)/(1-L35),-3),"")</f>
      </c>
      <c r="U35" s="41" t="str">
        <f ca="1">IFERROR(ROUND(T35*N35,0),"")</f>
      </c>
    </row>
    <row r="36" spans="1:22" ht="11.65" customHeight="1">
      <c r="A36" s="9"/>
      <c r="B36" s="10"/>
      <c r="C36" s="9">
        <f ca="1">IFERROR(VLOOKUP(B36,DATA!$B$2:$D$18,3,0),0)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ca="1">IFERROR(IF(AND(OR(LEFT(B36,FIND(" ",B36,1)-1)="Đồng",LEFT(B36,FIND(" ",B36,1)-1)="Nhôm"),E36&gt;(F36/10)),5%,0),"")</f>
      </c>
      <c r="M36" s="41">
        <f ca="1">E36*F36*G36*H36</f>
        <v>0</v>
      </c>
      <c r="N36" s="118">
        <f ca="1">IFERROR((E36*F36*G36*H36/10^6),0)*C36</f>
        <v>0</v>
      </c>
      <c r="O36" s="11" t="str">
        <f ca="1">IFERROR(IF(H36&gt;50,E36*(H36*G36+(H36+2)*F36),IF(H36&gt;10,E36*(2*H36*G36+(H36+1)*F36),2*H36*E36*(F36+G36)))*6/M36,"")</f>
      </c>
      <c r="P36" s="12">
        <v>0.035</v>
      </c>
      <c r="Q36" s="41">
        <f ca="1">IFERROR(IF(H36&gt;50,E36*(H36*G36+(H36+2)*F36),IF(H36&gt;10,E36*(2*H36*G36+(H36+1)*F36),2*H36*E36*(F36+G36)))*1.2/N36,0)</f>
        <v>0</v>
      </c>
      <c r="R36" s="41" t="str">
        <f ca="1">IFERROR((D36*(1+O36+P36)+Q36)/(1-(I36*0.007/30)),"")</f>
      </c>
      <c r="S36" s="11" t="str">
        <f ca="1">IFERROR(VLOOKUP(B36,DATA!$B$2:$D$6,2,0),"")</f>
      </c>
      <c r="T36" s="157" t="str">
        <f ca="1">IFERROR(ROUND((R36/(1-S36)+($J$12+$K$12)/$N$56)/(1-L36),-3),"")</f>
      </c>
      <c r="U36" s="41" t="str">
        <f ca="1">IFERROR(ROUND(T36*N36,0),"")</f>
      </c>
    </row>
    <row r="37" spans="1:22" ht="11.65" customHeight="1">
      <c r="A37" s="9"/>
      <c r="B37" s="10"/>
      <c r="C37" s="9">
        <f ca="1">IFERROR(VLOOKUP(B37,DATA!$B$2:$D$18,3,0),0)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ca="1">IFERROR(IF(AND(OR(LEFT(B37,FIND(" ",B37,1)-1)="Đồng",LEFT(B37,FIND(" ",B37,1)-1)="Nhôm"),E37&gt;(F37/10)),5%,0),"")</f>
      </c>
      <c r="M37" s="41">
        <f ca="1">E37*F37*G37*H37</f>
        <v>0</v>
      </c>
      <c r="N37" s="118">
        <f ca="1">IFERROR((E37*F37*G37*H37/10^6),0)*C37</f>
        <v>0</v>
      </c>
      <c r="O37" s="11" t="str">
        <f ca="1">IFERROR(IF(H37&gt;50,E37*(H37*G37+(H37+2)*F37),IF(H37&gt;10,E37*(2*H37*G37+(H37+1)*F37),2*H37*E37*(F37+G37)))*6/M37,"")</f>
      </c>
      <c r="P37" s="12">
        <v>0.035</v>
      </c>
      <c r="Q37" s="41">
        <f ca="1">IFERROR(IF(H37&gt;50,E37*(H37*G37+(H37+2)*F37),IF(H37&gt;10,E37*(2*H37*G37+(H37+1)*F37),2*H37*E37*(F37+G37)))*1.2/N37,0)</f>
        <v>0</v>
      </c>
      <c r="R37" s="41" t="str">
        <f ca="1">IFERROR((D37*(1+O37+P37)+Q37)/(1-(I37*0.007/30)),"")</f>
      </c>
      <c r="S37" s="11" t="str">
        <f ca="1">IFERROR(VLOOKUP(B37,DATA!$B$2:$D$6,2,0),"")</f>
      </c>
      <c r="T37" s="157" t="str">
        <f ca="1">IFERROR(ROUND((R37/(1-S37)+($J$12+$K$12)/$N$56)/(1-L37),-3),"")</f>
      </c>
      <c r="U37" s="41" t="str">
        <f ca="1">IFERROR(ROUND(T37*N37,0),"")</f>
      </c>
    </row>
    <row r="38" spans="1:22" ht="11.65" customHeight="1">
      <c r="A38" s="9"/>
      <c r="B38" s="10"/>
      <c r="C38" s="9">
        <f ca="1">IFERROR(VLOOKUP(B38,DATA!$B$2:$D$18,3,0),0)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ca="1">IFERROR(IF(AND(OR(LEFT(B38,FIND(" ",B38,1)-1)="Đồng",LEFT(B38,FIND(" ",B38,1)-1)="Nhôm"),E38&gt;(F38/10)),5%,0),"")</f>
      </c>
      <c r="M38" s="41">
        <f ca="1">E38*F38*G38*H38</f>
        <v>0</v>
      </c>
      <c r="N38" s="118">
        <f ca="1">IFERROR((E38*F38*G38*H38/10^6),0)*C38</f>
        <v>0</v>
      </c>
      <c r="O38" s="11" t="str">
        <f ca="1">IFERROR(IF(H38&gt;50,E38*(H38*G38+(H38+2)*F38),IF(H38&gt;10,E38*(2*H38*G38+(H38+1)*F38),2*H38*E38*(F38+G38)))*6/M38,"")</f>
      </c>
      <c r="P38" s="12">
        <v>0.035</v>
      </c>
      <c r="Q38" s="41">
        <f ca="1">IFERROR(IF(H38&gt;50,E38*(H38*G38+(H38+2)*F38),IF(H38&gt;10,E38*(2*H38*G38+(H38+1)*F38),2*H38*E38*(F38+G38)))*1.2/N38,0)</f>
        <v>0</v>
      </c>
      <c r="R38" s="41" t="str">
        <f ca="1">IFERROR((D38*(1+O38+P38)+Q38)/(1-(I38*0.007/30)),"")</f>
      </c>
      <c r="S38" s="11" t="str">
        <f ca="1">IFERROR(VLOOKUP(B38,DATA!$B$2:$D$6,2,0),"")</f>
      </c>
      <c r="T38" s="157" t="str">
        <f ca="1">IFERROR(ROUND((R38/(1-S38)+($J$12+$K$12)/$N$56)/(1-L38),-3),"")</f>
      </c>
      <c r="U38" s="41" t="str">
        <f ca="1">IFERROR(ROUND(T38*N38,0),"")</f>
      </c>
    </row>
    <row r="39" spans="1:22" ht="11.65" customHeight="1">
      <c r="A39" s="9"/>
      <c r="B39" s="10"/>
      <c r="C39" s="9">
        <f ca="1">IFERROR(VLOOKUP(B39,DATA!$B$2:$D$18,3,0),0)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ca="1">IFERROR(IF(AND(OR(LEFT(B39,FIND(" ",B39,1)-1)="Đồng",LEFT(B39,FIND(" ",B39,1)-1)="Nhôm"),E39&gt;(F39/10)),5%,0),"")</f>
      </c>
      <c r="M39" s="41">
        <f ca="1">E39*F39*G39*H39</f>
        <v>0</v>
      </c>
      <c r="N39" s="118">
        <f ca="1">IFERROR((E39*F39*G39*H39/10^6),0)*C39</f>
        <v>0</v>
      </c>
      <c r="O39" s="11" t="str">
        <f ca="1">IFERROR(IF(H39&gt;50,E39*(H39*G39+(H39+2)*F39),IF(H39&gt;10,E39*(2*H39*G39+(H39+1)*F39),2*H39*E39*(F39+G39)))*6/M39,"")</f>
      </c>
      <c r="P39" s="12">
        <v>0.035</v>
      </c>
      <c r="Q39" s="41">
        <f ca="1">IFERROR(IF(H39&gt;50,E39*(H39*G39+(H39+2)*F39),IF(H39&gt;10,E39*(2*H39*G39+(H39+1)*F39),2*H39*E39*(F39+G39)))*1.2/N39,0)</f>
        <v>0</v>
      </c>
      <c r="R39" s="41" t="str">
        <f ca="1">IFERROR((D39*(1+O39+P39)+Q39)/(1-(I39*0.007/30)),"")</f>
      </c>
      <c r="S39" s="11" t="str">
        <f ca="1">IFERROR(VLOOKUP(B39,DATA!$B$2:$D$6,2,0),"")</f>
      </c>
      <c r="T39" s="157" t="str">
        <f ca="1">IFERROR(ROUND((R39/(1-S39)+($J$12+$K$12)/$N$56)/(1-L39),-3),"")</f>
      </c>
      <c r="U39" s="41" t="str">
        <f ca="1">IFERROR(ROUND(T39*N39,0),"")</f>
      </c>
    </row>
    <row r="40" spans="1:22" ht="11.65" customHeight="1">
      <c r="A40" s="9"/>
      <c r="B40" s="10"/>
      <c r="C40" s="9">
        <f ca="1">IFERROR(VLOOKUP(B40,DATA!$B$2:$D$18,3,0),0)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ca="1">IFERROR(IF(AND(OR(LEFT(B40,FIND(" ",B40,1)-1)="Đồng",LEFT(B40,FIND(" ",B40,1)-1)="Nhôm"),E40&gt;(F40/10)),5%,0),"")</f>
      </c>
      <c r="M40" s="41">
        <f ca="1">E40*F40*G40*H40</f>
        <v>0</v>
      </c>
      <c r="N40" s="118">
        <f ca="1">IFERROR((E40*F40*G40*H40/10^6),0)*C40</f>
        <v>0</v>
      </c>
      <c r="O40" s="11" t="str">
        <f ca="1">IFERROR(IF(H40&gt;50,E40*(H40*G40+(H40+2)*F40),IF(H40&gt;10,E40*(2*H40*G40+(H40+1)*F40),2*H40*E40*(F40+G40)))*6/M40,"")</f>
      </c>
      <c r="P40" s="12">
        <v>0.035</v>
      </c>
      <c r="Q40" s="41">
        <f ca="1">IFERROR(IF(H40&gt;50,E40*(H40*G40+(H40+2)*F40),IF(H40&gt;10,E40*(2*H40*G40+(H40+1)*F40),2*H40*E40*(F40+G40)))*1.2/N40,0)</f>
        <v>0</v>
      </c>
      <c r="R40" s="41" t="str">
        <f ca="1">IFERROR((D40*(1+O40+P40)+Q40)/(1-(I40*0.007/30)),"")</f>
      </c>
      <c r="S40" s="11" t="str">
        <f ca="1">IFERROR(VLOOKUP(B40,DATA!$B$2:$D$6,2,0),"")</f>
      </c>
      <c r="T40" s="157" t="str">
        <f ca="1">IFERROR(ROUND((R40/(1-S40)+($J$12+$K$12)/$N$56)/(1-L40),-3),"")</f>
      </c>
      <c r="U40" s="41" t="str">
        <f ca="1">IFERROR(ROUND(T40*N40,0),"")</f>
      </c>
    </row>
    <row r="41" spans="1:22" ht="11.65" customHeight="1">
      <c r="A41" s="9"/>
      <c r="B41" s="10"/>
      <c r="C41" s="9">
        <f ca="1">IFERROR(VLOOKUP(B41,DATA!$B$2:$D$18,3,0),0)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ca="1">IFERROR(IF(AND(OR(LEFT(B41,FIND(" ",B41,1)-1)="Đồng",LEFT(B41,FIND(" ",B41,1)-1)="Nhôm"),E41&gt;(F41/10)),5%,0),"")</f>
      </c>
      <c r="M41" s="41">
        <f ca="1">E41*F41*G41*H41</f>
        <v>0</v>
      </c>
      <c r="N41" s="118">
        <f ca="1">IFERROR((E41*F41*G41*H41/10^6),0)*C41</f>
        <v>0</v>
      </c>
      <c r="O41" s="11" t="str">
        <f ca="1">IFERROR(IF(H41&gt;50,E41*(H41*G41+(H41+2)*F41),IF(H41&gt;10,E41*(2*H41*G41+(H41+1)*F41),2*H41*E41*(F41+G41)))*6/M41,"")</f>
      </c>
      <c r="P41" s="12">
        <v>0.035</v>
      </c>
      <c r="Q41" s="41">
        <f ca="1">IFERROR(IF(H41&gt;50,E41*(H41*G41+(H41+2)*F41),IF(H41&gt;10,E41*(2*H41*G41+(H41+1)*F41),2*H41*E41*(F41+G41)))*1.2/N41,0)</f>
        <v>0</v>
      </c>
      <c r="R41" s="41" t="str">
        <f ca="1">IFERROR((D41*(1+O41+P41)+Q41)/(1-(I41*0.007/30)),"")</f>
      </c>
      <c r="S41" s="11" t="str">
        <f ca="1">IFERROR(VLOOKUP(B41,DATA!$B$2:$D$6,2,0),"")</f>
      </c>
      <c r="T41" s="157" t="str">
        <f ca="1">IFERROR(ROUND((R41/(1-S41)+($J$12+$K$12)/$N$56)/(1-L41),-3),"")</f>
      </c>
      <c r="U41" s="41" t="str">
        <f ca="1">IFERROR(ROUND(T41*N41,0),"")</f>
      </c>
    </row>
    <row r="42" spans="1:22" ht="11.65" customHeight="1">
      <c r="A42" s="9"/>
      <c r="B42" s="10"/>
      <c r="C42" s="9">
        <f ca="1">IFERROR(VLOOKUP(B42,DATA!$B$2:$D$18,3,0),0)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ca="1">IFERROR(IF(AND(OR(LEFT(B42,FIND(" ",B42,1)-1)="Đồng",LEFT(B42,FIND(" ",B42,1)-1)="Nhôm"),E42&gt;(F42/10)),5%,0),"")</f>
      </c>
      <c r="M42" s="41">
        <f ca="1">E42*F42*G42*H42</f>
        <v>0</v>
      </c>
      <c r="N42" s="118">
        <f ca="1">IFERROR((E42*F42*G42*H42/10^6),0)*C42</f>
        <v>0</v>
      </c>
      <c r="O42" s="11" t="str">
        <f ca="1">IFERROR(IF(H42&gt;50,E42*(H42*G42+(H42+2)*F42),IF(H42&gt;10,E42*(2*H42*G42+(H42+1)*F42),2*H42*E42*(F42+G42)))*6/M42,"")</f>
      </c>
      <c r="P42" s="12">
        <v>0.035</v>
      </c>
      <c r="Q42" s="41">
        <f ca="1">IFERROR(IF(H42&gt;50,E42*(H42*G42+(H42+2)*F42),IF(H42&gt;10,E42*(2*H42*G42+(H42+1)*F42),2*H42*E42*(F42+G42)))*1.2/N42,0)</f>
        <v>0</v>
      </c>
      <c r="R42" s="41" t="str">
        <f ca="1">IFERROR((D42*(1+O42+P42)+Q42)/(1-(I42*0.007/30)),"")</f>
      </c>
      <c r="S42" s="11" t="str">
        <f ca="1">IFERROR(VLOOKUP(B42,DATA!$B$2:$D$6,2,0),"")</f>
      </c>
      <c r="T42" s="157" t="str">
        <f ca="1">IFERROR(ROUND((R42/(1-S42)+($J$12+$K$12)/$N$56)/(1-L42),-3),"")</f>
      </c>
      <c r="U42" s="41" t="str">
        <f ca="1">IFERROR(ROUND(T42*N42,0),"")</f>
      </c>
    </row>
    <row r="43" spans="1:22" ht="11.65" customHeight="1">
      <c r="A43" s="9"/>
      <c r="B43" s="10"/>
      <c r="C43" s="9">
        <f ca="1">IFERROR(VLOOKUP(B43,DATA!$B$2:$D$18,3,0),0)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ca="1">IFERROR(IF(AND(OR(LEFT(B43,FIND(" ",B43,1)-1)="Đồng",LEFT(B43,FIND(" ",B43,1)-1)="Nhôm"),E43&gt;(F43/10)),5%,0),"")</f>
      </c>
      <c r="M43" s="41">
        <f ca="1">E43*F43*G43*H43</f>
        <v>0</v>
      </c>
      <c r="N43" s="118">
        <f ca="1">IFERROR((E43*F43*G43*H43/10^6),0)*C43</f>
        <v>0</v>
      </c>
      <c r="O43" s="11" t="str">
        <f ca="1">IFERROR(IF(H43&gt;50,E43*(H43*G43+(H43+2)*F43),IF(H43&gt;10,E43*(2*H43*G43+(H43+1)*F43),2*H43*E43*(F43+G43)))*6/M43,"")</f>
      </c>
      <c r="P43" s="12">
        <v>0.035</v>
      </c>
      <c r="Q43" s="41">
        <f ca="1">IFERROR(IF(H43&gt;50,E43*(H43*G43+(H43+2)*F43),IF(H43&gt;10,E43*(2*H43*G43+(H43+1)*F43),2*H43*E43*(F43+G43)))*1.2/N43,0)</f>
        <v>0</v>
      </c>
      <c r="R43" s="41" t="str">
        <f ca="1">IFERROR((D43*(1+O43+P43)+Q43)/(1-(I43*0.007/30)),"")</f>
      </c>
      <c r="S43" s="11" t="str">
        <f ca="1">IFERROR(VLOOKUP(B43,DATA!$B$2:$D$6,2,0),"")</f>
      </c>
      <c r="T43" s="157" t="str">
        <f ca="1">IFERROR(ROUND((R43/(1-S43)+($J$12+$K$12)/$N$56)/(1-L43),-3),"")</f>
      </c>
      <c r="U43" s="41" t="str">
        <f ca="1">IFERROR(ROUND(T43*N43,0),"")</f>
      </c>
    </row>
    <row r="44" spans="1:22" ht="11.65" customHeight="1">
      <c r="A44" s="9"/>
      <c r="B44" s="10"/>
      <c r="C44" s="9">
        <f ca="1">IFERROR(VLOOKUP(B44,DATA!$B$2:$D$18,3,0),0)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ca="1">IFERROR(IF(AND(OR(LEFT(B44,FIND(" ",B44,1)-1)="Đồng",LEFT(B44,FIND(" ",B44,1)-1)="Nhôm"),E44&gt;(F44/10)),5%,0),"")</f>
      </c>
      <c r="M44" s="41">
        <f ca="1">E44*F44*G44*H44</f>
        <v>0</v>
      </c>
      <c r="N44" s="118">
        <f ca="1">IFERROR((E44*F44*G44*H44/10^6),0)*C44</f>
        <v>0</v>
      </c>
      <c r="O44" s="11" t="str">
        <f ca="1">IFERROR(IF(H44&gt;50,E44*(H44*G44+(H44+2)*F44),IF(H44&gt;10,E44*(2*H44*G44+(H44+1)*F44),2*H44*E44*(F44+G44)))*6/M44,"")</f>
      </c>
      <c r="P44" s="12">
        <v>0.035</v>
      </c>
      <c r="Q44" s="41">
        <f ca="1">IFERROR(IF(H44&gt;50,E44*(H44*G44+(H44+2)*F44),IF(H44&gt;10,E44*(2*H44*G44+(H44+1)*F44),2*H44*E44*(F44+G44)))*1.2/N44,0)</f>
        <v>0</v>
      </c>
      <c r="R44" s="41" t="str">
        <f ca="1">IFERROR((D44*(1+O44+P44)+Q44)/(1-(I44*0.007/30)),"")</f>
      </c>
      <c r="S44" s="11" t="str">
        <f ca="1">IFERROR(VLOOKUP(B44,DATA!$B$2:$D$6,2,0),"")</f>
      </c>
      <c r="T44" s="157" t="str">
        <f ca="1">IFERROR(ROUND((R44/(1-S44)+($J$12+$K$12)/$N$56)/(1-L44),-3),"")</f>
      </c>
      <c r="U44" s="41" t="str">
        <f ca="1">IFERROR(ROUND(T44*N44,0),"")</f>
      </c>
    </row>
    <row r="45" spans="1:22" ht="11.65" customHeight="1">
      <c r="A45" s="9"/>
      <c r="B45" s="10"/>
      <c r="C45" s="9">
        <f ca="1">IFERROR(VLOOKUP(B45,DATA!$B$2:$D$18,3,0),0)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ca="1">IFERROR(IF(AND(OR(LEFT(B45,FIND(" ",B45,1)-1)="Đồng",LEFT(B45,FIND(" ",B45,1)-1)="Nhôm"),E45&gt;(F45/10)),5%,0),"")</f>
      </c>
      <c r="M45" s="41">
        <f ca="1">E45*F45*G45*H45</f>
        <v>0</v>
      </c>
      <c r="N45" s="118">
        <f ca="1">IFERROR((E45*F45*G45*H45/10^6),0)*C45</f>
        <v>0</v>
      </c>
      <c r="O45" s="11" t="str">
        <f ca="1">IFERROR(IF(H45&gt;50,E45*(H45*G45+(H45+2)*F45),IF(H45&gt;10,E45*(2*H45*G45+(H45+1)*F45),2*H45*E45*(F45+G45)))*6/M45,"")</f>
      </c>
      <c r="P45" s="12">
        <v>0.035</v>
      </c>
      <c r="Q45" s="41">
        <f ca="1">IFERROR(IF(H45&gt;50,E45*(H45*G45+(H45+2)*F45),IF(H45&gt;10,E45*(2*H45*G45+(H45+1)*F45),2*H45*E45*(F45+G45)))*1.2/N45,0)</f>
        <v>0</v>
      </c>
      <c r="R45" s="41" t="str">
        <f ca="1">IFERROR((D45*(1+O45+P45)+Q45)/(1-(I45*0.007/30)),"")</f>
      </c>
      <c r="S45" s="11" t="str">
        <f ca="1">IFERROR(VLOOKUP(B45,DATA!$B$2:$D$6,2,0),"")</f>
      </c>
      <c r="T45" s="157" t="str">
        <f ca="1">IFERROR(ROUND((R45/(1-S45)+($J$12+$K$12)/$N$56)/(1-L45),-3),"")</f>
      </c>
      <c r="U45" s="41" t="str">
        <f ca="1">IFERROR(ROUND(T45*N45,0),"")</f>
      </c>
    </row>
    <row r="46" spans="1:22" ht="11.65" customHeight="1">
      <c r="A46" s="9"/>
      <c r="B46" s="10"/>
      <c r="C46" s="9">
        <f ca="1">IFERROR(VLOOKUP(B46,DATA!$B$2:$D$18,3,0),0)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ca="1">IFERROR(IF(AND(OR(LEFT(B46,FIND(" ",B46,1)-1)="Đồng",LEFT(B46,FIND(" ",B46,1)-1)="Nhôm"),E46&gt;(F46/10)),5%,0),"")</f>
      </c>
      <c r="M46" s="41">
        <f ca="1">E46*F46*G46*H46</f>
        <v>0</v>
      </c>
      <c r="N46" s="118">
        <f ca="1">IFERROR((E46*F46*G46*H46/10^6),0)*C46</f>
        <v>0</v>
      </c>
      <c r="O46" s="11" t="str">
        <f ca="1">IFERROR(IF(H46&gt;50,E46*(H46*G46+(H46+2)*F46),IF(H46&gt;10,E46*(2*H46*G46+(H46+1)*F46),2*H46*E46*(F46+G46)))*6/M46,"")</f>
      </c>
      <c r="P46" s="12">
        <v>0.035</v>
      </c>
      <c r="Q46" s="41">
        <f ca="1">IFERROR(IF(H46&gt;50,E46*(H46*G46+(H46+2)*F46),IF(H46&gt;10,E46*(2*H46*G46+(H46+1)*F46),2*H46*E46*(F46+G46)))*1.2/N46,0)</f>
        <v>0</v>
      </c>
      <c r="R46" s="41" t="str">
        <f ca="1">IFERROR((D46*(1+O46+P46)+Q46)/(1-(I46*0.007/30)),"")</f>
      </c>
      <c r="S46" s="11" t="str">
        <f ca="1">IFERROR(VLOOKUP(B46,DATA!$B$2:$D$6,2,0),"")</f>
      </c>
      <c r="T46" s="157" t="str">
        <f ca="1">IFERROR(ROUND((R46/(1-S46)+($J$12+$K$12)/$N$56)/(1-L46),-3),"")</f>
      </c>
      <c r="U46" s="41" t="str">
        <f ca="1">IFERROR(ROUND(T46*N46,0),"")</f>
      </c>
    </row>
    <row r="47" spans="1:22" ht="11.65" customHeight="1">
      <c r="A47" s="9"/>
      <c r="B47" s="10"/>
      <c r="C47" s="9">
        <f ca="1">IFERROR(VLOOKUP(B47,DATA!$B$2:$D$18,3,0),0)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ca="1">IFERROR(IF(AND(OR(LEFT(B47,FIND(" ",B47,1)-1)="Đồng",LEFT(B47,FIND(" ",B47,1)-1)="Nhôm"),E47&gt;(F47/10)),5%,0),"")</f>
      </c>
      <c r="M47" s="41">
        <f ca="1">E47*F47*G47*H47</f>
        <v>0</v>
      </c>
      <c r="N47" s="118">
        <f ca="1">IFERROR((E47*F47*G47*H47/10^6),0)*C47</f>
        <v>0</v>
      </c>
      <c r="O47" s="11" t="str">
        <f ca="1">IFERROR(IF(H47&gt;50,E47*(H47*G47+(H47+2)*F47),IF(H47&gt;10,E47*(2*H47*G47+(H47+1)*F47),2*H47*E47*(F47+G47)))*6/M47,"")</f>
      </c>
      <c r="P47" s="12">
        <v>0.035</v>
      </c>
      <c r="Q47" s="41">
        <f ca="1">IFERROR(IF(H47&gt;50,E47*(H47*G47+(H47+2)*F47),IF(H47&gt;10,E47*(2*H47*G47+(H47+1)*F47),2*H47*E47*(F47+G47)))*1.2/N47,0)</f>
        <v>0</v>
      </c>
      <c r="R47" s="41" t="str">
        <f ca="1">IFERROR((D47*(1+O47+P47)+Q47)/(1-(I47*0.007/30)),"")</f>
      </c>
      <c r="S47" s="11" t="str">
        <f ca="1">IFERROR(VLOOKUP(B47,DATA!$B$2:$D$6,2,0),"")</f>
      </c>
      <c r="T47" s="157" t="str">
        <f ca="1">IFERROR(ROUND((R47/(1-S47)+($J$12+$K$12)/$N$56)/(1-L47),-3),"")</f>
      </c>
      <c r="U47" s="41" t="str">
        <f ca="1">IFERROR(ROUND(T47*N47,0),"")</f>
      </c>
    </row>
    <row r="48" spans="1:22" ht="11.65" customHeight="1">
      <c r="A48" s="9"/>
      <c r="B48" s="10"/>
      <c r="C48" s="9">
        <f ca="1">IFERROR(VLOOKUP(B48,DATA!$B$2:$D$18,3,0),0)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ca="1">IFERROR(IF(AND(OR(LEFT(B48,FIND(" ",B48,1)-1)="Đồng",LEFT(B48,FIND(" ",B48,1)-1)="Nhôm"),E48&gt;(F48/10)),5%,0),"")</f>
      </c>
      <c r="M48" s="41">
        <f ca="1">E48*F48*G48*H48</f>
        <v>0</v>
      </c>
      <c r="N48" s="118">
        <f ca="1">IFERROR((E48*F48*G48*H48/10^6),0)*C48</f>
        <v>0</v>
      </c>
      <c r="O48" s="11" t="str">
        <f ca="1">IFERROR(IF(H48&gt;50,E48*(H48*G48+(H48+2)*F48),IF(H48&gt;10,E48*(2*H48*G48+(H48+1)*F48),2*H48*E48*(F48+G48)))*6/M48,"")</f>
      </c>
      <c r="P48" s="12">
        <v>0.035</v>
      </c>
      <c r="Q48" s="41">
        <f ca="1">IFERROR(IF(H48&gt;50,E48*(H48*G48+(H48+2)*F48),IF(H48&gt;10,E48*(2*H48*G48+(H48+1)*F48),2*H48*E48*(F48+G48)))*1.2/N48,0)</f>
        <v>0</v>
      </c>
      <c r="R48" s="41" t="str">
        <f ca="1">IFERROR((D48*(1+O48+P48)+Q48)/(1-(I48*0.007/30)),"")</f>
      </c>
      <c r="S48" s="11" t="str">
        <f ca="1">IFERROR(VLOOKUP(B48,DATA!$B$2:$D$6,2,0),"")</f>
      </c>
      <c r="T48" s="157" t="str">
        <f ca="1">IFERROR(ROUND((R48/(1-S48)+($J$12+$K$12)/$N$56)/(1-L48),-3),"")</f>
      </c>
      <c r="U48" s="41" t="str">
        <f ca="1">IFERROR(ROUND(T48*N48,0),"")</f>
      </c>
    </row>
    <row r="49" spans="1:22" ht="11.65" customHeight="1">
      <c r="A49" s="9"/>
      <c r="B49" s="10"/>
      <c r="C49" s="9">
        <f ca="1">IFERROR(VLOOKUP(B49,DATA!$B$2:$D$18,3,0),0)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ca="1">IFERROR(IF(AND(OR(LEFT(B49,FIND(" ",B49,1)-1)="Đồng",LEFT(B49,FIND(" ",B49,1)-1)="Nhôm"),E49&gt;(F49/10)),5%,0),"")</f>
      </c>
      <c r="M49" s="41">
        <f ca="1">E49*F49*G49*H49</f>
        <v>0</v>
      </c>
      <c r="N49" s="118">
        <f ca="1">IFERROR((E49*F49*G49*H49/10^6),0)*C49</f>
        <v>0</v>
      </c>
      <c r="O49" s="11" t="str">
        <f ca="1">IFERROR(IF(H49&gt;50,E49*(H49*G49+(H49+2)*F49),IF(H49&gt;10,E49*(2*H49*G49+(H49+1)*F49),2*H49*E49*(F49+G49)))*6/M49,"")</f>
      </c>
      <c r="P49" s="12">
        <v>0.035</v>
      </c>
      <c r="Q49" s="41">
        <f ca="1">IFERROR(IF(H49&gt;50,E49*(H49*G49+(H49+2)*F49),IF(H49&gt;10,E49*(2*H49*G49+(H49+1)*F49),2*H49*E49*(F49+G49)))*1.2/N49,0)</f>
        <v>0</v>
      </c>
      <c r="R49" s="41" t="str">
        <f ca="1">IFERROR((D49*(1+O49+P49)+Q49)/(1-(I49*0.007/30)),"")</f>
      </c>
      <c r="S49" s="11" t="str">
        <f ca="1">IFERROR(VLOOKUP(B49,DATA!$B$2:$D$6,2,0),"")</f>
      </c>
      <c r="T49" s="157" t="str">
        <f ca="1">IFERROR(ROUND((R49/(1-S49)+($J$12+$K$12)/$N$56)/(1-L49),-3),"")</f>
      </c>
      <c r="U49" s="41" t="str">
        <f ca="1">IFERROR(ROUND(T49*N49,0),"")</f>
      </c>
    </row>
    <row r="50" spans="1:22" ht="11.65" customHeight="1">
      <c r="A50" s="9"/>
      <c r="B50" s="10"/>
      <c r="C50" s="9">
        <f ca="1">IFERROR(VLOOKUP(B50,DATA!$B$2:$D$18,3,0),0)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ca="1">IFERROR(IF(AND(OR(LEFT(B50,FIND(" ",B50,1)-1)="Đồng",LEFT(B50,FIND(" ",B50,1)-1)="Nhôm"),E50&gt;(F50/10)),5%,0),"")</f>
      </c>
      <c r="M50" s="41">
        <f ca="1">E50*F50*G50*H50</f>
        <v>0</v>
      </c>
      <c r="N50" s="118">
        <f ca="1">IFERROR((E50*F50*G50*H50/10^6),0)*C50</f>
        <v>0</v>
      </c>
      <c r="O50" s="11" t="str">
        <f ca="1">IFERROR(IF(H50&gt;50,E50*(H50*G50+(H50+2)*F50),IF(H50&gt;10,E50*(2*H50*G50+(H50+1)*F50),2*H50*E50*(F50+G50)))*6/M50,"")</f>
      </c>
      <c r="P50" s="12">
        <v>0.035</v>
      </c>
      <c r="Q50" s="41">
        <f ca="1">IFERROR(IF(H50&gt;50,E50*(H50*G50+(H50+2)*F50),IF(H50&gt;10,E50*(2*H50*G50+(H50+1)*F50),2*H50*E50*(F50+G50)))*1.2/N50,0)</f>
        <v>0</v>
      </c>
      <c r="R50" s="41" t="str">
        <f ca="1">IFERROR((D50*(1+O50+P50)+Q50)/(1-(I50*0.007/30)),"")</f>
      </c>
      <c r="S50" s="11" t="str">
        <f ca="1">IFERROR(VLOOKUP(B50,DATA!$B$2:$D$6,2,0),"")</f>
      </c>
      <c r="T50" s="157" t="str">
        <f ca="1">IFERROR(ROUND((R50/(1-S50)+($J$12+$K$12)/$N$56)/(1-L50),-3),"")</f>
      </c>
      <c r="U50" s="41" t="str">
        <f ca="1">IFERROR(ROUND(T50*N50,0),"")</f>
      </c>
    </row>
    <row r="51" spans="1:22" ht="11.65" customHeight="1">
      <c r="A51" s="9"/>
      <c r="B51" s="10"/>
      <c r="C51" s="9">
        <f ca="1">IFERROR(VLOOKUP(B51,DATA!$B$2:$D$18,3,0),0)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ca="1">IFERROR(IF(AND(OR(LEFT(B51,FIND(" ",B51,1)-1)="Đồng",LEFT(B51,FIND(" ",B51,1)-1)="Nhôm"),E51&gt;(F51/10)),5%,0),"")</f>
      </c>
      <c r="M51" s="41">
        <f ca="1">E51*F51*G51*H51</f>
        <v>0</v>
      </c>
      <c r="N51" s="118">
        <f ca="1">IFERROR((E51*F51*G51*H51/10^6),0)*C51</f>
        <v>0</v>
      </c>
      <c r="O51" s="11" t="str">
        <f ca="1">IFERROR(IF(H51&gt;50,E51*(H51*G51+(H51+2)*F51),IF(H51&gt;10,E51*(2*H51*G51+(H51+1)*F51),2*H51*E51*(F51+G51)))*6/M51,"")</f>
      </c>
      <c r="P51" s="12">
        <v>0.035</v>
      </c>
      <c r="Q51" s="41">
        <f ca="1">IFERROR(IF(H51&gt;50,E51*(H51*G51+(H51+2)*F51),IF(H51&gt;10,E51*(2*H51*G51+(H51+1)*F51),2*H51*E51*(F51+G51)))*1.2/N51,0)</f>
        <v>0</v>
      </c>
      <c r="R51" s="41" t="str">
        <f ca="1">IFERROR((D51*(1+O51+P51)+Q51)/(1-(I51*0.007/30)),"")</f>
      </c>
      <c r="S51" s="11" t="str">
        <f ca="1">IFERROR(VLOOKUP(B51,DATA!$B$2:$D$6,2,0),"")</f>
      </c>
      <c r="T51" s="157" t="str">
        <f ca="1">IFERROR(ROUND((R51/(1-S51)+($J$12+$K$12)/$N$56)/(1-L51),-3),"")</f>
      </c>
      <c r="U51" s="41" t="str">
        <f ca="1">IFERROR(ROUND(T51*N51,0),"")</f>
      </c>
    </row>
    <row r="52" spans="1:22" ht="11.65" customHeight="1">
      <c r="A52" s="9"/>
      <c r="B52" s="10"/>
      <c r="C52" s="9">
        <f ca="1">IFERROR(VLOOKUP(B52,DATA!$B$2:$D$18,3,0),0)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ca="1">IFERROR(IF(AND(OR(LEFT(B52,FIND(" ",B52,1)-1)="Đồng",LEFT(B52,FIND(" ",B52,1)-1)="Nhôm"),E52&gt;(F52/10)),5%,0),"")</f>
      </c>
      <c r="M52" s="41">
        <f ca="1">E52*F52*G52*H52</f>
        <v>0</v>
      </c>
      <c r="N52" s="118">
        <f ca="1">IFERROR((E52*F52*G52*H52/10^6),0)*C52</f>
        <v>0</v>
      </c>
      <c r="O52" s="11" t="str">
        <f ca="1">IFERROR(IF(H52&gt;50,E52*(H52*G52+(H52+2)*F52),IF(H52&gt;10,E52*(2*H52*G52+(H52+1)*F52),2*H52*E52*(F52+G52)))*6/M52,"")</f>
      </c>
      <c r="P52" s="12">
        <v>0.035</v>
      </c>
      <c r="Q52" s="41">
        <f ca="1">IFERROR(IF(H52&gt;50,E52*(H52*G52+(H52+2)*F52),IF(H52&gt;10,E52*(2*H52*G52+(H52+1)*F52),2*H52*E52*(F52+G52)))*1.2/N52,0)</f>
        <v>0</v>
      </c>
      <c r="R52" s="41" t="str">
        <f ca="1">IFERROR((D52*(1+O52+P52)+Q52)/(1-(I52*0.007/30)),"")</f>
      </c>
      <c r="S52" s="11" t="str">
        <f ca="1">IFERROR(VLOOKUP(B52,DATA!$B$2:$D$6,2,0),"")</f>
      </c>
      <c r="T52" s="157" t="str">
        <f ca="1">IFERROR(ROUND((R52/(1-S52)+($J$12+$K$12)/$N$56)/(1-L52),-3),"")</f>
      </c>
      <c r="U52" s="41" t="str">
        <f ca="1">IFERROR(ROUND(T52*N52,0),"")</f>
      </c>
    </row>
    <row r="53" spans="1:22" ht="11.65" customHeight="1">
      <c r="A53" s="9"/>
      <c r="B53" s="10"/>
      <c r="C53" s="9">
        <f ca="1">IFERROR(VLOOKUP(B53,DATA!$B$2:$D$18,3,0),0)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ca="1">IFERROR(IF(AND(OR(LEFT(B53,FIND(" ",B53,1)-1)="Đồng",LEFT(B53,FIND(" ",B53,1)-1)="Nhôm"),E53&gt;(F53/10)),5%,0),"")</f>
      </c>
      <c r="M53" s="41">
        <f ca="1">E53*F53*G53*H53</f>
        <v>0</v>
      </c>
      <c r="N53" s="118">
        <f ca="1">IFERROR((E53*F53*G53*H53/10^6),0)*C53</f>
        <v>0</v>
      </c>
      <c r="O53" s="11" t="str">
        <f ca="1">IFERROR(IF(H53&gt;50,E53*(H53*G53+(H53+2)*F53),IF(H53&gt;10,E53*(2*H53*G53+(H53+1)*F53),2*H53*E53*(F53+G53)))*6/M53,"")</f>
      </c>
      <c r="P53" s="12">
        <v>0.035</v>
      </c>
      <c r="Q53" s="41">
        <f ca="1">IFERROR(IF(H53&gt;50,E53*(H53*G53+(H53+2)*F53),IF(H53&gt;10,E53*(2*H53*G53+(H53+1)*F53),2*H53*E53*(F53+G53)))*1.2/N53,0)</f>
        <v>0</v>
      </c>
      <c r="R53" s="41" t="str">
        <f ca="1">IFERROR((D53*(1+O53+P53)+Q53)/(1-(I53*0.007/30)),"")</f>
      </c>
      <c r="S53" s="11" t="str">
        <f ca="1">IFERROR(VLOOKUP(B53,DATA!$B$2:$D$6,2,0),"")</f>
      </c>
      <c r="T53" s="157" t="str">
        <f ca="1">IFERROR(ROUND((R53/(1-S53)+($J$12+$K$12)/$N$56)/(1-L53),-3),"")</f>
      </c>
      <c r="U53" s="41" t="str">
        <f ca="1">IFERROR(ROUND(T53*N53,0),"")</f>
      </c>
    </row>
    <row r="54" spans="1:22" ht="11.65" customHeight="1">
      <c r="A54" s="9"/>
      <c r="B54" s="10"/>
      <c r="C54" s="9">
        <f ca="1">IFERROR(VLOOKUP(B54,DATA!$B$2:$D$18,3,0),0)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ca="1">IFERROR(IF(AND(OR(LEFT(B54,FIND(" ",B54,1)-1)="Đồng",LEFT(B54,FIND(" ",B54,1)-1)="Nhôm"),E54&gt;(F54/10)),5%,0),"")</f>
      </c>
      <c r="M54" s="41">
        <f ca="1">E54*F54*G54*H54</f>
        <v>0</v>
      </c>
      <c r="N54" s="118">
        <f ca="1">IFERROR((E54*F54*G54*H54/10^6),0)*C54</f>
        <v>0</v>
      </c>
      <c r="O54" s="11" t="str">
        <f ca="1">IFERROR(IF(H54&gt;50,E54*(H54*G54+(H54+2)*F54),IF(H54&gt;10,E54*(2*H54*G54+(H54+1)*F54),2*H54*E54*(F54+G54)))*6/M54,"")</f>
      </c>
      <c r="P54" s="12">
        <v>0.035</v>
      </c>
      <c r="Q54" s="41">
        <f ca="1">IFERROR(IF(H54&gt;50,E54*(H54*G54+(H54+2)*F54),IF(H54&gt;10,E54*(2*H54*G54+(H54+1)*F54),2*H54*E54*(F54+G54)))*1.2/N54,0)</f>
        <v>0</v>
      </c>
      <c r="R54" s="41" t="str">
        <f ca="1">IFERROR((D54*(1+O54+P54)+Q54)/(1-(I54*0.007/30)),"")</f>
      </c>
      <c r="S54" s="11" t="str">
        <f ca="1">IFERROR(VLOOKUP(B54,DATA!$B$2:$D$6,2,0),"")</f>
      </c>
      <c r="T54" s="157" t="str">
        <f ca="1">IFERROR(ROUND((R54/(1-S54)+($J$12+$K$12)/$N$56)/(1-L54),-3),"")</f>
      </c>
      <c r="U54" s="41" t="str">
        <f ca="1">IFERROR(ROUND(T54*N54,0),"")</f>
      </c>
    </row>
    <row r="55" spans="1:22" ht="11.65" customHeight="1">
      <c r="A55" s="14"/>
      <c r="B55" s="13"/>
      <c r="C55" s="14">
        <f ca="1">IFERROR(VLOOKUP(B55,DATA!$B$2:$D$18,3,0),0)</f>
        <v>0</v>
      </c>
      <c r="D55" s="46"/>
      <c r="E55" s="29"/>
      <c r="F55" s="29"/>
      <c r="G55" s="29"/>
      <c r="H55" s="23"/>
      <c r="I55" s="23"/>
      <c r="J55" s="46"/>
      <c r="K55" s="23"/>
      <c r="L55" s="12" t="str">
        <f ca="1">IFERROR(IF(AND(OR(LEFT(B55,FIND(" ",B55,1)-1)="Đồng",LEFT(B55,FIND(" ",B55,1)-1)="Nhôm"),E55&gt;(F55/10)),5%,0),"")</f>
      </c>
      <c r="M55" s="42">
        <f ca="1">E55*F55*G55*H55</f>
        <v>0</v>
      </c>
      <c r="N55" s="118">
        <f ca="1">IFERROR((E55*F55*G55*H55/10^6),0)*C55</f>
        <v>0</v>
      </c>
      <c r="O55" s="11" t="str">
        <f ca="1">IFERROR(IF(H55&gt;50,E55*(H55*G55+(H55+2)*F55),IF(H55&gt;10,E55*(2*H55*G55+(H55+1)*F55),2*H55*E55*(F55+G55)))*6/M55,"")</f>
      </c>
      <c r="P55" s="16">
        <v>0.035</v>
      </c>
      <c r="Q55" s="42">
        <f ca="1">IFERROR(IF(H55&gt;50,E55*(H55*G55+(H55+2)*F55),IF(H55&gt;10,E55*(2*H55*G55+(H55+1)*F55),2*H55*E55*(F55+G55)))*1.2/N55,0)</f>
        <v>0</v>
      </c>
      <c r="R55" s="41" t="str">
        <f ca="1">IFERROR((D55*(1+O55+P55)+Q55)/(1-(I55*0.007/30)),"")</f>
      </c>
      <c r="S55" s="11" t="str">
        <f ca="1">IFERROR(VLOOKUP(B55,DATA!$B$2:$D$6,2,0),"")</f>
      </c>
      <c r="T55" s="157" t="str">
        <f ca="1">IFERROR(ROUND((R55/(1-S55)+($J$12+$K$12)/$N$56)/(1-L55),-3),"")</f>
      </c>
      <c r="U55" s="41" t="str">
        <f ca="1">IFERROR(ROUND(T55*N55,0),"")</f>
      </c>
    </row>
    <row r="56" spans="1:22" ht="11.65" customHeight="1">
      <c r="A56" s="17" t="s">
        <v>85</v>
      </c>
      <c r="B56" s="18"/>
      <c r="C56" s="18"/>
      <c r="D56" s="47"/>
      <c r="E56" s="30"/>
      <c r="F56" s="31"/>
      <c r="G56" s="32"/>
      <c r="H56" s="34">
        <f ca="1">SUM(H12:H55)</f>
        <v>14</v>
      </c>
      <c r="I56" s="34"/>
      <c r="J56" s="43"/>
      <c r="K56" s="34"/>
      <c r="L56" s="37"/>
      <c r="M56" s="43"/>
      <c r="N56" s="120">
        <f ca="1">SUM(N12:N55)</f>
        <v>57.66320999999999</v>
      </c>
      <c r="O56" s="52"/>
      <c r="P56" s="50"/>
      <c r="Q56" s="53"/>
      <c r="R56" s="53"/>
      <c r="S56" s="50"/>
      <c r="T56" s="43"/>
      <c r="U56" s="43"/>
    </row>
    <row r="57" spans="18:20" ht="11.65" customHeight="1">
      <c r="R57" s="54"/>
      <c r="S57" s="55"/>
    </row>
    <row r="58" spans="18:20" ht="11.65" customHeight="1">
      <c r="R58" s="54"/>
      <c r="S58" s="55"/>
    </row>
    <row r="59" spans="18:20" ht="11.65" customHeight="1">
      <c r="R59" s="54"/>
      <c r="S59" s="55"/>
    </row>
    <row r="60" spans="18:20" ht="11.65" customHeight="1">
      <c r="R60" s="54"/>
      <c r="S60" s="55"/>
    </row>
    <row r="61" spans="18:20" ht="11.65" customHeight="1">
      <c r="R61" s="54"/>
      <c r="S61" s="55"/>
    </row>
    <row r="62" spans="18:20" ht="11.65" customHeight="1">
      <c r="R62" s="54"/>
      <c r="S62" s="55"/>
    </row>
  </sheetData>
  <mergeCells count="2">
    <mergeCell ref="S10:U10"/>
    <mergeCell ref="A10:R10"/>
  </mergeCells>
  <dataValidations count="1">
    <dataValidation allowBlank="1" showInputMessage="1" showErrorMessage="1" prompt="Lựa chọn nguyên liệu" sqref="A12:A55"/>
  </dataValidations>
  <printOptions/>
  <pageMargins left="0.7" right="0.7" top="0.75" bottom="0.75" header="0.3" footer="0.3"/>
  <pageSetup horizontalDpi="600" verticalDpi="600" orientation="portrait" paperSize="9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68"/>
  <sheetViews>
    <sheetView showGridLines="0" workbookViewId="0" topLeftCell="F2">
      <selection pane="topLeft" activeCell="Q13" sqref="Q13"/>
    </sheetView>
  </sheetViews>
  <sheetFormatPr defaultColWidth="8.571428571428571" defaultRowHeight="11.65" customHeight="1"/>
  <cols>
    <col min="1" max="1" width="17" style="2" customWidth="1"/>
    <col min="2" max="3" width="15" style="2" customWidth="1"/>
    <col min="4" max="5" width="11" style="2" customWidth="1"/>
    <col min="6" max="8" width="13" style="2" customWidth="1"/>
    <col min="9" max="9" width="7" style="2" customWidth="1"/>
    <col min="10" max="10" width="9" style="2" customWidth="1"/>
    <col min="11" max="11" width="11" style="2" customWidth="1"/>
    <col min="12" max="12" width="13" style="2" customWidth="1"/>
    <col min="13" max="14" width="10" style="2" customWidth="1"/>
    <col min="15" max="15" width="9" style="2" customWidth="1"/>
    <col min="16" max="16" width="8" style="2" customWidth="1"/>
    <col min="17" max="18" width="11" style="2" customWidth="1"/>
    <col min="19" max="19" width="12" style="2" customWidth="1"/>
    <col min="20" max="20" width="8" style="2" customWidth="1"/>
    <col min="21" max="21" width="10" style="2" customWidth="1"/>
    <col min="22" max="22" width="12" style="2" customWidth="1"/>
    <col min="23" max="24" width="8" style="2" customWidth="1"/>
    <col min="25" max="27" width="0" style="2" hidden="1" customWidth="1"/>
    <col min="28" max="28" width="8" style="2" customWidth="1"/>
    <col min="29" max="29" width="8.142857142857142" style="2" customWidth="1"/>
    <col min="30" max="30" width="8.285714285714286" style="2" customWidth="1"/>
    <col min="31" max="31" width="8.428571428571429" style="2" customWidth="1"/>
    <col min="32" max="16384" width="8.571428571428571" style="2" customWidth="1"/>
  </cols>
  <sheetData>
    <row r="1" spans="6:9" ht="41.1" customHeight="1" hidden="1">
      <c r="F1" s="59" t="s">
        <v>3</v>
      </c>
      <c r="G1" s="59"/>
      <c r="H1" s="60">
        <v>140000</v>
      </c>
    </row>
    <row r="2" spans="1:27" ht="14.25" customHeight="1"/>
    <row r="3" spans="1:27" ht="14.25" customHeight="1"/>
    <row r="4" spans="1:27" ht="14.25" customHeight="1"/>
    <row r="5" spans="1:27" ht="14.25" customHeight="1"/>
    <row r="6" spans="1:27" ht="14.25" customHeight="1"/>
    <row r="7" spans="1:27" ht="14.25" customHeight="1"/>
    <row r="8" spans="1:27" ht="14.25" customHeight="1"/>
    <row r="9" spans="1:27" ht="14.25" customHeight="1"/>
    <row r="10" spans="1:27" ht="25.5" customHeight="1">
      <c r="A10" s="158" t="s">
        <v>56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60"/>
      <c r="T10" s="161" t="s">
        <v>68</v>
      </c>
      <c r="U10" s="162"/>
      <c r="V10" s="163"/>
      <c r="Y10" s="164" t="s">
        <v>8</v>
      </c>
      <c r="Z10" s="164"/>
      <c r="AA10" s="164"/>
    </row>
    <row r="11" spans="1:27" ht="48" customHeight="1">
      <c r="A11" s="3" t="s">
        <v>38</v>
      </c>
      <c r="B11" s="3" t="s">
        <v>19</v>
      </c>
      <c r="C11" s="3" t="s">
        <v>34</v>
      </c>
      <c r="D11" s="4" t="s">
        <v>20</v>
      </c>
      <c r="E11" s="4" t="s">
        <v>6</v>
      </c>
      <c r="F11" s="4" t="s">
        <v>78</v>
      </c>
      <c r="G11" s="4" t="s">
        <v>81</v>
      </c>
      <c r="H11" s="4" t="s">
        <v>69</v>
      </c>
      <c r="I11" s="3" t="s">
        <v>104</v>
      </c>
      <c r="J11" s="4" t="s">
        <v>100</v>
      </c>
      <c r="K11" s="4" t="s">
        <v>67</v>
      </c>
      <c r="L11" s="4" t="s">
        <v>105</v>
      </c>
      <c r="M11" s="61" t="s">
        <v>108</v>
      </c>
      <c r="N11" s="62" t="s">
        <v>117</v>
      </c>
      <c r="O11" s="63" t="s">
        <v>63</v>
      </c>
      <c r="P11" s="62" t="s">
        <v>48</v>
      </c>
      <c r="Q11" s="62" t="s">
        <v>60</v>
      </c>
      <c r="R11" s="62" t="s">
        <v>112</v>
      </c>
      <c r="S11" s="38" t="s">
        <v>87</v>
      </c>
      <c r="T11" s="62" t="s">
        <v>0</v>
      </c>
      <c r="U11" s="62" t="s">
        <v>61</v>
      </c>
      <c r="V11" s="62" t="s">
        <v>84</v>
      </c>
      <c r="Y11" s="64" t="s">
        <v>4</v>
      </c>
      <c r="Z11" s="64">
        <v>100</v>
      </c>
      <c r="AA11" s="64">
        <v>3990</v>
      </c>
    </row>
    <row r="12" spans="1:27" ht="11.65" customHeight="1">
      <c r="A12" s="68"/>
      <c r="B12" s="69" t="s">
        <v>102</v>
      </c>
      <c r="C12" s="69" t="s">
        <v>37</v>
      </c>
      <c r="D12" s="68">
        <f ca="1">IFERROR(VLOOKUP(B12,DATA!$G$2:$I$6,3,0),"")</f>
        <v>8.9</v>
      </c>
      <c r="E12" s="70">
        <v>130000</v>
      </c>
      <c r="F12" s="71">
        <v>25</v>
      </c>
      <c r="G12" s="71">
        <v>30</v>
      </c>
      <c r="H12" s="71">
        <v>19</v>
      </c>
      <c r="I12" s="72">
        <v>10</v>
      </c>
      <c r="J12" s="72"/>
      <c r="K12" s="70"/>
      <c r="L12" s="70"/>
      <c r="M12" s="84">
        <v>0</v>
      </c>
      <c r="N12" s="73">
        <f ca="1">IF(C12="Tròn",PI()*(F12/2)^2/(10^2),IF(C12="Chữ nhật",F12*G12/10^2,0))</f>
        <v>4.908738521234052</v>
      </c>
      <c r="O12" s="74">
        <f ca="1">IFERROR(N12*H12*D12*I12/10^4,"")</f>
        <v>0.8300676839406782</v>
      </c>
      <c r="P12" s="75">
        <f ca="1">IFERROR(5/H12,"")</f>
        <v>0.2631578947368421</v>
      </c>
      <c r="Q12" s="76">
        <v>0.035</v>
      </c>
      <c r="R12" s="77">
        <f ca="1">IFERROR(IF(N12=0,"-",IF(OR(N12&lt;=5,N12&gt;=45),2500,IF(AND(N12&gt;5,N12&lt;20),1800,2000)))*I12/O12,"")</f>
        <v>30118.0258955686</v>
      </c>
      <c r="S12" s="77">
        <f ca="1">IFERROR((E12*(1+P12+Q12)+R12)/(1-J12*0.007/30),"")</f>
        <v>198878.55221135807</v>
      </c>
      <c r="T12" s="87">
        <v>0.12</v>
      </c>
      <c r="U12" s="78">
        <f ca="1">IFERROR(ROUND((S12/(1-T12)+($K$12+$L$12)/$O$62)/(1-M12),-3),"")</f>
        <v>226000</v>
      </c>
      <c r="V12" s="77">
        <f ca="1">IFERROR(ROUND(U12*O12,0),"")</f>
        <v>187595</v>
      </c>
      <c r="Y12" s="64" t="s">
        <v>4</v>
      </c>
      <c r="Z12" s="64">
        <v>250</v>
      </c>
      <c r="AA12" s="64">
        <v>3195</v>
      </c>
    </row>
    <row r="13" spans="1:27" ht="11.65" customHeight="1">
      <c r="A13" s="79"/>
      <c r="B13" s="69" t="s">
        <v>102</v>
      </c>
      <c r="C13" s="69" t="s">
        <v>41</v>
      </c>
      <c r="D13" s="79">
        <f ca="1">IFERROR(VLOOKUP(B13,DATA!$G$2:$I$6,3,0),"")</f>
        <v>8.9</v>
      </c>
      <c r="E13" s="70">
        <v>240000</v>
      </c>
      <c r="F13" s="82">
        <v>40</v>
      </c>
      <c r="G13" s="82">
        <v>40</v>
      </c>
      <c r="H13" s="82">
        <v>80</v>
      </c>
      <c r="I13" s="83">
        <v>20</v>
      </c>
      <c r="J13" s="83"/>
      <c r="K13" s="81"/>
      <c r="L13" s="81"/>
      <c r="M13" s="84">
        <f ca="1">IFERROR(IF(AND(OR(LEFT(B13,FIND(" ",B13,1)-1)="Đồng",LEFT(B13,FIND(" ",B13,1)-1)="Nhôm"),OR(F13&gt;(G13/10),C13="Tròn")),5%,0),"")</f>
        <v>0.05</v>
      </c>
      <c r="N13" s="114">
        <f ca="1">IF(C13="Tròn",PI()*(F13/2)^2/(10^2),IF(C13="Chữ nhật",F13*G13/10^2,0))</f>
        <v>16</v>
      </c>
      <c r="O13" s="86">
        <f ca="1">IFERROR(N13*H13*D13*I13/10^4,"")</f>
        <v>22.784</v>
      </c>
      <c r="P13" s="87">
        <f ca="1">IFERROR(5/H13,"")</f>
        <v>0.0625</v>
      </c>
      <c r="Q13" s="88">
        <v>0.035</v>
      </c>
      <c r="R13" s="85">
        <f ca="1">IFERROR(IF(N13=0,"-",IF(OR(N13&lt;=5,N13&gt;=45),2500,IF(AND(N13&gt;5,N13&lt;20),1800,2000)))*I13/O13,"")</f>
        <v>1580.056179775281</v>
      </c>
      <c r="S13" s="85">
        <f ca="1">IFERROR((E13*(1+P13+Q13)+R13)/(1-J13*0.007/30),"")</f>
        <v>264980.0561797753</v>
      </c>
      <c r="T13" s="87">
        <f ca="1">IFERROR(VLOOKUP(B13,DATA!$G$2:$I$6,2,0),"")</f>
        <v>0.08</v>
      </c>
      <c r="U13" s="89">
        <f ca="1">IFERROR(ROUND((S13/(1-T13)+($K$12+$L$12)/$O$62)/(1-M13),-3),"")</f>
        <v>303000</v>
      </c>
      <c r="V13" s="85">
        <f ca="1">IFERROR(ROUND(U13*O13,0),"")</f>
        <v>6903552</v>
      </c>
      <c r="Y13" s="64" t="s">
        <v>4</v>
      </c>
      <c r="Z13" s="64">
        <v>500</v>
      </c>
      <c r="AA13" s="64">
        <v>2660</v>
      </c>
    </row>
    <row r="14" spans="1:27" ht="11.65" customHeight="1">
      <c r="A14" s="79"/>
      <c r="B14" s="69" t="s">
        <v>102</v>
      </c>
      <c r="C14" s="69" t="s">
        <v>41</v>
      </c>
      <c r="D14" s="79">
        <f ca="1">IFERROR(VLOOKUP(B14,DATA!$G$2:$I$6,3,0),"")</f>
        <v>8.9</v>
      </c>
      <c r="E14" s="70">
        <v>240000</v>
      </c>
      <c r="F14" s="82">
        <v>40</v>
      </c>
      <c r="G14" s="82">
        <v>40</v>
      </c>
      <c r="H14" s="82">
        <v>2500</v>
      </c>
      <c r="I14" s="83">
        <v>1</v>
      </c>
      <c r="J14" s="83"/>
      <c r="K14" s="81"/>
      <c r="L14" s="81"/>
      <c r="M14" s="84">
        <f ca="1">IFERROR(IF(AND(OR(LEFT(B14,FIND(" ",B14,1)-1)="Đồng",LEFT(B14,FIND(" ",B14,1)-1)="Nhôm"),OR(F14&gt;(G14/10),C14="Tròn")),5%,0),"")</f>
        <v>0.05</v>
      </c>
      <c r="N14" s="114">
        <f ca="1">IF(C14="Tròn",PI()*(F14/2)^2/(10^2),IF(C14="Chữ nhật",F14*G14/10^2,0))</f>
        <v>16</v>
      </c>
      <c r="O14" s="86">
        <f ca="1">IFERROR(N14*H14*D14*I14/10^4,"")</f>
        <v>35.6</v>
      </c>
      <c r="P14" s="87">
        <f ca="1">IFERROR(5/H14,"")</f>
        <v>0.002</v>
      </c>
      <c r="Q14" s="88">
        <v>0.035</v>
      </c>
      <c r="R14" s="85">
        <f ca="1">IFERROR(IF(N14=0,"-",IF(OR(N14&lt;=5,N14&gt;=45),2500,IF(AND(N14&gt;5,N14&lt;20),1800,2000)))*I14/O14,"")</f>
        <v>50.561797752808985</v>
      </c>
      <c r="S14" s="85">
        <f ca="1">IFERROR((E14*(1+P14+Q14)+R14)/(1-J14*0.007/30),"")</f>
        <v>248930.56179775277</v>
      </c>
      <c r="T14" s="87">
        <f ca="1">IFERROR(VLOOKUP(B14,DATA!$G$2:$I$6,2,0),"")</f>
        <v>0.08</v>
      </c>
      <c r="U14" s="89">
        <f ca="1">IFERROR(ROUND((S14/(1-T14)+($K$12+$L$12)/$O$62)/(1-M14),-3),"")</f>
        <v>285000</v>
      </c>
      <c r="V14" s="85">
        <f ca="1">IFERROR(ROUND(U14*O14,0),"")</f>
        <v>10146000</v>
      </c>
      <c r="Y14" s="64" t="s">
        <v>1</v>
      </c>
      <c r="Z14" s="64">
        <v>500</v>
      </c>
      <c r="AA14" s="64">
        <v>2130</v>
      </c>
    </row>
    <row r="15" spans="1:27" ht="11.65" customHeight="1">
      <c r="A15" s="79"/>
      <c r="B15" s="69" t="s">
        <v>102</v>
      </c>
      <c r="C15" s="69" t="s">
        <v>41</v>
      </c>
      <c r="D15" s="79">
        <f ca="1">IFERROR(VLOOKUP(B15,DATA!$G$2:$I$6,3,0),"")</f>
        <v>8.9</v>
      </c>
      <c r="E15" s="70">
        <v>240000</v>
      </c>
      <c r="F15" s="82"/>
      <c r="G15" s="82"/>
      <c r="H15" s="82"/>
      <c r="I15" s="83"/>
      <c r="J15" s="83"/>
      <c r="K15" s="81"/>
      <c r="L15" s="81"/>
      <c r="M15" s="84">
        <f ca="1">IFERROR(IF(AND(OR(LEFT(B15,FIND(" ",B15,1)-1)="Đồng",LEFT(B15,FIND(" ",B15,1)-1)="Nhôm"),OR(F15&gt;(G15/10),C15="Tròn")),5%,0),"")</f>
        <v>0</v>
      </c>
      <c r="N15" s="114">
        <f ca="1">IF(C15="Tròn",PI()*(F15/2)^2/(10^2),IF(C15="Chữ nhật",F15*G15/10^2,0))</f>
        <v>0</v>
      </c>
      <c r="O15" s="86">
        <f ca="1">IFERROR(N15*H15*D15*I15/10^4,"")</f>
        <v>0</v>
      </c>
      <c r="P15" s="87" t="str">
        <f ca="1">IFERROR(5/H15,"")</f>
      </c>
      <c r="Q15" s="88">
        <v>0.035</v>
      </c>
      <c r="R15" s="85" t="str">
        <f ca="1">IFERROR(IF(N15=0,"-",IF(OR(N15&lt;=5,N15&gt;=45),2500,IF(AND(N15&gt;5,N15&lt;20),1800,2000)))*I15/O15,"")</f>
      </c>
      <c r="S15" s="85" t="str">
        <f ca="1">IFERROR((E15*(1+P15+Q15)+R15)/(1-J15*0.007/30),"")</f>
      </c>
      <c r="T15" s="87">
        <f ca="1">IFERROR(VLOOKUP(B15,DATA!$G$2:$I$6,2,0),"")</f>
        <v>0.08</v>
      </c>
      <c r="U15" s="89" t="str">
        <f ca="1">IFERROR(ROUND((S15/(1-T15)+($K$12+$L$12)/$O$62)/(1-M15),-3),"")</f>
      </c>
      <c r="V15" s="85" t="str">
        <f ca="1">IFERROR(ROUND(U15*O15,0),"")</f>
      </c>
      <c r="Y15" s="64" t="s">
        <v>47</v>
      </c>
      <c r="Z15" s="64"/>
      <c r="AA15" s="64"/>
    </row>
    <row r="16" spans="1:27" ht="11.65" customHeight="1">
      <c r="A16" s="79"/>
      <c r="B16" s="80"/>
      <c r="C16" s="80"/>
      <c r="D16" s="79" t="str">
        <f ca="1">IFERROR(VLOOKUP(B16,DATA!$G$2:$I$6,3,0),"")</f>
      </c>
      <c r="E16" s="81"/>
      <c r="F16" s="82"/>
      <c r="G16" s="82"/>
      <c r="H16" s="82"/>
      <c r="I16" s="83"/>
      <c r="J16" s="83"/>
      <c r="K16" s="81"/>
      <c r="L16" s="81"/>
      <c r="M16" s="84" t="str">
        <f ca="1">IFERROR(IF(AND(OR(LEFT(B16,FIND(" ",B16,1)-1)="Đồng",LEFT(B16,FIND(" ",B16,1)-1)="Nhôm"),OR(F16&gt;(G16/10),C16="Tròn")),5%,0),"")</f>
      </c>
      <c r="N16" s="114">
        <f ca="1">IF(C16="Tròn",PI()*(F16/2)^2/(10^2),IF(C16="Chữ nhật",F16*G16/10^2,0))</f>
        <v>0</v>
      </c>
      <c r="O16" s="86" t="str">
        <f ca="1">IFERROR(N16*H16*D16*I16/10^4,"")</f>
      </c>
      <c r="P16" s="87" t="str">
        <f ca="1">IFERROR(5/H16,"")</f>
      </c>
      <c r="Q16" s="88">
        <v>0.035</v>
      </c>
      <c r="R16" s="85" t="str">
        <f ca="1">IFERROR(IF(N16=0,"-",IF(OR(N16&lt;=5,N16&gt;=45),2500,IF(AND(N16&gt;5,N16&lt;20),1800,2000)))*I16/O16,"")</f>
      </c>
      <c r="S16" s="85" t="str">
        <f ca="1">IFERROR((E16*(1+P16+Q16)+R16)/(1-J16*0.007/30),"")</f>
      </c>
      <c r="T16" s="87" t="str">
        <f ca="1">IFERROR(VLOOKUP(B16,DATA!$G$2:$I$6,2,0),"")</f>
      </c>
      <c r="U16" s="89" t="str">
        <f ca="1">IFERROR(ROUND((S16/(1-T16)+($K$12+$L$12)/$O$62)/(1-M16),-3),"")</f>
      </c>
      <c r="V16" s="85" t="str">
        <f ca="1">IFERROR(ROUND(U16*O16,0),"")</f>
      </c>
      <c r="Y16" s="64" t="s">
        <v>4</v>
      </c>
      <c r="Z16" s="64">
        <v>5</v>
      </c>
      <c r="AA16" s="65">
        <v>0.2</v>
      </c>
    </row>
    <row r="17" spans="1:27" ht="11.65" customHeight="1">
      <c r="A17" s="79"/>
      <c r="B17" s="80"/>
      <c r="C17" s="80"/>
      <c r="D17" s="79" t="str">
        <f ca="1">IFERROR(VLOOKUP(B17,DATA!$G$2:$I$6,3,0),"")</f>
      </c>
      <c r="E17" s="81"/>
      <c r="F17" s="82"/>
      <c r="G17" s="82"/>
      <c r="H17" s="82"/>
      <c r="I17" s="83"/>
      <c r="J17" s="83"/>
      <c r="K17" s="81"/>
      <c r="L17" s="81"/>
      <c r="M17" s="84" t="str">
        <f ca="1">IFERROR(IF(AND(OR(LEFT(B17,FIND(" ",B17,1)-1)="Đồng",LEFT(B17,FIND(" ",B17,1)-1)="Nhôm"),OR(F17&gt;(G17/10),C17="Tròn")),5%,0),"")</f>
      </c>
      <c r="N17" s="114">
        <f ca="1">IF(C17="Tròn",PI()*(F17/2)^2/(10^2),IF(C17="Chữ nhật",F17*G17/10^2,0))</f>
        <v>0</v>
      </c>
      <c r="O17" s="86" t="str">
        <f ca="1">IFERROR(N17*H17*D17*I17/10^4,"")</f>
      </c>
      <c r="P17" s="87" t="str">
        <f ca="1">IFERROR(5/H17,"")</f>
      </c>
      <c r="Q17" s="88">
        <v>0.035</v>
      </c>
      <c r="R17" s="85" t="str">
        <f ca="1">IFERROR(IF(N17=0,"-",IF(OR(N17&lt;=5,N17&gt;=45),2500,IF(AND(N17&gt;5,N17&lt;20),1800,2000)))*I17/O17,"")</f>
      </c>
      <c r="S17" s="85" t="str">
        <f ca="1">IFERROR((E17*(1+P17+Q17)+R17)/(1-J17*0.007/30),"")</f>
      </c>
      <c r="T17" s="87" t="str">
        <f ca="1">IFERROR(VLOOKUP(B17,DATA!$G$2:$I$6,2,0),"")</f>
      </c>
      <c r="U17" s="89" t="str">
        <f ca="1">IFERROR(ROUND((S17/(1-T17)+($K$12+$L$12)/$O$62)/(1-M17),-3),"")</f>
      </c>
      <c r="V17" s="85" t="str">
        <f ca="1">IFERROR(ROUND(U17*O17,0),"")</f>
      </c>
      <c r="Y17" s="64" t="s">
        <v>4</v>
      </c>
      <c r="Z17" s="64">
        <v>20</v>
      </c>
      <c r="AA17" s="65">
        <v>0.1</v>
      </c>
    </row>
    <row r="18" spans="1:27" ht="11.65" customHeight="1">
      <c r="A18" s="79"/>
      <c r="B18" s="80"/>
      <c r="C18" s="80"/>
      <c r="D18" s="79" t="str">
        <f ca="1">IFERROR(VLOOKUP(B18,DATA!$G$2:$I$6,3,0),"")</f>
      </c>
      <c r="E18" s="81"/>
      <c r="F18" s="82"/>
      <c r="G18" s="82"/>
      <c r="H18" s="82"/>
      <c r="I18" s="83"/>
      <c r="J18" s="83"/>
      <c r="K18" s="81"/>
      <c r="L18" s="81"/>
      <c r="M18" s="84" t="str">
        <f ca="1">IFERROR(IF(AND(OR(LEFT(B18,FIND(" ",B18,1)-1)="Đồng",LEFT(B18,FIND(" ",B18,1)-1)="Nhôm"),OR(F18&gt;(G18/10),C18="Tròn")),5%,0),"")</f>
      </c>
      <c r="N18" s="114">
        <f ca="1">IF(C18="Tròn",PI()*(F18/2)^2/(10^2),IF(C18="Chữ nhật",F18*G18/10^2,0))</f>
        <v>0</v>
      </c>
      <c r="O18" s="86" t="str">
        <f ca="1">IFERROR(N18*H18*D18*I18/10^4,"")</f>
      </c>
      <c r="P18" s="87" t="str">
        <f ca="1">IFERROR(5/H18,"")</f>
      </c>
      <c r="Q18" s="88">
        <v>0.035</v>
      </c>
      <c r="R18" s="85" t="str">
        <f ca="1">IFERROR(IF(N18=0,"-",IF(OR(N18&lt;=5,N18&gt;=45),2500,IF(AND(N18&gt;5,N18&lt;20),1800,2000)))*I18/O18,"")</f>
      </c>
      <c r="S18" s="85" t="str">
        <f ca="1">IFERROR((E18*(1+P18+Q18)+R18)/(1-J18*0.007/30),"")</f>
      </c>
      <c r="T18" s="87" t="str">
        <f ca="1">IFERROR(VLOOKUP(B18,DATA!$G$2:$I$6,2,0),"")</f>
      </c>
      <c r="U18" s="89" t="str">
        <f ca="1">IFERROR(ROUND((S18/(1-T18)+($K$12+$L$12)/$O$62)/(1-M18),-3),"")</f>
      </c>
      <c r="V18" s="85" t="str">
        <f ca="1">IFERROR(ROUND(U18*O18,0),"")</f>
      </c>
      <c r="Y18" s="64" t="s">
        <v>89</v>
      </c>
      <c r="Z18" s="64"/>
      <c r="AA18" s="64"/>
    </row>
    <row r="19" spans="1:27" ht="11.65" customHeight="1">
      <c r="A19" s="79"/>
      <c r="B19" s="80"/>
      <c r="C19" s="80"/>
      <c r="D19" s="79" t="str">
        <f ca="1">IFERROR(VLOOKUP(B19,DATA!$G$2:$I$6,3,0),"")</f>
      </c>
      <c r="E19" s="81"/>
      <c r="F19" s="82"/>
      <c r="G19" s="82"/>
      <c r="H19" s="82"/>
      <c r="I19" s="83"/>
      <c r="J19" s="83"/>
      <c r="K19" s="81"/>
      <c r="L19" s="81"/>
      <c r="M19" s="84" t="str">
        <f ca="1">IFERROR(IF(AND(OR(LEFT(B19,FIND(" ",B19,1)-1)="Đồng",LEFT(B19,FIND(" ",B19,1)-1)="Nhôm"),OR(F19&gt;(G19/10),C19="Tròn")),5%,0),"")</f>
      </c>
      <c r="N19" s="114">
        <f ca="1">IF(C19="Tròn",PI()*(F19/2)^2/(10^2),IF(C19="Chữ nhật",F19*G19/10^2,0))</f>
        <v>0</v>
      </c>
      <c r="O19" s="86" t="str">
        <f ca="1">IFERROR(N19*H19*D19*I19/10^4,"")</f>
      </c>
      <c r="P19" s="87" t="str">
        <f ca="1">IFERROR(5/H19,"")</f>
      </c>
      <c r="Q19" s="88">
        <v>0.035</v>
      </c>
      <c r="R19" s="85" t="str">
        <f ca="1">IFERROR(IF(N19=0,"-",IF(OR(N19&lt;=5,N19&gt;=45),2500,IF(AND(N19&gt;5,N19&lt;20),1800,2000)))*I19/O19,"")</f>
      </c>
      <c r="S19" s="85" t="str">
        <f ca="1">IFERROR((E19*(1+P19+Q19)+R19)/(1-J19*0.007/30),"")</f>
      </c>
      <c r="T19" s="87" t="str">
        <f ca="1">IFERROR(VLOOKUP(B19,DATA!$G$2:$I$6,2,0),"")</f>
      </c>
      <c r="U19" s="89" t="str">
        <f ca="1">IFERROR(ROUND((S19/(1-T19)+($K$12+$L$12)/$O$62)/(1-M19),-3),"")</f>
      </c>
      <c r="V19" s="85" t="str">
        <f ca="1">IFERROR(ROUND(U19*O19,0),"")</f>
      </c>
      <c r="Y19" s="64" t="s">
        <v>4</v>
      </c>
      <c r="Z19" s="64">
        <v>200</v>
      </c>
      <c r="AA19" s="65">
        <v>0.5</v>
      </c>
    </row>
    <row r="20" spans="1:27" ht="11.65" customHeight="1">
      <c r="A20" s="79"/>
      <c r="B20" s="80"/>
      <c r="C20" s="80"/>
      <c r="D20" s="79" t="str">
        <f ca="1">IFERROR(VLOOKUP(B20,DATA!$G$2:$I$6,3,0),"")</f>
      </c>
      <c r="E20" s="81"/>
      <c r="F20" s="82"/>
      <c r="G20" s="82"/>
      <c r="H20" s="82"/>
      <c r="I20" s="83"/>
      <c r="J20" s="83"/>
      <c r="K20" s="81"/>
      <c r="L20" s="81"/>
      <c r="M20" s="84" t="str">
        <f ca="1">IFERROR(IF(AND(OR(LEFT(B20,FIND(" ",B20,1)-1)="Đồng",LEFT(B20,FIND(" ",B20,1)-1)="Nhôm"),OR(F20&gt;(G20/10),C20="Tròn")),5%,0),"")</f>
      </c>
      <c r="N20" s="114">
        <f ca="1">IF(C20="Tròn",PI()*(F20/2)^2/(10^2),IF(C20="Chữ nhật",F20*G20/10^2,0))</f>
        <v>0</v>
      </c>
      <c r="O20" s="86" t="str">
        <f ca="1">IFERROR(N20*H20*D20*I20/10^4,"")</f>
      </c>
      <c r="P20" s="87" t="str">
        <f ca="1">IFERROR(5/H20,"")</f>
      </c>
      <c r="Q20" s="88">
        <v>0.035</v>
      </c>
      <c r="R20" s="85" t="str">
        <f ca="1">IFERROR(IF(N20=0,"-",IF(OR(N20&lt;=5,N20&gt;=45),2500,IF(AND(N20&gt;5,N20&lt;20),1800,2000)))*I20/O20,"")</f>
      </c>
      <c r="S20" s="85" t="str">
        <f ca="1">IFERROR((E20*(1+P20+Q20)+R20)/(1-J20*0.007/30),"")</f>
      </c>
      <c r="T20" s="87" t="str">
        <f ca="1">IFERROR(VLOOKUP(B20,DATA!$G$2:$I$6,2,0),"")</f>
      </c>
      <c r="U20" s="89" t="str">
        <f ca="1">IFERROR(ROUND((S20/(1-T20)+($K$12+$L$12)/$O$62)/(1-M20),-3),"")</f>
      </c>
      <c r="V20" s="85" t="str">
        <f ca="1">IFERROR(ROUND(U20*O20,0),"")</f>
      </c>
      <c r="Y20" s="64" t="s">
        <v>4</v>
      </c>
      <c r="Z20" s="64">
        <v>500</v>
      </c>
      <c r="AA20" s="65">
        <v>0.4</v>
      </c>
    </row>
    <row r="21" spans="1:27" ht="11.65" customHeight="1">
      <c r="A21" s="79"/>
      <c r="B21" s="80"/>
      <c r="C21" s="80"/>
      <c r="D21" s="79" t="str">
        <f ca="1">IFERROR(VLOOKUP(B21,DATA!$G$2:$I$6,3,0),"")</f>
      </c>
      <c r="E21" s="81"/>
      <c r="F21" s="82"/>
      <c r="G21" s="82"/>
      <c r="H21" s="82"/>
      <c r="I21" s="83"/>
      <c r="J21" s="83"/>
      <c r="K21" s="81"/>
      <c r="L21" s="81"/>
      <c r="M21" s="84" t="str">
        <f ca="1">IFERROR(IF(AND(OR(LEFT(B21,FIND(" ",B21,1)-1)="Đồng",LEFT(B21,FIND(" ",B21,1)-1)="Nhôm"),OR(F21&gt;(G21/10),C21="Tròn")),5%,0),"")</f>
      </c>
      <c r="N21" s="114">
        <f ca="1">IF(C21="Tròn",PI()*(F21/2)^2/(10^2),IF(C21="Chữ nhật",F21*G21/10^2,0))</f>
        <v>0</v>
      </c>
      <c r="O21" s="86" t="str">
        <f ca="1">IFERROR(N21*H21*D21*I21/10^4,"")</f>
      </c>
      <c r="P21" s="87" t="str">
        <f ca="1">IFERROR(5/H21,"")</f>
      </c>
      <c r="Q21" s="88">
        <v>0.035</v>
      </c>
      <c r="R21" s="85" t="str">
        <f ca="1">IFERROR(IF(N21=0,"-",IF(OR(N21&lt;=5,N21&gt;=45),2500,IF(AND(N21&gt;5,N21&lt;20),1800,2000)))*I21/O21,"")</f>
      </c>
      <c r="S21" s="85" t="str">
        <f ca="1">IFERROR((E21*(1+P21+Q21)+R21)/(1-J21*0.007/30),"")</f>
      </c>
      <c r="T21" s="87" t="str">
        <f ca="1">IFERROR(VLOOKUP(B21,DATA!$G$2:$I$6,2,0),"")</f>
      </c>
      <c r="U21" s="89" t="str">
        <f ca="1">IFERROR(ROUND((S21/(1-T21)+($K$12+$L$12)/$O$62)/(1-M21),-3),"")</f>
      </c>
      <c r="V21" s="85" t="str">
        <f ca="1">IFERROR(ROUND(U21*O21,0),"")</f>
      </c>
      <c r="Y21" s="64" t="s">
        <v>4</v>
      </c>
      <c r="Z21" s="64">
        <v>1000</v>
      </c>
      <c r="AA21" s="65">
        <v>0.3</v>
      </c>
    </row>
    <row r="22" spans="1:27" ht="11.65" customHeight="1">
      <c r="A22" s="79"/>
      <c r="B22" s="80"/>
      <c r="C22" s="80"/>
      <c r="D22" s="79" t="str">
        <f ca="1">IFERROR(VLOOKUP(B22,DATA!$G$2:$I$6,3,0),"")</f>
      </c>
      <c r="E22" s="81"/>
      <c r="F22" s="82"/>
      <c r="G22" s="82"/>
      <c r="H22" s="82"/>
      <c r="I22" s="83"/>
      <c r="J22" s="83"/>
      <c r="K22" s="81"/>
      <c r="L22" s="81"/>
      <c r="M22" s="84" t="str">
        <f ca="1">IFERROR(IF(AND(OR(LEFT(B22,FIND(" ",B22,1)-1)="Đồng",LEFT(B22,FIND(" ",B22,1)-1)="Nhôm"),OR(F22&gt;(G22/10),C22="Tròn")),5%,0),"")</f>
      </c>
      <c r="N22" s="114">
        <f ca="1">IF(C22="Tròn",PI()*(F22/2)^2/(10^2),IF(C22="Chữ nhật",F22*G22/10^2,0))</f>
        <v>0</v>
      </c>
      <c r="O22" s="86" t="str">
        <f ca="1">IFERROR(N22*H22*D22*I22/10^4,"")</f>
      </c>
      <c r="P22" s="87" t="str">
        <f ca="1">IFERROR(5/H22,"")</f>
      </c>
      <c r="Q22" s="88">
        <v>0.035</v>
      </c>
      <c r="R22" s="85" t="str">
        <f ca="1">IFERROR(IF(N22=0,"-",IF(OR(N22&lt;=5,N22&gt;=45),2500,IF(AND(N22&gt;5,N22&lt;20),1800,2000)))*I22/O22,"")</f>
      </c>
      <c r="S22" s="85" t="str">
        <f ca="1">IFERROR((E22*(1+P22+Q22)+R22)/(1-J22*0.007/30),"")</f>
      </c>
      <c r="T22" s="87" t="str">
        <f ca="1">IFERROR(VLOOKUP(B22,DATA!$G$2:$I$6,2,0),"")</f>
      </c>
      <c r="U22" s="89" t="str">
        <f ca="1">IFERROR(ROUND((S22/(1-T22)+($K$12+$L$12)/$O$62)/(1-M22),-3),"")</f>
      </c>
      <c r="V22" s="85" t="str">
        <f ca="1">IFERROR(ROUND(U22*O22,0),"")</f>
      </c>
      <c r="Y22" s="64" t="s">
        <v>4</v>
      </c>
      <c r="Z22" s="64">
        <v>10000</v>
      </c>
      <c r="AA22" s="65">
        <v>-0.1</v>
      </c>
    </row>
    <row r="23" spans="1:27" ht="11.65" customHeight="1">
      <c r="A23" s="79"/>
      <c r="B23" s="80"/>
      <c r="C23" s="80"/>
      <c r="D23" s="79" t="str">
        <f ca="1">IFERROR(VLOOKUP(B23,DATA!$G$2:$I$6,3,0),"")</f>
      </c>
      <c r="E23" s="81"/>
      <c r="F23" s="82"/>
      <c r="G23" s="82"/>
      <c r="H23" s="82"/>
      <c r="I23" s="83"/>
      <c r="J23" s="83"/>
      <c r="K23" s="81"/>
      <c r="L23" s="81"/>
      <c r="M23" s="84" t="str">
        <f ca="1">IFERROR(IF(AND(OR(LEFT(B23,FIND(" ",B23,1)-1)="Đồng",LEFT(B23,FIND(" ",B23,1)-1)="Nhôm"),OR(F23&gt;(G23/10),C23="Tròn")),5%,0),"")</f>
      </c>
      <c r="N23" s="114">
        <f ca="1">IF(C23="Tròn",PI()*(F23/2)^2/(10^2),IF(C23="Chữ nhật",F23*G23/10^2,0))</f>
        <v>0</v>
      </c>
      <c r="O23" s="86" t="str">
        <f ca="1">IFERROR(N23*H23*D23*I23/10^4,"")</f>
      </c>
      <c r="P23" s="87" t="str">
        <f ca="1">IFERROR(5/H23,"")</f>
      </c>
      <c r="Q23" s="88">
        <v>0.035</v>
      </c>
      <c r="R23" s="85" t="str">
        <f ca="1">IFERROR(IF(N23=0,"-",IF(OR(N23&lt;=5,N23&gt;=45),2500,IF(AND(N23&gt;5,N23&lt;20),1800,2000)))*I23/O23,"")</f>
      </c>
      <c r="S23" s="85" t="str">
        <f ca="1">IFERROR((E23*(1+P23+Q23)+R23)/(1-J23*0.007/30),"")</f>
      </c>
      <c r="T23" s="87" t="str">
        <f ca="1">IFERROR(VLOOKUP(B23,DATA!$G$2:$I$6,2,0),"")</f>
      </c>
      <c r="U23" s="89" t="str">
        <f ca="1">IFERROR(ROUND((S23/(1-T23)+($K$12+$L$12)/$O$62)/(1-M23),-3),"")</f>
      </c>
      <c r="V23" s="85" t="str">
        <f ca="1">IFERROR(ROUND(U23*O23,0),"")</f>
      </c>
      <c r="Y23" s="64" t="s">
        <v>1</v>
      </c>
      <c r="Z23" s="64">
        <v>10000</v>
      </c>
      <c r="AA23" s="65">
        <v>-0.2</v>
      </c>
    </row>
    <row r="24" spans="1:23" ht="11.65" customHeight="1">
      <c r="A24" s="79"/>
      <c r="B24" s="80"/>
      <c r="C24" s="80"/>
      <c r="D24" s="79" t="str">
        <f ca="1">IFERROR(VLOOKUP(B24,DATA!$G$2:$I$6,3,0),"")</f>
      </c>
      <c r="E24" s="81"/>
      <c r="F24" s="82"/>
      <c r="G24" s="82"/>
      <c r="H24" s="82"/>
      <c r="I24" s="83"/>
      <c r="J24" s="83"/>
      <c r="K24" s="81"/>
      <c r="L24" s="81"/>
      <c r="M24" s="84" t="str">
        <f ca="1">IFERROR(IF(AND(OR(LEFT(B24,FIND(" ",B24,1)-1)="Đồng",LEFT(B24,FIND(" ",B24,1)-1)="Nhôm"),OR(F24&gt;(G24/10),C24="Tròn")),5%,0),"")</f>
      </c>
      <c r="N24" s="114">
        <f ca="1">IF(C24="Tròn",PI()*(F24/2)^2/(10^2),IF(C24="Chữ nhật",F24*G24/10^2,0))</f>
        <v>0</v>
      </c>
      <c r="O24" s="86" t="str">
        <f ca="1">IFERROR(N24*H24*D24*I24/10^4,"")</f>
      </c>
      <c r="P24" s="87" t="str">
        <f ca="1">IFERROR(5/H24,"")</f>
      </c>
      <c r="Q24" s="88">
        <v>0.035</v>
      </c>
      <c r="R24" s="85" t="str">
        <f ca="1">IFERROR(IF(N24=0,"-",IF(OR(N24&lt;=5,N24&gt;=45),2500,IF(AND(N24&gt;5,N24&lt;20),1800,2000)))*I24/O24,"")</f>
      </c>
      <c r="S24" s="85" t="str">
        <f ca="1">IFERROR((E24*(1+P24+Q24)+R24)/(1-J24*0.007/30),"")</f>
      </c>
      <c r="T24" s="87" t="str">
        <f ca="1">IFERROR(VLOOKUP(B24,DATA!$G$2:$I$6,2,0),"")</f>
      </c>
      <c r="U24" s="89" t="str">
        <f ca="1">IFERROR(ROUND((S24/(1-T24)+($K$12+$L$12)/$O$62)/(1-M24),-3),"")</f>
      </c>
      <c r="V24" s="85" t="str">
        <f ca="1">IFERROR(ROUND(U24*O24,0),"")</f>
      </c>
    </row>
    <row r="25" spans="1:23" ht="11.65" customHeight="1">
      <c r="A25" s="79"/>
      <c r="B25" s="80"/>
      <c r="C25" s="80"/>
      <c r="D25" s="79" t="str">
        <f ca="1">IFERROR(VLOOKUP(B25,DATA!$G$2:$I$6,3,0),"")</f>
      </c>
      <c r="E25" s="81"/>
      <c r="F25" s="82"/>
      <c r="G25" s="82"/>
      <c r="H25" s="82"/>
      <c r="I25" s="83"/>
      <c r="J25" s="83"/>
      <c r="K25" s="81"/>
      <c r="L25" s="81"/>
      <c r="M25" s="84" t="str">
        <f ca="1">IFERROR(IF(AND(OR(LEFT(B25,FIND(" ",B25,1)-1)="Đồng",LEFT(B25,FIND(" ",B25,1)-1)="Nhôm"),OR(F25&gt;(G25/10),C25="Tròn")),5%,0),"")</f>
      </c>
      <c r="N25" s="114">
        <f ca="1">IF(C25="Tròn",PI()*(F25/2)^2/(10^2),IF(C25="Chữ nhật",F25*G25/10^2,0))</f>
        <v>0</v>
      </c>
      <c r="O25" s="86" t="str">
        <f ca="1">IFERROR(N25*H25*D25*I25/10^4,"")</f>
      </c>
      <c r="P25" s="87" t="str">
        <f ca="1">IFERROR(5/H25,"")</f>
      </c>
      <c r="Q25" s="88">
        <v>0.035</v>
      </c>
      <c r="R25" s="85" t="str">
        <f ca="1">IFERROR(IF(N25=0,"-",IF(OR(N25&lt;=5,N25&gt;=45),2500,IF(AND(N25&gt;5,N25&lt;20),1800,2000)))*I25/O25,"")</f>
      </c>
      <c r="S25" s="85" t="str">
        <f ca="1">IFERROR((E25*(1+P25+Q25)+R25)/(1-J25*0.007/30),"")</f>
      </c>
      <c r="T25" s="87" t="str">
        <f ca="1">IFERROR(VLOOKUP(B25,DATA!$G$2:$I$6,2,0),"")</f>
      </c>
      <c r="U25" s="89" t="str">
        <f ca="1">IFERROR(ROUND((S25/(1-T25)+($K$12+$L$12)/$O$62)/(1-M25),-3),"")</f>
      </c>
      <c r="V25" s="85" t="str">
        <f ca="1">IFERROR(ROUND(U25*O25,0),"")</f>
      </c>
    </row>
    <row r="26" spans="1:23" ht="11.65" customHeight="1">
      <c r="A26" s="79"/>
      <c r="B26" s="80"/>
      <c r="C26" s="80"/>
      <c r="D26" s="79" t="str">
        <f ca="1">IFERROR(VLOOKUP(B26,DATA!$G$2:$I$6,3,0),"")</f>
      </c>
      <c r="E26" s="81"/>
      <c r="F26" s="82"/>
      <c r="G26" s="82"/>
      <c r="H26" s="82"/>
      <c r="I26" s="83"/>
      <c r="J26" s="83"/>
      <c r="K26" s="81"/>
      <c r="L26" s="81"/>
      <c r="M26" s="84" t="str">
        <f ca="1">IFERROR(IF(AND(OR(LEFT(B26,FIND(" ",B26,1)-1)="Đồng",LEFT(B26,FIND(" ",B26,1)-1)="Nhôm"),OR(F26&gt;(G26/10),C26="Tròn")),5%,0),"")</f>
      </c>
      <c r="N26" s="114">
        <f ca="1">IF(C26="Tròn",PI()*(F26/2)^2/(10^2),IF(C26="Chữ nhật",F26*G26/10^2,0))</f>
        <v>0</v>
      </c>
      <c r="O26" s="86" t="str">
        <f ca="1">IFERROR(N26*H26*D26*I26/10^4,"")</f>
      </c>
      <c r="P26" s="87" t="str">
        <f ca="1">IFERROR(5/H26,"")</f>
      </c>
      <c r="Q26" s="88">
        <v>0.035</v>
      </c>
      <c r="R26" s="85" t="str">
        <f ca="1">IFERROR(IF(N26=0,"-",IF(OR(N26&lt;=5,N26&gt;=45),2500,IF(AND(N26&gt;5,N26&lt;20),1800,2000)))*I26/O26,"")</f>
      </c>
      <c r="S26" s="85" t="str">
        <f ca="1">IFERROR((E26*(1+P26+Q26)+R26)/(1-J26*0.007/30),"")</f>
      </c>
      <c r="T26" s="87" t="str">
        <f ca="1">IFERROR(VLOOKUP(B26,DATA!$G$2:$I$6,2,0),"")</f>
      </c>
      <c r="U26" s="89" t="str">
        <f ca="1">IFERROR(ROUND((S26/(1-T26)+($K$12+$L$12)/$O$62)/(1-M26),-3),"")</f>
      </c>
      <c r="V26" s="85" t="str">
        <f ca="1">IFERROR(ROUND(U26*O26,0),"")</f>
      </c>
    </row>
    <row r="27" spans="1:23" ht="11.65" customHeight="1">
      <c r="A27" s="79"/>
      <c r="B27" s="80"/>
      <c r="C27" s="80"/>
      <c r="D27" s="79" t="str">
        <f ca="1">IFERROR(VLOOKUP(B27,DATA!$G$2:$I$6,3,0),"")</f>
      </c>
      <c r="E27" s="81"/>
      <c r="F27" s="82"/>
      <c r="G27" s="82"/>
      <c r="H27" s="82"/>
      <c r="I27" s="83"/>
      <c r="J27" s="83"/>
      <c r="K27" s="81"/>
      <c r="L27" s="81"/>
      <c r="M27" s="84" t="str">
        <f ca="1">IFERROR(IF(AND(OR(LEFT(B27,FIND(" ",B27,1)-1)="Đồng",LEFT(B27,FIND(" ",B27,1)-1)="Nhôm"),OR(F27&gt;(G27/10),C27="Tròn")),5%,0),"")</f>
      </c>
      <c r="N27" s="114">
        <f ca="1">IF(C27="Tròn",PI()*(F27/2)^2/(10^2),IF(C27="Chữ nhật",F27*G27/10^2,0))</f>
        <v>0</v>
      </c>
      <c r="O27" s="86" t="str">
        <f ca="1">IFERROR(N27*H27*D27*I27/10^4,"")</f>
      </c>
      <c r="P27" s="87" t="str">
        <f ca="1">IFERROR(5/H27,"")</f>
      </c>
      <c r="Q27" s="88">
        <v>0.035</v>
      </c>
      <c r="R27" s="85" t="str">
        <f ca="1">IFERROR(IF(N27=0,"-",IF(OR(N27&lt;=5,N27&gt;=45),2500,IF(AND(N27&gt;5,N27&lt;20),1800,2000)))*I27/O27,"")</f>
      </c>
      <c r="S27" s="85" t="str">
        <f ca="1">IFERROR((E27*(1+P27+Q27)+R27)/(1-J27*0.007/30),"")</f>
      </c>
      <c r="T27" s="87" t="str">
        <f ca="1">IFERROR(VLOOKUP(B27,DATA!$G$2:$I$6,2,0),"")</f>
      </c>
      <c r="U27" s="89" t="str">
        <f ca="1">IFERROR(ROUND((S27/(1-T27)+($K$12+$L$12)/$O$62)/(1-M27),-3),"")</f>
      </c>
      <c r="V27" s="85" t="str">
        <f ca="1">IFERROR(ROUND(U27*O27,0),"")</f>
      </c>
    </row>
    <row r="28" spans="1:23" ht="11.65" customHeight="1">
      <c r="A28" s="79"/>
      <c r="B28" s="80"/>
      <c r="C28" s="80"/>
      <c r="D28" s="79" t="str">
        <f ca="1">IFERROR(VLOOKUP(B28,DATA!$G$2:$I$6,3,0),"")</f>
      </c>
      <c r="E28" s="81"/>
      <c r="F28" s="82"/>
      <c r="G28" s="82"/>
      <c r="H28" s="82"/>
      <c r="I28" s="83"/>
      <c r="J28" s="83"/>
      <c r="K28" s="81"/>
      <c r="L28" s="81"/>
      <c r="M28" s="84" t="str">
        <f ca="1">IFERROR(IF(AND(OR(LEFT(B28,FIND(" ",B28,1)-1)="Đồng",LEFT(B28,FIND(" ",B28,1)-1)="Nhôm"),OR(F28&gt;(G28/10),C28="Tròn")),5%,0),"")</f>
      </c>
      <c r="N28" s="114">
        <f ca="1">IF(C28="Tròn",PI()*(F28/2)^2/(10^2),IF(C28="Chữ nhật",F28*G28/10^2,0))</f>
        <v>0</v>
      </c>
      <c r="O28" s="86" t="str">
        <f ca="1">IFERROR(N28*H28*D28*I28/10^4,"")</f>
      </c>
      <c r="P28" s="87" t="str">
        <f ca="1">IFERROR(5/H28,"")</f>
      </c>
      <c r="Q28" s="88">
        <v>0.035</v>
      </c>
      <c r="R28" s="85" t="str">
        <f ca="1">IFERROR(IF(N28=0,"-",IF(OR(N28&lt;=5,N28&gt;=45),2500,IF(AND(N28&gt;5,N28&lt;20),1800,2000)))*I28/O28,"")</f>
      </c>
      <c r="S28" s="85" t="str">
        <f ca="1">IFERROR((E28*(1+P28+Q28)+R28)/(1-J28*0.007/30),"")</f>
      </c>
      <c r="T28" s="87" t="str">
        <f ca="1">IFERROR(VLOOKUP(B28,DATA!$G$2:$I$6,2,0),"")</f>
      </c>
      <c r="U28" s="89" t="str">
        <f ca="1">IFERROR(ROUND((S28/(1-T28)+($K$12+$L$12)/$O$62)/(1-M28),-3),"")</f>
      </c>
      <c r="V28" s="85" t="str">
        <f ca="1">IFERROR(ROUND(U28*O28,0),"")</f>
      </c>
    </row>
    <row r="29" spans="1:23" ht="11.65" customHeight="1">
      <c r="A29" s="79"/>
      <c r="B29" s="80"/>
      <c r="C29" s="80"/>
      <c r="D29" s="79" t="str">
        <f ca="1">IFERROR(VLOOKUP(B29,DATA!$G$2:$I$6,3,0),"")</f>
      </c>
      <c r="E29" s="81"/>
      <c r="F29" s="82"/>
      <c r="G29" s="82"/>
      <c r="H29" s="82"/>
      <c r="I29" s="83"/>
      <c r="J29" s="83"/>
      <c r="K29" s="81"/>
      <c r="L29" s="81"/>
      <c r="M29" s="84" t="str">
        <f ca="1">IFERROR(IF(AND(OR(LEFT(B29,FIND(" ",B29,1)-1)="Đồng",LEFT(B29,FIND(" ",B29,1)-1)="Nhôm"),OR(F29&gt;(G29/10),C29="Tròn")),5%,0),"")</f>
      </c>
      <c r="N29" s="114">
        <f ca="1">IF(C29="Tròn",PI()*(F29/2)^2/(10^2),IF(C29="Chữ nhật",F29*G29/10^2,0))</f>
        <v>0</v>
      </c>
      <c r="O29" s="86" t="str">
        <f ca="1">IFERROR(N29*H29*D29*I29/10^4,"")</f>
      </c>
      <c r="P29" s="87" t="str">
        <f ca="1">IFERROR(5/H29,"")</f>
      </c>
      <c r="Q29" s="88">
        <v>0.035</v>
      </c>
      <c r="R29" s="85" t="str">
        <f ca="1">IFERROR(IF(N29=0,"-",IF(OR(N29&lt;=5,N29&gt;=45),2500,IF(AND(N29&gt;5,N29&lt;20),1800,2000)))*I29/O29,"")</f>
      </c>
      <c r="S29" s="85" t="str">
        <f ca="1">IFERROR((E29*(1+P29+Q29)+R29)/(1-J29*0.007/30),"")</f>
      </c>
      <c r="T29" s="87" t="str">
        <f ca="1">IFERROR(VLOOKUP(B29,DATA!$G$2:$I$6,2,0),"")</f>
      </c>
      <c r="U29" s="89" t="str">
        <f ca="1">IFERROR(ROUND((S29/(1-T29)+($K$12+$L$12)/$O$62)/(1-M29),-3),"")</f>
      </c>
      <c r="V29" s="85" t="str">
        <f ca="1">IFERROR(ROUND(U29*O29,0),"")</f>
      </c>
    </row>
    <row r="30" spans="1:23" ht="11.65" customHeight="1">
      <c r="A30" s="79"/>
      <c r="B30" s="80"/>
      <c r="C30" s="80"/>
      <c r="D30" s="79" t="str">
        <f ca="1">IFERROR(VLOOKUP(B30,DATA!$G$2:$I$6,3,0),"")</f>
      </c>
      <c r="E30" s="81"/>
      <c r="F30" s="82"/>
      <c r="G30" s="82"/>
      <c r="H30" s="82"/>
      <c r="I30" s="83"/>
      <c r="J30" s="83"/>
      <c r="K30" s="81"/>
      <c r="L30" s="81"/>
      <c r="M30" s="84" t="str">
        <f ca="1">IFERROR(IF(AND(OR(LEFT(B30,FIND(" ",B30,1)-1)="Đồng",LEFT(B30,FIND(" ",B30,1)-1)="Nhôm"),OR(F30&gt;(G30/10),C30="Tròn")),5%,0),"")</f>
      </c>
      <c r="N30" s="114">
        <f ca="1">IF(C30="Tròn",PI()*(F30/2)^2/(10^2),IF(C30="Chữ nhật",F30*G30/10^2,0))</f>
        <v>0</v>
      </c>
      <c r="O30" s="86" t="str">
        <f ca="1">IFERROR(N30*H30*D30*I30/10^4,"")</f>
      </c>
      <c r="P30" s="87" t="str">
        <f ca="1">IFERROR(5/H30,"")</f>
      </c>
      <c r="Q30" s="88">
        <v>0.035</v>
      </c>
      <c r="R30" s="85" t="str">
        <f ca="1">IFERROR(IF(N30=0,"-",IF(OR(N30&lt;=5,N30&gt;=45),2500,IF(AND(N30&gt;5,N30&lt;20),1800,2000)))*I30/O30,"")</f>
      </c>
      <c r="S30" s="85" t="str">
        <f ca="1">IFERROR((E30*(1+P30+Q30)+R30)/(1-J30*0.007/30),"")</f>
      </c>
      <c r="T30" s="87" t="str">
        <f ca="1">IFERROR(VLOOKUP(B30,DATA!$G$2:$I$6,2,0),"")</f>
      </c>
      <c r="U30" s="89" t="str">
        <f ca="1">IFERROR(ROUND((S30/(1-T30)+($K$12+$L$12)/$O$62)/(1-M30),-3),"")</f>
      </c>
      <c r="V30" s="85" t="str">
        <f ca="1">IFERROR(ROUND(U30*O30,0),"")</f>
      </c>
    </row>
    <row r="31" spans="1:23" ht="11.65" customHeight="1">
      <c r="A31" s="79"/>
      <c r="B31" s="80"/>
      <c r="C31" s="80"/>
      <c r="D31" s="79" t="str">
        <f ca="1">IFERROR(VLOOKUP(B31,DATA!$G$2:$I$6,3,0),"")</f>
      </c>
      <c r="E31" s="81"/>
      <c r="F31" s="82"/>
      <c r="G31" s="82"/>
      <c r="H31" s="82"/>
      <c r="I31" s="83"/>
      <c r="J31" s="83"/>
      <c r="K31" s="81"/>
      <c r="L31" s="81"/>
      <c r="M31" s="84" t="str">
        <f ca="1">IFERROR(IF(AND(OR(LEFT(B31,FIND(" ",B31,1)-1)="Đồng",LEFT(B31,FIND(" ",B31,1)-1)="Nhôm"),OR(F31&gt;(G31/10),C31="Tròn")),5%,0),"")</f>
      </c>
      <c r="N31" s="114">
        <f ca="1">IF(C31="Tròn",PI()*(F31/2)^2/(10^2),IF(C31="Chữ nhật",F31*G31/10^2,0))</f>
        <v>0</v>
      </c>
      <c r="O31" s="86" t="str">
        <f ca="1">IFERROR(N31*H31*D31*I31/10^4,"")</f>
      </c>
      <c r="P31" s="87" t="str">
        <f ca="1">IFERROR(5/H31,"")</f>
      </c>
      <c r="Q31" s="88">
        <v>0.035</v>
      </c>
      <c r="R31" s="85" t="str">
        <f ca="1">IFERROR(IF(N31=0,"-",IF(OR(N31&lt;=5,N31&gt;=45),2500,IF(AND(N31&gt;5,N31&lt;20),1800,2000)))*I31/O31,"")</f>
      </c>
      <c r="S31" s="85" t="str">
        <f ca="1">IFERROR((E31*(1+P31+Q31)+R31)/(1-J31*0.007/30),"")</f>
      </c>
      <c r="T31" s="87" t="str">
        <f ca="1">IFERROR(VLOOKUP(B31,DATA!$G$2:$I$6,2,0),"")</f>
      </c>
      <c r="U31" s="89" t="str">
        <f ca="1">IFERROR(ROUND((S31/(1-T31)+($K$12+$L$12)/$O$62)/(1-M31),-3),"")</f>
      </c>
      <c r="V31" s="85" t="str">
        <f ca="1">IFERROR(ROUND(U31*O31,0),"")</f>
      </c>
    </row>
    <row r="32" spans="1:23" ht="11.65" customHeight="1">
      <c r="A32" s="79"/>
      <c r="B32" s="80"/>
      <c r="C32" s="80"/>
      <c r="D32" s="79" t="str">
        <f ca="1">IFERROR(VLOOKUP(B32,DATA!$G$2:$I$6,3,0),"")</f>
      </c>
      <c r="E32" s="81"/>
      <c r="F32" s="82"/>
      <c r="G32" s="82"/>
      <c r="H32" s="82"/>
      <c r="I32" s="83"/>
      <c r="J32" s="83"/>
      <c r="K32" s="81"/>
      <c r="L32" s="81"/>
      <c r="M32" s="84" t="str">
        <f ca="1">IFERROR(IF(AND(OR(LEFT(B32,FIND(" ",B32,1)-1)="Đồng",LEFT(B32,FIND(" ",B32,1)-1)="Nhôm"),OR(F32&gt;(G32/10),C32="Tròn")),5%,0),"")</f>
      </c>
      <c r="N32" s="114">
        <f ca="1">IF(C32="Tròn",PI()*(F32/2)^2/(10^2),IF(C32="Chữ nhật",F32*G32/10^2,0))</f>
        <v>0</v>
      </c>
      <c r="O32" s="86" t="str">
        <f ca="1">IFERROR(N32*H32*D32*I32/10^4,"")</f>
      </c>
      <c r="P32" s="87" t="str">
        <f ca="1">IFERROR(5/H32,"")</f>
      </c>
      <c r="Q32" s="88">
        <v>0.035</v>
      </c>
      <c r="R32" s="85" t="str">
        <f ca="1">IFERROR(IF(N32=0,"-",IF(OR(N32&lt;=5,N32&gt;=45),2500,IF(AND(N32&gt;5,N32&lt;20),1800,2000)))*I32/O32,"")</f>
      </c>
      <c r="S32" s="85" t="str">
        <f ca="1">IFERROR((E32*(1+P32+Q32)+R32)/(1-J32*0.007/30),"")</f>
      </c>
      <c r="T32" s="87" t="str">
        <f ca="1">IFERROR(VLOOKUP(B32,DATA!$G$2:$I$6,2,0),"")</f>
      </c>
      <c r="U32" s="89" t="str">
        <f ca="1">IFERROR(ROUND((S32/(1-T32)+($K$12+$L$12)/$O$62)/(1-M32),-3),"")</f>
      </c>
      <c r="V32" s="85" t="str">
        <f ca="1">IFERROR(ROUND(U32*O32,0),"")</f>
      </c>
    </row>
    <row r="33" spans="1:23" ht="11.65" customHeight="1">
      <c r="A33" s="79"/>
      <c r="B33" s="80"/>
      <c r="C33" s="80"/>
      <c r="D33" s="79" t="str">
        <f ca="1">IFERROR(VLOOKUP(B33,DATA!$G$2:$I$6,3,0),"")</f>
      </c>
      <c r="E33" s="81"/>
      <c r="F33" s="82"/>
      <c r="G33" s="82"/>
      <c r="H33" s="82"/>
      <c r="I33" s="83"/>
      <c r="J33" s="83"/>
      <c r="K33" s="81"/>
      <c r="L33" s="81"/>
      <c r="M33" s="84" t="str">
        <f ca="1">IFERROR(IF(AND(OR(LEFT(B33,FIND(" ",B33,1)-1)="Đồng",LEFT(B33,FIND(" ",B33,1)-1)="Nhôm"),OR(F33&gt;(G33/10),C33="Tròn")),5%,0),"")</f>
      </c>
      <c r="N33" s="114">
        <f ca="1">IF(C33="Tròn",PI()*(F33/2)^2/(10^2),IF(C33="Chữ nhật",F33*G33/10^2,0))</f>
        <v>0</v>
      </c>
      <c r="O33" s="86" t="str">
        <f ca="1">IFERROR(N33*H33*D33*I33/10^4,"")</f>
      </c>
      <c r="P33" s="87" t="str">
        <f ca="1">IFERROR(5/H33,"")</f>
      </c>
      <c r="Q33" s="88">
        <v>0.035</v>
      </c>
      <c r="R33" s="85" t="str">
        <f ca="1">IFERROR(IF(N33=0,"-",IF(OR(N33&lt;=5,N33&gt;=45),2500,IF(AND(N33&gt;5,N33&lt;20),1800,2000)))*I33/O33,"")</f>
      </c>
      <c r="S33" s="85" t="str">
        <f ca="1">IFERROR((E33*(1+P33+Q33)+R33)/(1-J33*0.007/30),"")</f>
      </c>
      <c r="T33" s="87" t="str">
        <f ca="1">IFERROR(VLOOKUP(B33,DATA!$G$2:$I$6,2,0),"")</f>
      </c>
      <c r="U33" s="89" t="str">
        <f ca="1">IFERROR(ROUND((S33/(1-T33)+($K$12+$L$12)/$O$62)/(1-M33),-3),"")</f>
      </c>
      <c r="V33" s="85" t="str">
        <f ca="1">IFERROR(ROUND(U33*O33,0),"")</f>
      </c>
    </row>
    <row r="34" spans="1:23" ht="11.65" customHeight="1">
      <c r="A34" s="79"/>
      <c r="B34" s="80"/>
      <c r="C34" s="80"/>
      <c r="D34" s="79" t="str">
        <f ca="1">IFERROR(VLOOKUP(B34,DATA!$G$2:$I$6,3,0),"")</f>
      </c>
      <c r="E34" s="81"/>
      <c r="F34" s="82"/>
      <c r="G34" s="82"/>
      <c r="H34" s="82"/>
      <c r="I34" s="83"/>
      <c r="J34" s="83"/>
      <c r="K34" s="81"/>
      <c r="L34" s="81"/>
      <c r="M34" s="84" t="str">
        <f ca="1">IFERROR(IF(AND(OR(LEFT(B34,FIND(" ",B34,1)-1)="Đồng",LEFT(B34,FIND(" ",B34,1)-1)="Nhôm"),OR(F34&gt;(G34/10),C34="Tròn")),5%,0),"")</f>
      </c>
      <c r="N34" s="114">
        <f ca="1">IF(C34="Tròn",PI()*(F34/2)^2/(10^2),IF(C34="Chữ nhật",F34*G34/10^2,0))</f>
        <v>0</v>
      </c>
      <c r="O34" s="86" t="str">
        <f ca="1">IFERROR(N34*H34*D34*I34/10^4,"")</f>
      </c>
      <c r="P34" s="87" t="str">
        <f ca="1">IFERROR(5/H34,"")</f>
      </c>
      <c r="Q34" s="88">
        <v>0.035</v>
      </c>
      <c r="R34" s="85" t="str">
        <f ca="1">IFERROR(IF(N34=0,"-",IF(OR(N34&lt;=5,N34&gt;=45),2500,IF(AND(N34&gt;5,N34&lt;20),1800,2000)))*I34/O34,"")</f>
      </c>
      <c r="S34" s="85" t="str">
        <f ca="1">IFERROR((E34*(1+P34+Q34)+R34)/(1-J34*0.007/30),"")</f>
      </c>
      <c r="T34" s="87" t="str">
        <f ca="1">IFERROR(VLOOKUP(B34,DATA!$G$2:$I$6,2,0),"")</f>
      </c>
      <c r="U34" s="89" t="str">
        <f ca="1">IFERROR(ROUND((S34/(1-T34)+($K$12+$L$12)/$O$62)/(1-M34),-3),"")</f>
      </c>
      <c r="V34" s="85" t="str">
        <f ca="1">IFERROR(ROUND(U34*O34,0),"")</f>
      </c>
    </row>
    <row r="35" spans="1:23" ht="11.65" customHeight="1">
      <c r="A35" s="79"/>
      <c r="B35" s="80"/>
      <c r="C35" s="80"/>
      <c r="D35" s="79" t="str">
        <f ca="1">IFERROR(VLOOKUP(B35,DATA!$G$2:$I$6,3,0),"")</f>
      </c>
      <c r="E35" s="81"/>
      <c r="F35" s="82"/>
      <c r="G35" s="82"/>
      <c r="H35" s="82"/>
      <c r="I35" s="83"/>
      <c r="J35" s="83"/>
      <c r="K35" s="81"/>
      <c r="L35" s="81"/>
      <c r="M35" s="84" t="str">
        <f ca="1">IFERROR(IF(AND(OR(LEFT(B35,FIND(" ",B35,1)-1)="Đồng",LEFT(B35,FIND(" ",B35,1)-1)="Nhôm"),OR(F35&gt;(G35/10),C35="Tròn")),5%,0),"")</f>
      </c>
      <c r="N35" s="114">
        <f ca="1">IF(C35="Tròn",PI()*(F35/2)^2/(10^2),IF(C35="Chữ nhật",F35*G35/10^2,0))</f>
        <v>0</v>
      </c>
      <c r="O35" s="86" t="str">
        <f ca="1">IFERROR(N35*H35*D35*I35/10^4,"")</f>
      </c>
      <c r="P35" s="87" t="str">
        <f ca="1">IFERROR(5/H35,"")</f>
      </c>
      <c r="Q35" s="88">
        <v>0.035</v>
      </c>
      <c r="R35" s="85" t="str">
        <f ca="1">IFERROR(IF(N35=0,"-",IF(OR(N35&lt;=5,N35&gt;=45),2500,IF(AND(N35&gt;5,N35&lt;20),1800,2000)))*I35/O35,"")</f>
      </c>
      <c r="S35" s="85" t="str">
        <f ca="1">IFERROR((E35*(1+P35+Q35)+R35)/(1-J35*0.007/30),"")</f>
      </c>
      <c r="T35" s="87" t="str">
        <f ca="1">IFERROR(VLOOKUP(B35,DATA!$G$2:$I$6,2,0),"")</f>
      </c>
      <c r="U35" s="89" t="str">
        <f ca="1">IFERROR(ROUND((S35/(1-T35)+($K$12+$L$12)/$O$62)/(1-M35),-3),"")</f>
      </c>
      <c r="V35" s="85" t="str">
        <f ca="1">IFERROR(ROUND(U35*O35,0),"")</f>
      </c>
    </row>
    <row r="36" spans="1:23" ht="11.65" customHeight="1">
      <c r="A36" s="79"/>
      <c r="B36" s="80"/>
      <c r="C36" s="80"/>
      <c r="D36" s="79" t="str">
        <f ca="1">IFERROR(VLOOKUP(B36,DATA!$G$2:$I$6,3,0),"")</f>
      </c>
      <c r="E36" s="81"/>
      <c r="F36" s="82"/>
      <c r="G36" s="82"/>
      <c r="H36" s="82"/>
      <c r="I36" s="83"/>
      <c r="J36" s="83"/>
      <c r="K36" s="81"/>
      <c r="L36" s="81"/>
      <c r="M36" s="84" t="str">
        <f ca="1">IFERROR(IF(AND(OR(LEFT(B36,FIND(" ",B36,1)-1)="Đồng",LEFT(B36,FIND(" ",B36,1)-1)="Nhôm"),OR(F36&gt;(G36/10),C36="Tròn")),5%,0),"")</f>
      </c>
      <c r="N36" s="114">
        <f ca="1">IF(C36="Tròn",PI()*(F36/2)^2/(10^2),IF(C36="Chữ nhật",F36*G36/10^2,0))</f>
        <v>0</v>
      </c>
      <c r="O36" s="86" t="str">
        <f ca="1">IFERROR(N36*H36*D36*I36/10^4,"")</f>
      </c>
      <c r="P36" s="87" t="str">
        <f ca="1">IFERROR(5/H36,"")</f>
      </c>
      <c r="Q36" s="88">
        <v>0.035</v>
      </c>
      <c r="R36" s="85" t="str">
        <f ca="1">IFERROR(IF(N36=0,"-",IF(OR(N36&lt;=5,N36&gt;=45),2500,IF(AND(N36&gt;5,N36&lt;20),1800,2000)))*I36/O36,"")</f>
      </c>
      <c r="S36" s="85" t="str">
        <f ca="1">IFERROR((E36*(1+P36+Q36)+R36)/(1-J36*0.007/30),"")</f>
      </c>
      <c r="T36" s="87" t="str">
        <f ca="1">IFERROR(VLOOKUP(B36,DATA!$G$2:$I$6,2,0),"")</f>
      </c>
      <c r="U36" s="89" t="str">
        <f ca="1">IFERROR(ROUND((S36/(1-T36)+($K$12+$L$12)/$O$62)/(1-M36),-3),"")</f>
      </c>
      <c r="V36" s="85" t="str">
        <f ca="1">IFERROR(ROUND(U36*O36,0),"")</f>
      </c>
    </row>
    <row r="37" spans="1:23" ht="11.65" customHeight="1">
      <c r="A37" s="79"/>
      <c r="B37" s="80"/>
      <c r="C37" s="80"/>
      <c r="D37" s="79" t="str">
        <f ca="1">IFERROR(VLOOKUP(B37,DATA!$G$2:$I$6,3,0),"")</f>
      </c>
      <c r="E37" s="81"/>
      <c r="F37" s="82"/>
      <c r="G37" s="82"/>
      <c r="H37" s="82"/>
      <c r="I37" s="83"/>
      <c r="J37" s="83"/>
      <c r="K37" s="81"/>
      <c r="L37" s="81"/>
      <c r="M37" s="84" t="str">
        <f ca="1">IFERROR(IF(AND(OR(LEFT(B37,FIND(" ",B37,1)-1)="Đồng",LEFT(B37,FIND(" ",B37,1)-1)="Nhôm"),OR(F37&gt;(G37/10),C37="Tròn")),5%,0),"")</f>
      </c>
      <c r="N37" s="114">
        <f ca="1">IF(C37="Tròn",PI()*(F37/2)^2/(10^2),IF(C37="Chữ nhật",F37*G37/10^2,0))</f>
        <v>0</v>
      </c>
      <c r="O37" s="86" t="str">
        <f ca="1">IFERROR(N37*H37*D37*I37/10^4,"")</f>
      </c>
      <c r="P37" s="87" t="str">
        <f ca="1">IFERROR(5/H37,"")</f>
      </c>
      <c r="Q37" s="88">
        <v>0.035</v>
      </c>
      <c r="R37" s="85" t="str">
        <f ca="1">IFERROR(IF(N37=0,"-",IF(OR(N37&lt;=5,N37&gt;=45),2500,IF(AND(N37&gt;5,N37&lt;20),1800,2000)))*I37/O37,"")</f>
      </c>
      <c r="S37" s="85" t="str">
        <f ca="1">IFERROR((E37*(1+P37+Q37)+R37)/(1-J37*0.007/30),"")</f>
      </c>
      <c r="T37" s="87" t="str">
        <f ca="1">IFERROR(VLOOKUP(B37,DATA!$G$2:$I$6,2,0),"")</f>
      </c>
      <c r="U37" s="89" t="str">
        <f ca="1">IFERROR(ROUND((S37/(1-T37)+($K$12+$L$12)/$O$62)/(1-M37),-3),"")</f>
      </c>
      <c r="V37" s="85" t="str">
        <f ca="1">IFERROR(ROUND(U37*O37,0),"")</f>
      </c>
    </row>
    <row r="38" spans="1:23" ht="11.65" customHeight="1">
      <c r="A38" s="79"/>
      <c r="B38" s="80"/>
      <c r="C38" s="80"/>
      <c r="D38" s="79" t="str">
        <f ca="1">IFERROR(VLOOKUP(B38,DATA!$G$2:$I$6,3,0),"")</f>
      </c>
      <c r="E38" s="81"/>
      <c r="F38" s="82"/>
      <c r="G38" s="82"/>
      <c r="H38" s="82"/>
      <c r="I38" s="83"/>
      <c r="J38" s="83"/>
      <c r="K38" s="81"/>
      <c r="L38" s="81"/>
      <c r="M38" s="84" t="str">
        <f ca="1">IFERROR(IF(AND(OR(LEFT(B38,FIND(" ",B38,1)-1)="Đồng",LEFT(B38,FIND(" ",B38,1)-1)="Nhôm"),OR(F38&gt;(G38/10),C38="Tròn")),5%,0),"")</f>
      </c>
      <c r="N38" s="114">
        <f ca="1">IF(C38="Tròn",PI()*(F38/2)^2/(10^2),IF(C38="Chữ nhật",F38*G38/10^2,0))</f>
        <v>0</v>
      </c>
      <c r="O38" s="86" t="str">
        <f ca="1">IFERROR(N38*H38*D38*I38/10^4,"")</f>
      </c>
      <c r="P38" s="87" t="str">
        <f ca="1">IFERROR(5/H38,"")</f>
      </c>
      <c r="Q38" s="88">
        <v>0.035</v>
      </c>
      <c r="R38" s="85" t="str">
        <f ca="1">IFERROR(IF(N38=0,"-",IF(OR(N38&lt;=5,N38&gt;=45),2500,IF(AND(N38&gt;5,N38&lt;20),1800,2000)))*I38/O38,"")</f>
      </c>
      <c r="S38" s="85" t="str">
        <f ca="1">IFERROR((E38*(1+P38+Q38)+R38)/(1-J38*0.007/30),"")</f>
      </c>
      <c r="T38" s="87" t="str">
        <f ca="1">IFERROR(VLOOKUP(B38,DATA!$G$2:$I$6,2,0),"")</f>
      </c>
      <c r="U38" s="89" t="str">
        <f ca="1">IFERROR(ROUND((S38/(1-T38)+($K$12+$L$12)/$O$62)/(1-M38),-3),"")</f>
      </c>
      <c r="V38" s="85" t="str">
        <f ca="1">IFERROR(ROUND(U38*O38,0),"")</f>
      </c>
    </row>
    <row r="39" spans="1:23" ht="11.65" customHeight="1">
      <c r="A39" s="79"/>
      <c r="B39" s="80"/>
      <c r="C39" s="80"/>
      <c r="D39" s="79" t="str">
        <f ca="1">IFERROR(VLOOKUP(B39,DATA!$G$2:$I$6,3,0),"")</f>
      </c>
      <c r="E39" s="81"/>
      <c r="F39" s="82"/>
      <c r="G39" s="82"/>
      <c r="H39" s="82"/>
      <c r="I39" s="83"/>
      <c r="J39" s="83"/>
      <c r="K39" s="81"/>
      <c r="L39" s="81"/>
      <c r="M39" s="84" t="str">
        <f ca="1">IFERROR(IF(AND(OR(LEFT(B39,FIND(" ",B39,1)-1)="Đồng",LEFT(B39,FIND(" ",B39,1)-1)="Nhôm"),OR(F39&gt;(G39/10),C39="Tròn")),5%,0),"")</f>
      </c>
      <c r="N39" s="114">
        <f ca="1">IF(C39="Tròn",PI()*(F39/2)^2/(10^2),IF(C39="Chữ nhật",F39*G39/10^2,0))</f>
        <v>0</v>
      </c>
      <c r="O39" s="86" t="str">
        <f ca="1">IFERROR(N39*H39*D39*I39/10^4,"")</f>
      </c>
      <c r="P39" s="87" t="str">
        <f ca="1">IFERROR(5/H39,"")</f>
      </c>
      <c r="Q39" s="88">
        <v>0.035</v>
      </c>
      <c r="R39" s="85" t="str">
        <f ca="1">IFERROR(IF(N39=0,"-",IF(OR(N39&lt;=5,N39&gt;=45),2500,IF(AND(N39&gt;5,N39&lt;20),1800,2000)))*I39/O39,"")</f>
      </c>
      <c r="S39" s="85" t="str">
        <f ca="1">IFERROR((E39*(1+P39+Q39)+R39)/(1-J39*0.007/30),"")</f>
      </c>
      <c r="T39" s="87" t="str">
        <f ca="1">IFERROR(VLOOKUP(B39,DATA!$G$2:$I$6,2,0),"")</f>
      </c>
      <c r="U39" s="89" t="str">
        <f ca="1">IFERROR(ROUND((S39/(1-T39)+($K$12+$L$12)/$O$62)/(1-M39),-3),"")</f>
      </c>
      <c r="V39" s="85" t="str">
        <f ca="1">IFERROR(ROUND(U39*O39,0),"")</f>
      </c>
    </row>
    <row r="40" spans="1:23" ht="11.65" customHeight="1">
      <c r="A40" s="79"/>
      <c r="B40" s="80"/>
      <c r="C40" s="80"/>
      <c r="D40" s="79" t="str">
        <f ca="1">IFERROR(VLOOKUP(B40,DATA!$G$2:$I$6,3,0),"")</f>
      </c>
      <c r="E40" s="81"/>
      <c r="F40" s="82"/>
      <c r="G40" s="82"/>
      <c r="H40" s="82"/>
      <c r="I40" s="83"/>
      <c r="J40" s="83"/>
      <c r="K40" s="81"/>
      <c r="L40" s="81"/>
      <c r="M40" s="84" t="str">
        <f ca="1">IFERROR(IF(AND(OR(LEFT(B40,FIND(" ",B40,1)-1)="Đồng",LEFT(B40,FIND(" ",B40,1)-1)="Nhôm"),OR(F40&gt;(G40/10),C40="Tròn")),5%,0),"")</f>
      </c>
      <c r="N40" s="114">
        <f ca="1">IF(C40="Tròn",PI()*(F40/2)^2/(10^2),IF(C40="Chữ nhật",F40*G40/10^2,0))</f>
        <v>0</v>
      </c>
      <c r="O40" s="86" t="str">
        <f ca="1">IFERROR(N40*H40*D40*I40/10^4,"")</f>
      </c>
      <c r="P40" s="87" t="str">
        <f ca="1">IFERROR(5/H40,"")</f>
      </c>
      <c r="Q40" s="88">
        <v>0.035</v>
      </c>
      <c r="R40" s="85" t="str">
        <f ca="1">IFERROR(IF(N40=0,"-",IF(OR(N40&lt;=5,N40&gt;=45),2500,IF(AND(N40&gt;5,N40&lt;20),1800,2000)))*I40/O40,"")</f>
      </c>
      <c r="S40" s="85" t="str">
        <f ca="1">IFERROR((E40*(1+P40+Q40)+R40)/(1-J40*0.007/30),"")</f>
      </c>
      <c r="T40" s="87" t="str">
        <f ca="1">IFERROR(VLOOKUP(B40,DATA!$G$2:$I$6,2,0),"")</f>
      </c>
      <c r="U40" s="89" t="str">
        <f ca="1">IFERROR(ROUND((S40/(1-T40)+($K$12+$L$12)/$O$62)/(1-M40),-3),"")</f>
      </c>
      <c r="V40" s="85" t="str">
        <f ca="1">IFERROR(ROUND(U40*O40,0),"")</f>
      </c>
    </row>
    <row r="41" spans="1:23" ht="11.65" customHeight="1">
      <c r="A41" s="79"/>
      <c r="B41" s="80"/>
      <c r="C41" s="80"/>
      <c r="D41" s="79" t="str">
        <f ca="1">IFERROR(VLOOKUP(B41,DATA!$G$2:$I$6,3,0),"")</f>
      </c>
      <c r="E41" s="81"/>
      <c r="F41" s="82"/>
      <c r="G41" s="82"/>
      <c r="H41" s="82"/>
      <c r="I41" s="83"/>
      <c r="J41" s="83"/>
      <c r="K41" s="81"/>
      <c r="L41" s="81"/>
      <c r="M41" s="84" t="str">
        <f ca="1">IFERROR(IF(AND(OR(LEFT(B41,FIND(" ",B41,1)-1)="Đồng",LEFT(B41,FIND(" ",B41,1)-1)="Nhôm"),OR(F41&gt;(G41/10),C41="Tròn")),5%,0),"")</f>
      </c>
      <c r="N41" s="114">
        <f ca="1">IF(C41="Tròn",PI()*(F41/2)^2/(10^2),IF(C41="Chữ nhật",F41*G41/10^2,0))</f>
        <v>0</v>
      </c>
      <c r="O41" s="86" t="str">
        <f ca="1">IFERROR(N41*H41*D41*I41/10^4,"")</f>
      </c>
      <c r="P41" s="87" t="str">
        <f ca="1">IFERROR(5/H41,"")</f>
      </c>
      <c r="Q41" s="88">
        <v>0.035</v>
      </c>
      <c r="R41" s="85" t="str">
        <f ca="1">IFERROR(IF(N41=0,"-",IF(OR(N41&lt;=5,N41&gt;=45),2500,IF(AND(N41&gt;5,N41&lt;20),1800,2000)))*I41/O41,"")</f>
      </c>
      <c r="S41" s="85" t="str">
        <f ca="1">IFERROR((E41*(1+P41+Q41)+R41)/(1-J41*0.007/30),"")</f>
      </c>
      <c r="T41" s="87" t="str">
        <f ca="1">IFERROR(VLOOKUP(B41,DATA!$G$2:$I$6,2,0),"")</f>
      </c>
      <c r="U41" s="89" t="str">
        <f ca="1">IFERROR(ROUND((S41/(1-T41)+($K$12+$L$12)/$O$62)/(1-M41),-3),"")</f>
      </c>
      <c r="V41" s="85" t="str">
        <f ca="1">IFERROR(ROUND(U41*O41,0),"")</f>
      </c>
    </row>
    <row r="42" spans="1:23" ht="11.65" customHeight="1">
      <c r="A42" s="79"/>
      <c r="B42" s="80"/>
      <c r="C42" s="80"/>
      <c r="D42" s="79" t="str">
        <f ca="1">IFERROR(VLOOKUP(B42,DATA!$G$2:$I$6,3,0),"")</f>
      </c>
      <c r="E42" s="81"/>
      <c r="F42" s="82"/>
      <c r="G42" s="82"/>
      <c r="H42" s="82"/>
      <c r="I42" s="83"/>
      <c r="J42" s="83"/>
      <c r="K42" s="81"/>
      <c r="L42" s="81"/>
      <c r="M42" s="84" t="str">
        <f ca="1">IFERROR(IF(AND(OR(LEFT(B42,FIND(" ",B42,1)-1)="Đồng",LEFT(B42,FIND(" ",B42,1)-1)="Nhôm"),OR(F42&gt;(G42/10),C42="Tròn")),5%,0),"")</f>
      </c>
      <c r="N42" s="114">
        <f ca="1">IF(C42="Tròn",PI()*(F42/2)^2/(10^2),IF(C42="Chữ nhật",F42*G42/10^2,0))</f>
        <v>0</v>
      </c>
      <c r="O42" s="86" t="str">
        <f ca="1">IFERROR(N42*H42*D42*I42/10^4,"")</f>
      </c>
      <c r="P42" s="87" t="str">
        <f ca="1">IFERROR(5/H42,"")</f>
      </c>
      <c r="Q42" s="88">
        <v>0.035</v>
      </c>
      <c r="R42" s="85" t="str">
        <f ca="1">IFERROR(IF(N42=0,"-",IF(OR(N42&lt;=5,N42&gt;=45),2500,IF(AND(N42&gt;5,N42&lt;20),1800,2000)))*I42/O42,"")</f>
      </c>
      <c r="S42" s="85" t="str">
        <f ca="1">IFERROR((E42*(1+P42+Q42)+R42)/(1-J42*0.007/30),"")</f>
      </c>
      <c r="T42" s="87" t="str">
        <f ca="1">IFERROR(VLOOKUP(B42,DATA!$G$2:$I$6,2,0),"")</f>
      </c>
      <c r="U42" s="89" t="str">
        <f ca="1">IFERROR(ROUND((S42/(1-T42)+($K$12+$L$12)/$O$62)/(1-M42),-3),"")</f>
      </c>
      <c r="V42" s="85" t="str">
        <f ca="1">IFERROR(ROUND(U42*O42,0),"")</f>
      </c>
    </row>
    <row r="43" spans="1:23" ht="11.65" customHeight="1">
      <c r="A43" s="79"/>
      <c r="B43" s="80"/>
      <c r="C43" s="80"/>
      <c r="D43" s="79" t="str">
        <f ca="1">IFERROR(VLOOKUP(B43,DATA!$G$2:$I$6,3,0),"")</f>
      </c>
      <c r="E43" s="81"/>
      <c r="F43" s="82"/>
      <c r="G43" s="82"/>
      <c r="H43" s="82"/>
      <c r="I43" s="83"/>
      <c r="J43" s="83"/>
      <c r="K43" s="81"/>
      <c r="L43" s="81"/>
      <c r="M43" s="84" t="str">
        <f ca="1">IFERROR(IF(AND(OR(LEFT(B43,FIND(" ",B43,1)-1)="Đồng",LEFT(B43,FIND(" ",B43,1)-1)="Nhôm"),OR(F43&gt;(G43/10),C43="Tròn")),5%,0),"")</f>
      </c>
      <c r="N43" s="114">
        <f ca="1">IF(C43="Tròn",PI()*(F43/2)^2/(10^2),IF(C43="Chữ nhật",F43*G43/10^2,0))</f>
        <v>0</v>
      </c>
      <c r="O43" s="86" t="str">
        <f ca="1">IFERROR(N43*H43*D43*I43/10^4,"")</f>
      </c>
      <c r="P43" s="87" t="str">
        <f ca="1">IFERROR(5/H43,"")</f>
      </c>
      <c r="Q43" s="88">
        <v>0.035</v>
      </c>
      <c r="R43" s="85" t="str">
        <f ca="1">IFERROR(IF(N43=0,"-",IF(OR(N43&lt;=5,N43&gt;=45),2500,IF(AND(N43&gt;5,N43&lt;20),1800,2000)))*I43/O43,"")</f>
      </c>
      <c r="S43" s="85" t="str">
        <f ca="1">IFERROR((E43*(1+P43+Q43)+R43)/(1-J43*0.007/30),"")</f>
      </c>
      <c r="T43" s="87" t="str">
        <f ca="1">IFERROR(VLOOKUP(B43,DATA!$G$2:$I$6,2,0),"")</f>
      </c>
      <c r="U43" s="89" t="str">
        <f ca="1">IFERROR(ROUND((S43/(1-T43)+($K$12+$L$12)/$O$62)/(1-M43),-3),"")</f>
      </c>
      <c r="V43" s="85" t="str">
        <f ca="1">IFERROR(ROUND(U43*O43,0),"")</f>
      </c>
    </row>
    <row r="44" spans="1:23" ht="11.65" customHeight="1">
      <c r="A44" s="79"/>
      <c r="B44" s="80"/>
      <c r="C44" s="80"/>
      <c r="D44" s="79" t="str">
        <f ca="1">IFERROR(VLOOKUP(B44,DATA!$G$2:$I$6,3,0),"")</f>
      </c>
      <c r="E44" s="81"/>
      <c r="F44" s="82"/>
      <c r="G44" s="82"/>
      <c r="H44" s="82"/>
      <c r="I44" s="83"/>
      <c r="J44" s="83"/>
      <c r="K44" s="81"/>
      <c r="L44" s="81"/>
      <c r="M44" s="84" t="str">
        <f ca="1">IFERROR(IF(AND(OR(LEFT(B44,FIND(" ",B44,1)-1)="Đồng",LEFT(B44,FIND(" ",B44,1)-1)="Nhôm"),OR(F44&gt;(G44/10),C44="Tròn")),5%,0),"")</f>
      </c>
      <c r="N44" s="114">
        <f ca="1">IF(C44="Tròn",PI()*(F44/2)^2/(10^2),IF(C44="Chữ nhật",F44*G44/10^2,0))</f>
        <v>0</v>
      </c>
      <c r="O44" s="86" t="str">
        <f ca="1">IFERROR(N44*H44*D44*I44/10^4,"")</f>
      </c>
      <c r="P44" s="87" t="str">
        <f ca="1">IFERROR(5/H44,"")</f>
      </c>
      <c r="Q44" s="88">
        <v>0.035</v>
      </c>
      <c r="R44" s="85" t="str">
        <f ca="1">IFERROR(IF(N44=0,"-",IF(OR(N44&lt;=5,N44&gt;=45),2500,IF(AND(N44&gt;5,N44&lt;20),1800,2000)))*I44/O44,"")</f>
      </c>
      <c r="S44" s="85" t="str">
        <f ca="1">IFERROR((E44*(1+P44+Q44)+R44)/(1-J44*0.007/30),"")</f>
      </c>
      <c r="T44" s="87" t="str">
        <f ca="1">IFERROR(VLOOKUP(B44,DATA!$G$2:$I$6,2,0),"")</f>
      </c>
      <c r="U44" s="89" t="str">
        <f ca="1">IFERROR(ROUND((S44/(1-T44)+($K$12+$L$12)/$O$62)/(1-M44),-3),"")</f>
      </c>
      <c r="V44" s="85" t="str">
        <f ca="1">IFERROR(ROUND(U44*O44,0),"")</f>
      </c>
    </row>
    <row r="45" spans="1:23" ht="11.65" customHeight="1">
      <c r="A45" s="79"/>
      <c r="B45" s="80"/>
      <c r="C45" s="80"/>
      <c r="D45" s="79" t="str">
        <f ca="1">IFERROR(VLOOKUP(B45,DATA!$G$2:$I$6,3,0),"")</f>
      </c>
      <c r="E45" s="81"/>
      <c r="F45" s="82"/>
      <c r="G45" s="82"/>
      <c r="H45" s="82"/>
      <c r="I45" s="83"/>
      <c r="J45" s="83"/>
      <c r="K45" s="81"/>
      <c r="L45" s="81"/>
      <c r="M45" s="84" t="str">
        <f ca="1">IFERROR(IF(AND(OR(LEFT(B45,FIND(" ",B45,1)-1)="Đồng",LEFT(B45,FIND(" ",B45,1)-1)="Nhôm"),OR(F45&gt;(G45/10),C45="Tròn")),5%,0),"")</f>
      </c>
      <c r="N45" s="114">
        <f ca="1">IF(C45="Tròn",PI()*(F45/2)^2/(10^2),IF(C45="Chữ nhật",F45*G45/10^2,0))</f>
        <v>0</v>
      </c>
      <c r="O45" s="86" t="str">
        <f ca="1">IFERROR(N45*H45*D45*I45/10^4,"")</f>
      </c>
      <c r="P45" s="87" t="str">
        <f ca="1">IFERROR(5/H45,"")</f>
      </c>
      <c r="Q45" s="88">
        <v>0.035</v>
      </c>
      <c r="R45" s="85" t="str">
        <f ca="1">IFERROR(IF(N45=0,"-",IF(OR(N45&lt;=5,N45&gt;=45),2500,IF(AND(N45&gt;5,N45&lt;20),1800,2000)))*I45/O45,"")</f>
      </c>
      <c r="S45" s="85" t="str">
        <f ca="1">IFERROR((E45*(1+P45+Q45)+R45)/(1-J45*0.007/30),"")</f>
      </c>
      <c r="T45" s="87" t="str">
        <f ca="1">IFERROR(VLOOKUP(B45,DATA!$G$2:$I$6,2,0),"")</f>
      </c>
      <c r="U45" s="89" t="str">
        <f ca="1">IFERROR(ROUND((S45/(1-T45)+($K$12+$L$12)/$O$62)/(1-M45),-3),"")</f>
      </c>
      <c r="V45" s="85" t="str">
        <f ca="1">IFERROR(ROUND(U45*O45,0),"")</f>
      </c>
    </row>
    <row r="46" spans="1:23" ht="11.65" customHeight="1">
      <c r="A46" s="79"/>
      <c r="B46" s="80"/>
      <c r="C46" s="80"/>
      <c r="D46" s="79" t="str">
        <f ca="1">IFERROR(VLOOKUP(B46,DATA!$G$2:$I$6,3,0),"")</f>
      </c>
      <c r="E46" s="81"/>
      <c r="F46" s="82"/>
      <c r="G46" s="82"/>
      <c r="H46" s="82"/>
      <c r="I46" s="83"/>
      <c r="J46" s="83"/>
      <c r="K46" s="81"/>
      <c r="L46" s="81"/>
      <c r="M46" s="84" t="str">
        <f ca="1">IFERROR(IF(AND(OR(LEFT(B46,FIND(" ",B46,1)-1)="Đồng",LEFT(B46,FIND(" ",B46,1)-1)="Nhôm"),OR(F46&gt;(G46/10),C46="Tròn")),5%,0),"")</f>
      </c>
      <c r="N46" s="114">
        <f ca="1">IF(C46="Tròn",PI()*(F46/2)^2/(10^2),IF(C46="Chữ nhật",F46*G46/10^2,0))</f>
        <v>0</v>
      </c>
      <c r="O46" s="86" t="str">
        <f ca="1">IFERROR(N46*H46*D46*I46/10^4,"")</f>
      </c>
      <c r="P46" s="87" t="str">
        <f ca="1">IFERROR(5/H46,"")</f>
      </c>
      <c r="Q46" s="88">
        <v>0.035</v>
      </c>
      <c r="R46" s="85" t="str">
        <f ca="1">IFERROR(IF(N46=0,"-",IF(OR(N46&lt;=5,N46&gt;=45),2500,IF(AND(N46&gt;5,N46&lt;20),1800,2000)))*I46/O46,"")</f>
      </c>
      <c r="S46" s="85" t="str">
        <f ca="1">IFERROR((E46*(1+P46+Q46)+R46)/(1-J46*0.007/30),"")</f>
      </c>
      <c r="T46" s="87" t="str">
        <f ca="1">IFERROR(VLOOKUP(B46,DATA!$G$2:$I$6,2,0),"")</f>
      </c>
      <c r="U46" s="89" t="str">
        <f ca="1">IFERROR(ROUND((S46/(1-T46)+($K$12+$L$12)/$O$62)/(1-M46),-3),"")</f>
      </c>
      <c r="V46" s="85" t="str">
        <f ca="1">IFERROR(ROUND(U46*O46,0),"")</f>
      </c>
    </row>
    <row r="47" spans="1:23" ht="11.65" customHeight="1">
      <c r="A47" s="79"/>
      <c r="B47" s="80"/>
      <c r="C47" s="80"/>
      <c r="D47" s="79" t="str">
        <f ca="1">IFERROR(VLOOKUP(B47,DATA!$G$2:$I$6,3,0),"")</f>
      </c>
      <c r="E47" s="81"/>
      <c r="F47" s="82"/>
      <c r="G47" s="82"/>
      <c r="H47" s="82"/>
      <c r="I47" s="83"/>
      <c r="J47" s="83"/>
      <c r="K47" s="81"/>
      <c r="L47" s="81"/>
      <c r="M47" s="84" t="str">
        <f ca="1">IFERROR(IF(AND(OR(LEFT(B47,FIND(" ",B47,1)-1)="Đồng",LEFT(B47,FIND(" ",B47,1)-1)="Nhôm"),OR(F47&gt;(G47/10),C47="Tròn")),5%,0),"")</f>
      </c>
      <c r="N47" s="114">
        <f ca="1">IF(C47="Tròn",PI()*(F47/2)^2/(10^2),IF(C47="Chữ nhật",F47*G47/10^2,0))</f>
        <v>0</v>
      </c>
      <c r="O47" s="86" t="str">
        <f ca="1">IFERROR(N47*H47*D47*I47/10^4,"")</f>
      </c>
      <c r="P47" s="87" t="str">
        <f ca="1">IFERROR(5/H47,"")</f>
      </c>
      <c r="Q47" s="88">
        <v>0.035</v>
      </c>
      <c r="R47" s="85" t="str">
        <f ca="1">IFERROR(IF(N47=0,"-",IF(OR(N47&lt;=5,N47&gt;=45),2500,IF(AND(N47&gt;5,N47&lt;20),1800,2000)))*I47/O47,"")</f>
      </c>
      <c r="S47" s="85" t="str">
        <f ca="1">IFERROR((E47*(1+P47+Q47)+R47)/(1-J47*0.007/30),"")</f>
      </c>
      <c r="T47" s="87" t="str">
        <f ca="1">IFERROR(VLOOKUP(B47,DATA!$G$2:$I$6,2,0),"")</f>
      </c>
      <c r="U47" s="89" t="str">
        <f ca="1">IFERROR(ROUND((S47/(1-T47)+($K$12+$L$12)/$O$62)/(1-M47),-3),"")</f>
      </c>
      <c r="V47" s="85" t="str">
        <f ca="1">IFERROR(ROUND(U47*O47,0),"")</f>
      </c>
    </row>
    <row r="48" spans="1:23" ht="11.65" customHeight="1">
      <c r="A48" s="79"/>
      <c r="B48" s="80"/>
      <c r="C48" s="80"/>
      <c r="D48" s="79" t="str">
        <f ca="1">IFERROR(VLOOKUP(B48,DATA!$G$2:$I$6,3,0),"")</f>
      </c>
      <c r="E48" s="81"/>
      <c r="F48" s="82"/>
      <c r="G48" s="82"/>
      <c r="H48" s="82"/>
      <c r="I48" s="83"/>
      <c r="J48" s="83"/>
      <c r="K48" s="81"/>
      <c r="L48" s="81"/>
      <c r="M48" s="84" t="str">
        <f ca="1">IFERROR(IF(AND(OR(LEFT(B48,FIND(" ",B48,1)-1)="Đồng",LEFT(B48,FIND(" ",B48,1)-1)="Nhôm"),OR(F48&gt;(G48/10),C48="Tròn")),5%,0),"")</f>
      </c>
      <c r="N48" s="114">
        <f ca="1">IF(C48="Tròn",PI()*(F48/2)^2/(10^2),IF(C48="Chữ nhật",F48*G48/10^2,0))</f>
        <v>0</v>
      </c>
      <c r="O48" s="86" t="str">
        <f ca="1">IFERROR(N48*H48*D48*I48/10^4,"")</f>
      </c>
      <c r="P48" s="87" t="str">
        <f ca="1">IFERROR(5/H48,"")</f>
      </c>
      <c r="Q48" s="88">
        <v>0.035</v>
      </c>
      <c r="R48" s="85" t="str">
        <f ca="1">IFERROR(IF(N48=0,"-",IF(OR(N48&lt;=5,N48&gt;=45),2500,IF(AND(N48&gt;5,N48&lt;20),1800,2000)))*I48/O48,"")</f>
      </c>
      <c r="S48" s="85" t="str">
        <f ca="1">IFERROR((E48*(1+P48+Q48)+R48)/(1-J48*0.007/30),"")</f>
      </c>
      <c r="T48" s="87" t="str">
        <f ca="1">IFERROR(VLOOKUP(B48,DATA!$G$2:$I$6,2,0),"")</f>
      </c>
      <c r="U48" s="89" t="str">
        <f ca="1">IFERROR(ROUND((S48/(1-T48)+($K$12+$L$12)/$O$62)/(1-M48),-3),"")</f>
      </c>
      <c r="V48" s="85" t="str">
        <f ca="1">IFERROR(ROUND(U48*O48,0),"")</f>
      </c>
    </row>
    <row r="49" spans="1:23" ht="11.65" customHeight="1">
      <c r="A49" s="79"/>
      <c r="B49" s="80"/>
      <c r="C49" s="80"/>
      <c r="D49" s="79" t="str">
        <f ca="1">IFERROR(VLOOKUP(B49,DATA!$G$2:$I$6,3,0),"")</f>
      </c>
      <c r="E49" s="81"/>
      <c r="F49" s="82"/>
      <c r="G49" s="82"/>
      <c r="H49" s="82"/>
      <c r="I49" s="83"/>
      <c r="J49" s="83"/>
      <c r="K49" s="81"/>
      <c r="L49" s="81"/>
      <c r="M49" s="84" t="str">
        <f ca="1">IFERROR(IF(AND(OR(LEFT(B49,FIND(" ",B49,1)-1)="Đồng",LEFT(B49,FIND(" ",B49,1)-1)="Nhôm"),OR(F49&gt;(G49/10),C49="Tròn")),5%,0),"")</f>
      </c>
      <c r="N49" s="114">
        <f ca="1">IF(C49="Tròn",PI()*(F49/2)^2/(10^2),IF(C49="Chữ nhật",F49*G49/10^2,0))</f>
        <v>0</v>
      </c>
      <c r="O49" s="86" t="str">
        <f ca="1">IFERROR(N49*H49*D49*I49/10^4,"")</f>
      </c>
      <c r="P49" s="87" t="str">
        <f ca="1">IFERROR(5/H49,"")</f>
      </c>
      <c r="Q49" s="88">
        <v>0.035</v>
      </c>
      <c r="R49" s="85" t="str">
        <f ca="1">IFERROR(IF(N49=0,"-",IF(OR(N49&lt;=5,N49&gt;=45),2500,IF(AND(N49&gt;5,N49&lt;20),1800,2000)))*I49/O49,"")</f>
      </c>
      <c r="S49" s="85" t="str">
        <f ca="1">IFERROR((E49*(1+P49+Q49)+R49)/(1-J49*0.007/30),"")</f>
      </c>
      <c r="T49" s="87" t="str">
        <f ca="1">IFERROR(VLOOKUP(B49,DATA!$G$2:$I$6,2,0),"")</f>
      </c>
      <c r="U49" s="89" t="str">
        <f ca="1">IFERROR(ROUND((S49/(1-T49)+($K$12+$L$12)/$O$62)/(1-M49),-3),"")</f>
      </c>
      <c r="V49" s="85" t="str">
        <f ca="1">IFERROR(ROUND(U49*O49,0),"")</f>
      </c>
    </row>
    <row r="50" spans="1:23" ht="11.65" customHeight="1">
      <c r="A50" s="79"/>
      <c r="B50" s="80"/>
      <c r="C50" s="80"/>
      <c r="D50" s="79" t="str">
        <f ca="1">IFERROR(VLOOKUP(B50,DATA!$G$2:$I$6,3,0),"")</f>
      </c>
      <c r="E50" s="81"/>
      <c r="F50" s="82"/>
      <c r="G50" s="82"/>
      <c r="H50" s="82"/>
      <c r="I50" s="83"/>
      <c r="J50" s="83"/>
      <c r="K50" s="81"/>
      <c r="L50" s="81"/>
      <c r="M50" s="84" t="str">
        <f ca="1">IFERROR(IF(AND(OR(LEFT(B50,FIND(" ",B50,1)-1)="Đồng",LEFT(B50,FIND(" ",B50,1)-1)="Nhôm"),OR(F50&gt;(G50/10),C50="Tròn")),5%,0),"")</f>
      </c>
      <c r="N50" s="114">
        <f ca="1">IF(C50="Tròn",PI()*(F50/2)^2/(10^2),IF(C50="Chữ nhật",F50*G50/10^2,0))</f>
        <v>0</v>
      </c>
      <c r="O50" s="86" t="str">
        <f ca="1">IFERROR(N50*H50*D50*I50/10^4,"")</f>
      </c>
      <c r="P50" s="87" t="str">
        <f ca="1">IFERROR(5/H50,"")</f>
      </c>
      <c r="Q50" s="88">
        <v>0.035</v>
      </c>
      <c r="R50" s="85" t="str">
        <f ca="1">IFERROR(IF(N50=0,"-",IF(OR(N50&lt;=5,N50&gt;=45),2500,IF(AND(N50&gt;5,N50&lt;20),1800,2000)))*I50/O50,"")</f>
      </c>
      <c r="S50" s="85" t="str">
        <f ca="1">IFERROR((E50*(1+P50+Q50)+R50)/(1-J50*0.007/30),"")</f>
      </c>
      <c r="T50" s="87" t="str">
        <f ca="1">IFERROR(VLOOKUP(B50,DATA!$G$2:$I$6,2,0),"")</f>
      </c>
      <c r="U50" s="89" t="str">
        <f ca="1">IFERROR(ROUND((S50/(1-T50)+($K$12+$L$12)/$O$62)/(1-M50),-3),"")</f>
      </c>
      <c r="V50" s="85" t="str">
        <f ca="1">IFERROR(ROUND(U50*O50,0),"")</f>
      </c>
    </row>
    <row r="51" spans="1:23" ht="11.65" customHeight="1">
      <c r="A51" s="79"/>
      <c r="B51" s="80"/>
      <c r="C51" s="80"/>
      <c r="D51" s="79" t="str">
        <f ca="1">IFERROR(VLOOKUP(B51,DATA!$G$2:$I$6,3,0),"")</f>
      </c>
      <c r="E51" s="81"/>
      <c r="F51" s="82"/>
      <c r="G51" s="82"/>
      <c r="H51" s="82"/>
      <c r="I51" s="83"/>
      <c r="J51" s="83"/>
      <c r="K51" s="81"/>
      <c r="L51" s="81"/>
      <c r="M51" s="84" t="str">
        <f ca="1">IFERROR(IF(AND(OR(LEFT(B51,FIND(" ",B51,1)-1)="Đồng",LEFT(B51,FIND(" ",B51,1)-1)="Nhôm"),OR(F51&gt;(G51/10),C51="Tròn")),5%,0),"")</f>
      </c>
      <c r="N51" s="114">
        <f ca="1">IF(C51="Tròn",PI()*(F51/2)^2/(10^2),IF(C51="Chữ nhật",F51*G51/10^2,0))</f>
        <v>0</v>
      </c>
      <c r="O51" s="86" t="str">
        <f ca="1">IFERROR(N51*H51*D51*I51/10^4,"")</f>
      </c>
      <c r="P51" s="87" t="str">
        <f ca="1">IFERROR(5/H51,"")</f>
      </c>
      <c r="Q51" s="88">
        <v>0.035</v>
      </c>
      <c r="R51" s="85" t="str">
        <f ca="1">IFERROR(IF(N51=0,"-",IF(OR(N51&lt;=5,N51&gt;=45),2500,IF(AND(N51&gt;5,N51&lt;20),1800,2000)))*I51/O51,"")</f>
      </c>
      <c r="S51" s="85" t="str">
        <f ca="1">IFERROR((E51*(1+P51+Q51)+R51)/(1-J51*0.007/30),"")</f>
      </c>
      <c r="T51" s="87" t="str">
        <f ca="1">IFERROR(VLOOKUP(B51,DATA!$G$2:$I$6,2,0),"")</f>
      </c>
      <c r="U51" s="89" t="str">
        <f ca="1">IFERROR(ROUND((S51/(1-T51)+($K$12+$L$12)/$O$62)/(1-M51),-3),"")</f>
      </c>
      <c r="V51" s="85" t="str">
        <f ca="1">IFERROR(ROUND(U51*O51,0),"")</f>
      </c>
    </row>
    <row r="52" spans="1:23" ht="11.65" customHeight="1">
      <c r="A52" s="79"/>
      <c r="B52" s="80"/>
      <c r="C52" s="80"/>
      <c r="D52" s="79" t="str">
        <f ca="1">IFERROR(VLOOKUP(B52,DATA!$G$2:$I$6,3,0),"")</f>
      </c>
      <c r="E52" s="81"/>
      <c r="F52" s="82"/>
      <c r="G52" s="82"/>
      <c r="H52" s="82"/>
      <c r="I52" s="83"/>
      <c r="J52" s="83"/>
      <c r="K52" s="81"/>
      <c r="L52" s="81"/>
      <c r="M52" s="84" t="str">
        <f ca="1">IFERROR(IF(AND(OR(LEFT(B52,FIND(" ",B52,1)-1)="Đồng",LEFT(B52,FIND(" ",B52,1)-1)="Nhôm"),OR(F52&gt;(G52/10),C52="Tròn")),5%,0),"")</f>
      </c>
      <c r="N52" s="114">
        <f ca="1">IF(C52="Tròn",PI()*(F52/2)^2/(10^2),IF(C52="Chữ nhật",F52*G52/10^2,0))</f>
        <v>0</v>
      </c>
      <c r="O52" s="86" t="str">
        <f ca="1">IFERROR(N52*H52*D52*I52/10^4,"")</f>
      </c>
      <c r="P52" s="87" t="str">
        <f ca="1">IFERROR(5/H52,"")</f>
      </c>
      <c r="Q52" s="88">
        <v>0.035</v>
      </c>
      <c r="R52" s="85" t="str">
        <f ca="1">IFERROR(IF(N52=0,"-",IF(OR(N52&lt;=5,N52&gt;=45),2500,IF(AND(N52&gt;5,N52&lt;20),1800,2000)))*I52/O52,"")</f>
      </c>
      <c r="S52" s="85" t="str">
        <f ca="1">IFERROR((E52*(1+P52+Q52)+R52)/(1-J52*0.007/30),"")</f>
      </c>
      <c r="T52" s="87" t="str">
        <f ca="1">IFERROR(VLOOKUP(B52,DATA!$G$2:$I$6,2,0),"")</f>
      </c>
      <c r="U52" s="89" t="str">
        <f ca="1">IFERROR(ROUND((S52/(1-T52)+($K$12+$L$12)/$O$62)/(1-M52),-3),"")</f>
      </c>
      <c r="V52" s="85" t="str">
        <f ca="1">IFERROR(ROUND(U52*O52,0),"")</f>
      </c>
    </row>
    <row r="53" spans="1:23" ht="11.65" customHeight="1">
      <c r="A53" s="79"/>
      <c r="B53" s="80"/>
      <c r="C53" s="80"/>
      <c r="D53" s="79" t="str">
        <f ca="1">IFERROR(VLOOKUP(B53,DATA!$G$2:$I$6,3,0),"")</f>
      </c>
      <c r="E53" s="81"/>
      <c r="F53" s="82"/>
      <c r="G53" s="82"/>
      <c r="H53" s="82"/>
      <c r="I53" s="83"/>
      <c r="J53" s="83"/>
      <c r="K53" s="81"/>
      <c r="L53" s="81"/>
      <c r="M53" s="84" t="str">
        <f ca="1">IFERROR(IF(AND(OR(LEFT(B53,FIND(" ",B53,1)-1)="Đồng",LEFT(B53,FIND(" ",B53,1)-1)="Nhôm"),OR(F53&gt;(G53/10),C53="Tròn")),5%,0),"")</f>
      </c>
      <c r="N53" s="114">
        <f ca="1">IF(C53="Tròn",PI()*(F53/2)^2/(10^2),IF(C53="Chữ nhật",F53*G53/10^2,0))</f>
        <v>0</v>
      </c>
      <c r="O53" s="86" t="str">
        <f ca="1">IFERROR(N53*H53*D53*I53/10^4,"")</f>
      </c>
      <c r="P53" s="87" t="str">
        <f ca="1">IFERROR(5/H53,"")</f>
      </c>
      <c r="Q53" s="88">
        <v>0.035</v>
      </c>
      <c r="R53" s="85" t="str">
        <f ca="1">IFERROR(IF(N53=0,"-",IF(OR(N53&lt;=5,N53&gt;=45),2500,IF(AND(N53&gt;5,N53&lt;20),1800,2000)))*I53/O53,"")</f>
      </c>
      <c r="S53" s="85" t="str">
        <f ca="1">IFERROR((E53*(1+P53+Q53)+R53)/(1-J53*0.007/30),"")</f>
      </c>
      <c r="T53" s="87" t="str">
        <f ca="1">IFERROR(VLOOKUP(B53,DATA!$G$2:$I$6,2,0),"")</f>
      </c>
      <c r="U53" s="89" t="str">
        <f ca="1">IFERROR(ROUND((S53/(1-T53)+($K$12+$L$12)/$O$62)/(1-M53),-3),"")</f>
      </c>
      <c r="V53" s="85" t="str">
        <f ca="1">IFERROR(ROUND(U53*O53,0),"")</f>
      </c>
    </row>
    <row r="54" spans="1:23" ht="11.65" customHeight="1">
      <c r="A54" s="79"/>
      <c r="B54" s="80"/>
      <c r="C54" s="80"/>
      <c r="D54" s="79" t="str">
        <f ca="1">IFERROR(VLOOKUP(B54,DATA!$G$2:$I$6,3,0),"")</f>
      </c>
      <c r="E54" s="81"/>
      <c r="F54" s="82"/>
      <c r="G54" s="82"/>
      <c r="H54" s="82"/>
      <c r="I54" s="83"/>
      <c r="J54" s="83"/>
      <c r="K54" s="81"/>
      <c r="L54" s="81"/>
      <c r="M54" s="84" t="str">
        <f ca="1">IFERROR(IF(AND(OR(LEFT(B54,FIND(" ",B54,1)-1)="Đồng",LEFT(B54,FIND(" ",B54,1)-1)="Nhôm"),OR(F54&gt;(G54/10),C54="Tròn")),5%,0),"")</f>
      </c>
      <c r="N54" s="114">
        <f ca="1">IF(C54="Tròn",PI()*(F54/2)^2/(10^2),IF(C54="Chữ nhật",F54*G54/10^2,0))</f>
        <v>0</v>
      </c>
      <c r="O54" s="86" t="str">
        <f ca="1">IFERROR(N54*H54*D54*I54/10^4,"")</f>
      </c>
      <c r="P54" s="87" t="str">
        <f ca="1">IFERROR(5/H54,"")</f>
      </c>
      <c r="Q54" s="88">
        <v>0.035</v>
      </c>
      <c r="R54" s="85" t="str">
        <f ca="1">IFERROR(IF(N54=0,"-",IF(OR(N54&lt;=5,N54&gt;=45),2500,IF(AND(N54&gt;5,N54&lt;20),1800,2000)))*I54/O54,"")</f>
      </c>
      <c r="S54" s="85" t="str">
        <f ca="1">IFERROR((E54*(1+P54+Q54)+R54)/(1-J54*0.007/30),"")</f>
      </c>
      <c r="T54" s="87" t="str">
        <f ca="1">IFERROR(VLOOKUP(B54,DATA!$G$2:$I$6,2,0),"")</f>
      </c>
      <c r="U54" s="89" t="str">
        <f ca="1">IFERROR(ROUND((S54/(1-T54)+($K$12+$L$12)/$O$62)/(1-M54),-3),"")</f>
      </c>
      <c r="V54" s="85" t="str">
        <f ca="1">IFERROR(ROUND(U54*O54,0),"")</f>
      </c>
    </row>
    <row r="55" spans="1:23" ht="11.65" customHeight="1">
      <c r="A55" s="79"/>
      <c r="B55" s="80"/>
      <c r="C55" s="80"/>
      <c r="D55" s="79" t="str">
        <f ca="1">IFERROR(VLOOKUP(B55,DATA!$G$2:$I$6,3,0),"")</f>
      </c>
      <c r="E55" s="81"/>
      <c r="F55" s="82"/>
      <c r="G55" s="82"/>
      <c r="H55" s="82"/>
      <c r="I55" s="83"/>
      <c r="J55" s="83"/>
      <c r="K55" s="81"/>
      <c r="L55" s="81"/>
      <c r="M55" s="84" t="str">
        <f ca="1">IFERROR(IF(AND(OR(LEFT(B55,FIND(" ",B55,1)-1)="Đồng",LEFT(B55,FIND(" ",B55,1)-1)="Nhôm"),OR(F55&gt;(G55/10),C55="Tròn")),5%,0),"")</f>
      </c>
      <c r="N55" s="114">
        <f ca="1">IF(C55="Tròn",PI()*(F55/2)^2/(10^2),IF(C55="Chữ nhật",F55*G55/10^2,0))</f>
        <v>0</v>
      </c>
      <c r="O55" s="86" t="str">
        <f ca="1">IFERROR(N55*H55*D55*I55/10^4,"")</f>
      </c>
      <c r="P55" s="87" t="str">
        <f ca="1">IFERROR(5/H55,"")</f>
      </c>
      <c r="Q55" s="88">
        <v>0.035</v>
      </c>
      <c r="R55" s="85" t="str">
        <f ca="1">IFERROR(IF(N55=0,"-",IF(OR(N55&lt;=5,N55&gt;=45),2500,IF(AND(N55&gt;5,N55&lt;20),1800,2000)))*I55/O55,"")</f>
      </c>
      <c r="S55" s="85" t="str">
        <f ca="1">IFERROR((E55*(1+P55+Q55)+R55)/(1-J55*0.007/30),"")</f>
      </c>
      <c r="T55" s="87" t="str">
        <f ca="1">IFERROR(VLOOKUP(B55,DATA!$G$2:$I$6,2,0),"")</f>
      </c>
      <c r="U55" s="89" t="str">
        <f ca="1">IFERROR(ROUND((S55/(1-T55)+($K$12+$L$12)/$O$62)/(1-M55),-3),"")</f>
      </c>
      <c r="V55" s="85" t="str">
        <f ca="1">IFERROR(ROUND(U55*O55,0),"")</f>
      </c>
    </row>
    <row r="56" spans="1:23" ht="11.65" customHeight="1">
      <c r="A56" s="79"/>
      <c r="B56" s="80"/>
      <c r="C56" s="80"/>
      <c r="D56" s="79" t="str">
        <f ca="1">IFERROR(VLOOKUP(B56,DATA!$G$2:$I$6,3,0),"")</f>
      </c>
      <c r="E56" s="81"/>
      <c r="F56" s="82"/>
      <c r="G56" s="82"/>
      <c r="H56" s="82"/>
      <c r="I56" s="83"/>
      <c r="J56" s="83"/>
      <c r="K56" s="81"/>
      <c r="L56" s="81"/>
      <c r="M56" s="84" t="str">
        <f ca="1">IFERROR(IF(AND(OR(LEFT(B56,FIND(" ",B56,1)-1)="Đồng",LEFT(B56,FIND(" ",B56,1)-1)="Nhôm"),OR(F56&gt;(G56/10),C56="Tròn")),5%,0),"")</f>
      </c>
      <c r="N56" s="114">
        <f ca="1">IF(C56="Tròn",PI()*(F56/2)^2/(10^2),IF(C56="Chữ nhật",F56*G56/10^2,0))</f>
        <v>0</v>
      </c>
      <c r="O56" s="86" t="str">
        <f ca="1">IFERROR(N56*H56*D56*I56/10^4,"")</f>
      </c>
      <c r="P56" s="87" t="str">
        <f ca="1">IFERROR(5/H56,"")</f>
      </c>
      <c r="Q56" s="88">
        <v>0.035</v>
      </c>
      <c r="R56" s="85" t="str">
        <f ca="1">IFERROR(IF(N56=0,"-",IF(OR(N56&lt;=5,N56&gt;=45),2500,IF(AND(N56&gt;5,N56&lt;20),1800,2000)))*I56/O56,"")</f>
      </c>
      <c r="S56" s="85" t="str">
        <f ca="1">IFERROR((E56*(1+P56+Q56)+R56)/(1-J56*0.007/30),"")</f>
      </c>
      <c r="T56" s="87" t="str">
        <f ca="1">IFERROR(VLOOKUP(B56,DATA!$G$2:$I$6,2,0),"")</f>
      </c>
      <c r="U56" s="89" t="str">
        <f ca="1">IFERROR(ROUND((S56/(1-T56)+($K$12+$L$12)/$O$62)/(1-M56),-3),"")</f>
      </c>
      <c r="V56" s="85" t="str">
        <f ca="1">IFERROR(ROUND(U56*O56,0),"")</f>
      </c>
    </row>
    <row r="57" spans="1:23" ht="11.65" customHeight="1">
      <c r="A57" s="79"/>
      <c r="B57" s="80"/>
      <c r="C57" s="80"/>
      <c r="D57" s="79" t="str">
        <f ca="1">IFERROR(VLOOKUP(B57,DATA!$G$2:$I$6,3,0),"")</f>
      </c>
      <c r="E57" s="81"/>
      <c r="F57" s="82"/>
      <c r="G57" s="82"/>
      <c r="H57" s="82"/>
      <c r="I57" s="83"/>
      <c r="J57" s="83"/>
      <c r="K57" s="81"/>
      <c r="L57" s="81"/>
      <c r="M57" s="84" t="str">
        <f ca="1">IFERROR(IF(AND(OR(LEFT(B57,FIND(" ",B57,1)-1)="Đồng",LEFT(B57,FIND(" ",B57,1)-1)="Nhôm"),OR(F57&gt;(G57/10),C57="Tròn")),5%,0),"")</f>
      </c>
      <c r="N57" s="114">
        <f ca="1">IF(C57="Tròn",PI()*(F57/2)^2/(10^2),IF(C57="Chữ nhật",F57*G57/10^2,0))</f>
        <v>0</v>
      </c>
      <c r="O57" s="86" t="str">
        <f ca="1">IFERROR(N57*H57*D57*I57/10^4,"")</f>
      </c>
      <c r="P57" s="87" t="str">
        <f ca="1">IFERROR(5/H57,"")</f>
      </c>
      <c r="Q57" s="88">
        <v>0.035</v>
      </c>
      <c r="R57" s="85" t="str">
        <f ca="1">IFERROR(IF(N57=0,"-",IF(OR(N57&lt;=5,N57&gt;=45),2500,IF(AND(N57&gt;5,N57&lt;20),1800,2000)))*I57/O57,"")</f>
      </c>
      <c r="S57" s="85" t="str">
        <f ca="1">IFERROR((E57*(1+P57+Q57)+R57)/(1-J57*0.007/30),"")</f>
      </c>
      <c r="T57" s="87" t="str">
        <f ca="1">IFERROR(VLOOKUP(B57,DATA!$G$2:$I$6,2,0),"")</f>
      </c>
      <c r="U57" s="89" t="str">
        <f ca="1">IFERROR(ROUND((S57/(1-T57)+($K$12+$L$12)/$O$62)/(1-M57),-3),"")</f>
      </c>
      <c r="V57" s="85" t="str">
        <f ca="1">IFERROR(ROUND(U57*O57,0),"")</f>
      </c>
    </row>
    <row r="58" spans="1:23" ht="11.65" customHeight="1">
      <c r="A58" s="79"/>
      <c r="B58" s="80"/>
      <c r="C58" s="80"/>
      <c r="D58" s="79" t="str">
        <f ca="1">IFERROR(VLOOKUP(B58,DATA!$G$2:$I$6,3,0),"")</f>
      </c>
      <c r="E58" s="81"/>
      <c r="F58" s="82"/>
      <c r="G58" s="82"/>
      <c r="H58" s="82"/>
      <c r="I58" s="83"/>
      <c r="J58" s="83"/>
      <c r="K58" s="81"/>
      <c r="L58" s="81"/>
      <c r="M58" s="84" t="str">
        <f ca="1">IFERROR(IF(AND(OR(LEFT(B58,FIND(" ",B58,1)-1)="Đồng",LEFT(B58,FIND(" ",B58,1)-1)="Nhôm"),OR(F58&gt;(G58/10),C58="Tròn")),5%,0),"")</f>
      </c>
      <c r="N58" s="114">
        <f ca="1">IF(C58="Tròn",PI()*(F58/2)^2/(10^2),IF(C58="Chữ nhật",F58*G58/10^2,0))</f>
        <v>0</v>
      </c>
      <c r="O58" s="86" t="str">
        <f ca="1">IFERROR(N58*H58*D58*I58/10^4,"")</f>
      </c>
      <c r="P58" s="87" t="str">
        <f ca="1">IFERROR(5/H58,"")</f>
      </c>
      <c r="Q58" s="88">
        <v>0.035</v>
      </c>
      <c r="R58" s="85" t="str">
        <f ca="1">IFERROR(IF(N58=0,"-",IF(OR(N58&lt;=5,N58&gt;=45),2500,IF(AND(N58&gt;5,N58&lt;20),1800,2000)))*I58/O58,"")</f>
      </c>
      <c r="S58" s="85" t="str">
        <f ca="1">IFERROR((E58*(1+P58+Q58)+R58)/(1-J58*0.007/30),"")</f>
      </c>
      <c r="T58" s="87" t="str">
        <f ca="1">IFERROR(VLOOKUP(B58,DATA!$G$2:$I$6,2,0),"")</f>
      </c>
      <c r="U58" s="89" t="str">
        <f ca="1">IFERROR(ROUND((S58/(1-T58)+($K$12+$L$12)/$O$62)/(1-M58),-3),"")</f>
      </c>
      <c r="V58" s="85" t="str">
        <f ca="1">IFERROR(ROUND(U58*O58,0),"")</f>
      </c>
    </row>
    <row r="59" spans="1:23" ht="11.65" customHeight="1">
      <c r="A59" s="79"/>
      <c r="B59" s="80"/>
      <c r="C59" s="80"/>
      <c r="D59" s="79" t="str">
        <f ca="1">IFERROR(VLOOKUP(B59,DATA!$G$2:$I$6,3,0),"")</f>
      </c>
      <c r="E59" s="81"/>
      <c r="F59" s="82"/>
      <c r="G59" s="82"/>
      <c r="H59" s="82"/>
      <c r="I59" s="83"/>
      <c r="J59" s="83"/>
      <c r="K59" s="81"/>
      <c r="L59" s="81"/>
      <c r="M59" s="84" t="str">
        <f ca="1">IFERROR(IF(AND(OR(LEFT(B59,FIND(" ",B59,1)-1)="Đồng",LEFT(B59,FIND(" ",B59,1)-1)="Nhôm"),OR(F59&gt;(G59/10),C59="Tròn")),5%,0),"")</f>
      </c>
      <c r="N59" s="114">
        <f ca="1">IF(C59="Tròn",PI()*(F59/2)^2/(10^2),IF(C59="Chữ nhật",F59*G59/10^2,0))</f>
        <v>0</v>
      </c>
      <c r="O59" s="86" t="str">
        <f ca="1">IFERROR(N59*H59*D59*I59/10^4,"")</f>
      </c>
      <c r="P59" s="87" t="str">
        <f ca="1">IFERROR(5/H59,"")</f>
      </c>
      <c r="Q59" s="88">
        <v>0.035</v>
      </c>
      <c r="R59" s="85" t="str">
        <f ca="1">IFERROR(IF(N59=0,"-",IF(OR(N59&lt;=5,N59&gt;=45),2500,IF(AND(N59&gt;5,N59&lt;20),1800,2000)))*I59/O59,"")</f>
      </c>
      <c r="S59" s="85" t="str">
        <f ca="1">IFERROR((E59*(1+P59+Q59)+R59)/(1-J59*0.007/30),"")</f>
      </c>
      <c r="T59" s="87" t="str">
        <f ca="1">IFERROR(VLOOKUP(B59,DATA!$G$2:$I$6,2,0),"")</f>
      </c>
      <c r="U59" s="89" t="str">
        <f ca="1">IFERROR(ROUND((S59/(1-T59)+($K$12+$L$12)/$O$62)/(1-M59),-3),"")</f>
      </c>
      <c r="V59" s="85" t="str">
        <f ca="1">IFERROR(ROUND(U59*O59,0),"")</f>
      </c>
    </row>
    <row r="60" spans="1:23" ht="11.65" customHeight="1">
      <c r="A60" s="79"/>
      <c r="B60" s="80"/>
      <c r="C60" s="80"/>
      <c r="D60" s="79" t="str">
        <f ca="1">IFERROR(VLOOKUP(B60,DATA!$G$2:$I$6,3,0),"")</f>
      </c>
      <c r="E60" s="81"/>
      <c r="F60" s="82"/>
      <c r="G60" s="82"/>
      <c r="H60" s="82"/>
      <c r="I60" s="83"/>
      <c r="J60" s="83"/>
      <c r="K60" s="81"/>
      <c r="L60" s="81"/>
      <c r="M60" s="84" t="str">
        <f ca="1">IFERROR(IF(AND(OR(LEFT(B60,FIND(" ",B60,1)-1)="Đồng",LEFT(B60,FIND(" ",B60,1)-1)="Nhôm"),OR(F60&gt;(G60/10),C60="Tròn")),5%,0),"")</f>
      </c>
      <c r="N60" s="114">
        <f ca="1">IF(C60="Tròn",PI()*(F60/2)^2/(10^2),IF(C60="Chữ nhật",F60*G60/10^2,0))</f>
        <v>0</v>
      </c>
      <c r="O60" s="86" t="str">
        <f ca="1">IFERROR(N60*H60*D60*I60/10^4,"")</f>
      </c>
      <c r="P60" s="87" t="str">
        <f ca="1">IFERROR(5/H60,"")</f>
      </c>
      <c r="Q60" s="88">
        <v>0.035</v>
      </c>
      <c r="R60" s="85" t="str">
        <f ca="1">IFERROR(IF(N60=0,"-",IF(OR(N60&lt;=5,N60&gt;=45),2500,IF(AND(N60&gt;5,N60&lt;20),1800,2000)))*I60/O60,"")</f>
      </c>
      <c r="S60" s="85" t="str">
        <f ca="1">IFERROR((E60*(1+P60+Q60)+R60)/(1-J60*0.007/30),"")</f>
      </c>
      <c r="T60" s="87" t="str">
        <f ca="1">IFERROR(VLOOKUP(B60,DATA!$G$2:$I$6,2,0),"")</f>
      </c>
      <c r="U60" s="89" t="str">
        <f ca="1">IFERROR(ROUND((S60/(1-T60)+($K$12+$L$12)/$O$62)/(1-M60),-3),"")</f>
      </c>
      <c r="V60" s="85" t="str">
        <f ca="1">IFERROR(ROUND(U60*O60,0),"")</f>
      </c>
    </row>
    <row r="61" spans="1:23" ht="11.65" customHeight="1">
      <c r="A61" s="90"/>
      <c r="B61" s="91"/>
      <c r="C61" s="91"/>
      <c r="D61" s="90" t="str">
        <f ca="1">IFERROR(VLOOKUP(B61,DATA!$G$2:$I$6,3,0),"")</f>
      </c>
      <c r="E61" s="92"/>
      <c r="F61" s="93"/>
      <c r="G61" s="93"/>
      <c r="H61" s="93"/>
      <c r="I61" s="94"/>
      <c r="J61" s="94"/>
      <c r="K61" s="92"/>
      <c r="L61" s="92"/>
      <c r="M61" s="84" t="str">
        <f ca="1">IFERROR(IF(AND(OR(LEFT(B61,FIND(" ",B61,1)-1)="Đồng",LEFT(B61,FIND(" ",B61,1)-1)="Nhôm"),OR(F61&gt;(G61/10),C61="Tròn")),5%,0),"")</f>
      </c>
      <c r="N61" s="115">
        <f ca="1">IF(C61="Tròn",PI()*(F61/2)^2/(10^2),IF(C61="Chữ nhật",F61*G61/10^2,0))</f>
        <v>0</v>
      </c>
      <c r="O61" s="96" t="str">
        <f ca="1">IFERROR(N61*H61*D61*I61/10^4,"")</f>
      </c>
      <c r="P61" s="97" t="str">
        <f ca="1">IFERROR(5/H61,"")</f>
      </c>
      <c r="Q61" s="98">
        <v>0.035</v>
      </c>
      <c r="R61" s="95" t="str">
        <f ca="1">IFERROR(IF(N61=0,"-",IF(OR(N61&lt;=5,N61&gt;=45),2500,IF(AND(N61&gt;5,N61&lt;20),1800,2000)))*I61/O61,"")</f>
      </c>
      <c r="S61" s="85" t="str">
        <f ca="1">IFERROR((E61*(1+P61+Q61)+R61)/(1-J61*0.007/30),"")</f>
      </c>
      <c r="T61" s="87" t="str">
        <f ca="1">IFERROR(VLOOKUP(B61,DATA!$G$2:$I$6,2,0),"")</f>
      </c>
      <c r="U61" s="89" t="str">
        <f ca="1">IFERROR(ROUND((S61/(1-T61)+($K$12+$L$12)/$O$62)/(1-M61),-3),"")</f>
      </c>
      <c r="V61" s="95" t="str">
        <f ca="1">IFERROR(ROUND(U61*O61,0),"")</f>
      </c>
    </row>
    <row r="62" s="116" customFormat="1" spans="1:256" ht="11.65" customHeight="1">
      <c r="A62" s="17" t="s">
        <v>85</v>
      </c>
      <c r="B62" s="18"/>
      <c r="C62" s="18"/>
      <c r="D62" s="18"/>
      <c r="E62" s="18"/>
      <c r="F62" s="18"/>
      <c r="G62" s="18"/>
      <c r="H62" s="66"/>
      <c r="I62" s="121">
        <f ca="1">SUM(I12:I61)</f>
        <v>31</v>
      </c>
      <c r="J62" s="122"/>
      <c r="K62" s="122"/>
      <c r="L62" s="122"/>
      <c r="M62" s="123"/>
      <c r="N62" s="123"/>
      <c r="O62" s="121">
        <f ca="1">SUM(O12:O61)</f>
        <v>59.214067683940684</v>
      </c>
      <c r="P62" s="122"/>
      <c r="Q62" s="122"/>
      <c r="R62" s="123"/>
      <c r="S62" s="123"/>
      <c r="T62" s="122"/>
      <c r="U62" s="122"/>
      <c r="V62" s="124">
        <f ca="1">SUM(V12:V61)</f>
        <v>17237147</v>
      </c>
    </row>
    <row r="63" spans="19:21" ht="11.65" customHeight="1">
      <c r="S63" s="67"/>
      <c r="T63" s="67"/>
    </row>
    <row r="64" spans="19:21" ht="11.65" customHeight="1">
      <c r="S64" s="67"/>
      <c r="T64" s="67"/>
    </row>
    <row r="65" spans="19:21" ht="11.65" customHeight="1">
      <c r="S65" s="67"/>
      <c r="T65" s="67"/>
    </row>
    <row r="66" spans="19:21" ht="11.65" customHeight="1">
      <c r="S66" s="67"/>
      <c r="T66" s="67"/>
    </row>
    <row r="67" spans="19:21" ht="11.65" customHeight="1">
      <c r="S67" s="67"/>
      <c r="T67" s="67"/>
    </row>
    <row r="68" spans="19:21" ht="11.65" customHeight="1">
      <c r="S68" s="67"/>
      <c r="T68" s="67"/>
    </row>
  </sheetData>
  <mergeCells count="3">
    <mergeCell ref="A10:S10"/>
    <mergeCell ref="T10:V10"/>
    <mergeCell ref="Y10:AA10"/>
  </mergeCells>
  <dataValidations count="1">
    <dataValidation allowBlank="1" showInputMessage="1" showErrorMessage="1" prompt="Lựa chọn nguyên liệu" sqref="A12:A61"/>
  </dataValidations>
  <printOptions/>
  <pageMargins left="0.7" right="0.7" top="0.75" bottom="0.75" header="0.3" footer="0.3"/>
  <pageSetup horizontalDpi="600" verticalDpi="600" orientation="portrait" paperSize="9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9:Q88"/>
  <sheetViews>
    <sheetView tabSelected="1" workbookViewId="0" topLeftCell="A1">
      <pane ySplit="11" topLeftCell="A12" activePane="bottomLeft" state="frozen"/>
      <selection pane="topLeft" activeCell="A10" sqref="A10"/>
      <selection pane="bottomLeft" activeCell="F12" sqref="F12"/>
    </sheetView>
  </sheetViews>
  <sheetFormatPr defaultColWidth="8.571428571428571" defaultRowHeight="11.65" customHeight="1"/>
  <cols>
    <col min="1" max="1" width="17" style="2" customWidth="1"/>
    <col min="2" max="2" width="18" style="2" customWidth="1"/>
    <col min="3" max="3" width="13" style="39" customWidth="1"/>
    <col min="4" max="4" width="15.714285714285714" style="57" customWidth="1"/>
    <col min="5" max="6" width="8" style="26" customWidth="1"/>
    <col min="7" max="7" width="7" style="19" customWidth="1"/>
    <col min="8" max="8" width="7" style="39" customWidth="1"/>
    <col min="9" max="9" width="10" style="19" customWidth="1"/>
    <col min="10" max="10" width="7" style="35" customWidth="1"/>
    <col min="11" max="11" width="10" style="35" customWidth="1"/>
    <col min="12" max="12" width="10" style="39" customWidth="1"/>
    <col min="13" max="13" width="9" style="39" customWidth="1"/>
    <col min="14" max="14" width="8" style="35" customWidth="1"/>
    <col min="15" max="15" width="10" style="39" customWidth="1"/>
    <col min="16" max="16" width="11" style="39" customWidth="1"/>
    <col min="17" max="17" width="8" style="2" customWidth="1"/>
    <col min="18" max="18" width="8.142857142857142" style="2" customWidth="1"/>
    <col min="19" max="19" width="8.285714285714286" style="2" customWidth="1"/>
    <col min="20" max="20" width="8.428571428571429" style="2" customWidth="1"/>
    <col min="21" max="16384" width="8.571428571428571" style="2" customWidth="1"/>
  </cols>
  <sheetData>
    <row r="9" spans="12:13" ht="14.25" customHeight="1">
      <c r="L9" s="106"/>
    </row>
    <row r="10" spans="1:17" ht="25.5" customHeight="1">
      <c r="A10" s="158" t="s">
        <v>13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60"/>
      <c r="N10" s="161" t="s">
        <v>68</v>
      </c>
      <c r="O10" s="162"/>
      <c r="P10" s="163"/>
    </row>
    <row r="11" spans="1:17" ht="11.65" customHeight="1">
      <c r="A11" s="3" t="s">
        <v>38</v>
      </c>
      <c r="B11" s="3" t="s">
        <v>19</v>
      </c>
      <c r="C11" s="20" t="s">
        <v>31</v>
      </c>
      <c r="D11" s="48" t="s">
        <v>62</v>
      </c>
      <c r="E11" s="48" t="s">
        <v>58</v>
      </c>
      <c r="F11" s="48" t="s">
        <v>63</v>
      </c>
      <c r="G11" s="20" t="s">
        <v>113</v>
      </c>
      <c r="H11" s="20" t="s">
        <v>67</v>
      </c>
      <c r="I11" s="20" t="s">
        <v>105</v>
      </c>
      <c r="J11" s="36" t="s">
        <v>108</v>
      </c>
      <c r="K11" s="49" t="s">
        <v>71</v>
      </c>
      <c r="L11" s="38" t="s">
        <v>112</v>
      </c>
      <c r="M11" s="38" t="s">
        <v>87</v>
      </c>
      <c r="N11" s="62" t="s">
        <v>0</v>
      </c>
      <c r="O11" s="62" t="s">
        <v>61</v>
      </c>
      <c r="P11" s="62" t="s">
        <v>84</v>
      </c>
    </row>
    <row r="12" spans="1:17" ht="11.65" customHeight="1">
      <c r="A12" s="5"/>
      <c r="B12" s="110" t="s">
        <v>33</v>
      </c>
      <c r="C12" s="44">
        <v>120000</v>
      </c>
      <c r="D12" s="102">
        <v>0.15</v>
      </c>
      <c r="E12" s="107">
        <v>70</v>
      </c>
      <c r="F12" s="27">
        <v>800</v>
      </c>
      <c r="G12" s="21">
        <v>30</v>
      </c>
      <c r="H12" s="44"/>
      <c r="I12" s="21"/>
      <c r="J12" s="8">
        <v>0</v>
      </c>
      <c r="K12" s="8">
        <f ca="1">IFERROR(VLOOKUP(B12,DATA!$L$2:$P$6,5,0)/E12,"")</f>
        <v>0.02857142857142857</v>
      </c>
      <c r="L12" s="108">
        <f ca="1">IFERROR(IF(D12&lt;0.15,"Không GC được",IF(E12&lt;6,"Không GC được",IF(E12&lt;20,3200,IF(E12&lt;50,2150,IF(E12&lt;80,1950,1600))))*(1+IF(F12&lt;500,0.5,IF(F12&gt;10000,-0.2,IF(F12&gt;5000,-0.1,IF(F12&gt;1000,0,0.3))))+IF(D12&lt;0.3,20%,IF(D12&lt;0.5,15%,0)))),"Không GC được")</f>
        <v>2925</v>
      </c>
      <c r="M12" s="153">
        <f ca="1">IFERROR((C12*(1+K12)+L12)/(1-G12*0.007/30),"")</f>
        <v>127244.28139835993</v>
      </c>
      <c r="N12" s="7">
        <v>0.13</v>
      </c>
      <c r="O12" s="113">
        <f ca="1">IFERROR(ROUND((M12/(1-N12)+($H$12+$I$12)/$F$82)/(1-J12),-2),"")</f>
        <v>146300</v>
      </c>
      <c r="P12" s="40">
        <f ca="1">IFERROR(O12*F12,"")</f>
        <v>117040000</v>
      </c>
      <c r="Q12" s="99"/>
    </row>
    <row r="13" spans="1:17" ht="11.65" customHeight="1">
      <c r="A13" s="9"/>
      <c r="B13" s="111"/>
      <c r="C13" s="45"/>
      <c r="D13" s="103"/>
      <c r="E13" s="28"/>
      <c r="F13" s="28"/>
      <c r="G13" s="22"/>
      <c r="H13" s="45"/>
      <c r="I13" s="22"/>
      <c r="J13" s="12">
        <v>0</v>
      </c>
      <c r="K13" s="8" t="str">
        <f ca="1">IFERROR(VLOOKUP(B13,DATA!$L$2:$P$6,5,0)/E13,"")</f>
      </c>
      <c r="L13" s="108" t="str">
        <f ca="1">IFERROR(IF(D13&lt;0.15,"Không GC được",IF(E13&lt;6,"Không GC được",IF(E13&lt;20,3200,IF(E13&lt;50,2150,IF(E13&lt;80,1950,1600))))*(1+IF(F13&lt;500,0.5,IF(F13&gt;10000,-0.2,IF(F13&gt;5000,-0.1,IF(F13&gt;1000,0,0.3))))+IF(D13&lt;0.3,20%,IF(D13&lt;0.5,15%,0)))),"Không GC được")</f>
        <v>Không GC được</v>
      </c>
      <c r="M13" s="153" t="str">
        <f ca="1">IFERROR((C13*(1+K13)+L13)/(1-G13*0.007/30),"")</f>
      </c>
      <c r="N13" s="11" t="str">
        <f ca="1">IFERROR(VLOOKUP(B13,DATA!$L$2:$N$6,2,0),"")</f>
      </c>
      <c r="O13" s="113" t="str">
        <f ca="1">IFERROR(ROUND((M13/(1-N13)+($H$12+$I$12)/$F$82)/(1-J13),-2),"")</f>
      </c>
      <c r="P13" s="40" t="str">
        <f ca="1">IFERROR(O13*F13,"")</f>
      </c>
      <c r="Q13" s="99"/>
    </row>
    <row r="14" spans="1:17" ht="11.65" customHeight="1">
      <c r="A14" s="9"/>
      <c r="B14" s="111"/>
      <c r="C14" s="45"/>
      <c r="D14" s="103"/>
      <c r="E14" s="28"/>
      <c r="F14" s="28"/>
      <c r="G14" s="22"/>
      <c r="H14" s="45"/>
      <c r="I14" s="22"/>
      <c r="J14" s="12">
        <v>0</v>
      </c>
      <c r="K14" s="8" t="str">
        <f ca="1">IFERROR(VLOOKUP(B14,DATA!$L$2:$P$6,5,0)/E14,"")</f>
      </c>
      <c r="L14" s="108" t="str">
        <f ca="1">IFERROR(IF(D14&lt;0.15,"Không GC được",IF(E14&lt;6,"Không GC được",IF(E14&lt;20,3200,IF(E14&lt;50,2150,IF(E14&lt;80,1950,1600))))*(1+IF(F14&lt;500,0.5,IF(F14&gt;10000,-0.2,IF(F14&gt;5000,-0.1,IF(F14&gt;1000,0,0.3))))+IF(D14&lt;0.3,20%,IF(D14&lt;0.5,15%,0)))),"Không GC được")</f>
        <v>Không GC được</v>
      </c>
      <c r="M14" s="153" t="str">
        <f ca="1">IFERROR((C14*(1+K14)+L14)/(1-G14*0.007/30),"")</f>
      </c>
      <c r="N14" s="11" t="str">
        <f ca="1">IFERROR(VLOOKUP(B14,DATA!$L$2:$N$6,2,0),"")</f>
      </c>
      <c r="O14" s="113" t="str">
        <f ca="1">IFERROR(ROUND((M14/(1-N14)+($H$12+$I$12)/$F$82)/(1-J14),-2),"")</f>
      </c>
      <c r="P14" s="40" t="str">
        <f ca="1">IFERROR(O14*F14,"")</f>
      </c>
      <c r="Q14" s="99" t="s">
        <v>109</v>
      </c>
    </row>
    <row r="15" spans="1:17" ht="11.65" customHeight="1">
      <c r="A15" s="9"/>
      <c r="B15" s="111"/>
      <c r="C15" s="45"/>
      <c r="D15" s="103"/>
      <c r="E15" s="28"/>
      <c r="F15" s="28"/>
      <c r="G15" s="22"/>
      <c r="H15" s="45"/>
      <c r="I15" s="22"/>
      <c r="J15" s="12">
        <v>0</v>
      </c>
      <c r="K15" s="8" t="str">
        <f ca="1">IFERROR(VLOOKUP(B15,DATA!$L$2:$P$6,5,0)/E15,"")</f>
      </c>
      <c r="L15" s="108" t="str">
        <f ca="1">IFERROR(IF(D15&lt;0.15,"Không GC được",IF(E15&lt;6,"Không GC được",IF(E15&lt;20,3200,IF(E15&lt;50,2150,IF(E15&lt;80,1950,1600))))*(1+IF(F15&lt;500,0.5,IF(F15&gt;10000,-0.2,IF(F15&gt;5000,-0.1,IF(F15&gt;1000,0,0.3))))+IF(D15&lt;0.3,20%,IF(D15&lt;0.5,15%,0)))),"Không GC được")</f>
        <v>Không GC được</v>
      </c>
      <c r="M15" s="153" t="str">
        <f ca="1">IFERROR((C15*(1+K15)+L15)/(1-G15*0.007/30),"")</f>
      </c>
      <c r="N15" s="11" t="str">
        <f ca="1">IFERROR(VLOOKUP(B15,DATA!$L$2:$N$6,2,0),"")</f>
      </c>
      <c r="O15" s="113" t="str">
        <f ca="1">IFERROR(ROUND((M15/(1-N15)+($H$12+$I$12)/$F$82)/(1-J15),-2),"")</f>
      </c>
      <c r="P15" s="40" t="str">
        <f ca="1">IFERROR(O15*F15,"")</f>
      </c>
      <c r="Q15" s="99"/>
    </row>
    <row r="16" spans="1:17" ht="11.65" customHeight="1">
      <c r="A16" s="9"/>
      <c r="B16" s="111"/>
      <c r="C16" s="45"/>
      <c r="D16" s="103"/>
      <c r="E16" s="28"/>
      <c r="F16" s="28"/>
      <c r="G16" s="22"/>
      <c r="H16" s="45"/>
      <c r="I16" s="22"/>
      <c r="J16" s="12">
        <v>0</v>
      </c>
      <c r="K16" s="8" t="str">
        <f ca="1">IFERROR(VLOOKUP(B16,DATA!$L$2:$P$6,5,0)/E16,"")</f>
      </c>
      <c r="L16" s="108" t="str">
        <f ca="1">IFERROR(IF(D16&lt;0.15,"Không GC được",IF(E16&lt;6,"Không GC được",IF(E16&lt;20,3200,IF(E16&lt;50,2150,IF(E16&lt;80,1950,1600))))*(1+IF(F16&lt;500,0.5,IF(F16&gt;10000,-0.2,IF(F16&gt;5000,-0.1,IF(F16&gt;1000,0,0.3))))+IF(D16&lt;0.3,20%,IF(D16&lt;0.5,15%,0)))),"Không GC được")</f>
        <v>Không GC được</v>
      </c>
      <c r="M16" s="153" t="str">
        <f ca="1">IFERROR((C16*(1+K16)+L16)/(1-G16*0.007/30),"")</f>
      </c>
      <c r="N16" s="11" t="str">
        <f ca="1">IFERROR(VLOOKUP(B16,DATA!$L$2:$N$6,2,0),"")</f>
      </c>
      <c r="O16" s="113" t="str">
        <f ca="1">IFERROR(ROUND((M16/(1-N16)+($H$12+$I$12)/$F$82)/(1-J16),-2),"")</f>
      </c>
      <c r="P16" s="40" t="str">
        <f ca="1">IFERROR(O16*F16,"")</f>
      </c>
      <c r="Q16" s="99"/>
    </row>
    <row r="17" spans="1:17" ht="11.65" customHeight="1">
      <c r="A17" s="9"/>
      <c r="B17" s="111"/>
      <c r="C17" s="45"/>
      <c r="D17" s="103"/>
      <c r="E17" s="28"/>
      <c r="F17" s="28"/>
      <c r="G17" s="22"/>
      <c r="H17" s="45"/>
      <c r="I17" s="22"/>
      <c r="J17" s="12">
        <v>0</v>
      </c>
      <c r="K17" s="8" t="str">
        <f ca="1">IFERROR(VLOOKUP(B17,DATA!$L$2:$P$6,5,0)/E17,"")</f>
      </c>
      <c r="L17" s="108" t="str">
        <f ca="1">IFERROR(IF(D17&lt;0.15,"Không GC được",IF(E17&lt;6,"Không GC được",IF(E17&lt;20,3200,IF(E17&lt;50,2150,IF(E17&lt;80,1950,1600))))*(1+IF(F17&lt;500,0.5,IF(F17&gt;10000,-0.2,IF(F17&gt;5000,-0.1,IF(F17&gt;1000,0,0.3))))+IF(D17&lt;0.3,20%,IF(D17&lt;0.5,15%,0)))),"Không GC được")</f>
        <v>Không GC được</v>
      </c>
      <c r="M17" s="153" t="str">
        <f ca="1">IFERROR((C17*(1+K17)+L17)/(1-G17*0.007/30),"")</f>
      </c>
      <c r="N17" s="11" t="str">
        <f ca="1">IFERROR(VLOOKUP(B17,DATA!$L$2:$N$6,2,0),"")</f>
      </c>
      <c r="O17" s="113" t="str">
        <f ca="1">IFERROR(ROUND((M17/(1-N17)+($H$12+$I$12)/$F$82)/(1-J17),-2),"")</f>
      </c>
      <c r="P17" s="40" t="str">
        <f ca="1">IFERROR(O17*F17,"")</f>
      </c>
      <c r="Q17" s="99"/>
    </row>
    <row r="18" spans="1:17" ht="11.65" customHeight="1">
      <c r="A18" s="9"/>
      <c r="B18" s="111"/>
      <c r="C18" s="45"/>
      <c r="D18" s="103"/>
      <c r="E18" s="28"/>
      <c r="F18" s="28"/>
      <c r="G18" s="22"/>
      <c r="H18" s="45"/>
      <c r="I18" s="22"/>
      <c r="J18" s="12">
        <v>0</v>
      </c>
      <c r="K18" s="8" t="str">
        <f ca="1">IFERROR(VLOOKUP(B18,DATA!$L$2:$P$6,5,0)/E18,"")</f>
      </c>
      <c r="L18" s="108" t="str">
        <f ca="1">IFERROR(IF(D18&lt;0.15,"Không GC được",IF(E18&lt;6,"Không GC được",IF(E18&lt;20,3200,IF(E18&lt;50,2150,IF(E18&lt;80,1950,1600))))*(1+IF(F18&lt;500,0.5,IF(F18&gt;10000,-0.2,IF(F18&gt;5000,-0.1,IF(F18&gt;1000,0,0.3))))+IF(D18&lt;0.3,20%,IF(D18&lt;0.5,15%,0)))),"Không GC được")</f>
        <v>Không GC được</v>
      </c>
      <c r="M18" s="153" t="str">
        <f ca="1">IFERROR((C18*(1+K18)+L18)/(1-G18*0.007/30),"")</f>
      </c>
      <c r="N18" s="11" t="str">
        <f ca="1">IFERROR(VLOOKUP(B18,DATA!$L$2:$N$6,2,0),"")</f>
      </c>
      <c r="O18" s="113" t="str">
        <f ca="1">IFERROR(ROUND((M18/(1-N18)+($H$12+$I$12)/$F$82)/(1-J18),-2),"")</f>
      </c>
      <c r="P18" s="40" t="str">
        <f ca="1">IFERROR(O18*F18,"")</f>
      </c>
      <c r="Q18" s="99"/>
    </row>
    <row r="19" spans="1:17" ht="11.65" customHeight="1">
      <c r="A19" s="9"/>
      <c r="B19" s="111"/>
      <c r="C19" s="45"/>
      <c r="D19" s="103"/>
      <c r="E19" s="28"/>
      <c r="F19" s="28"/>
      <c r="G19" s="22"/>
      <c r="H19" s="45"/>
      <c r="I19" s="22"/>
      <c r="J19" s="12">
        <v>0</v>
      </c>
      <c r="K19" s="8" t="str">
        <f ca="1">IFERROR(VLOOKUP(B19,DATA!$L$2:$P$6,5,0)/E19,"")</f>
      </c>
      <c r="L19" s="108" t="str">
        <f ca="1">IFERROR(IF(D19&lt;0.15,"Không GC được",IF(E19&lt;6,"Không GC được",IF(E19&lt;20,3200,IF(E19&lt;50,2150,IF(E19&lt;80,1950,1600))))*(1+IF(F19&lt;500,0.5,IF(F19&gt;10000,-0.2,IF(F19&gt;5000,-0.1,IF(F19&gt;1000,0,0.3))))+IF(D19&lt;0.3,20%,IF(D19&lt;0.5,15%,0)))),"Không GC được")</f>
        <v>Không GC được</v>
      </c>
      <c r="M19" s="153" t="str">
        <f ca="1">IFERROR((C19*(1+K19)+L19)/(1-G19*0.007/30),"")</f>
      </c>
      <c r="N19" s="11" t="str">
        <f ca="1">IFERROR(VLOOKUP(B19,DATA!$L$2:$N$6,2,0),"")</f>
      </c>
      <c r="O19" s="113" t="str">
        <f ca="1">IFERROR(ROUND((M19/(1-N19)+($H$12+$I$12)/$F$82)/(1-J19),-2),"")</f>
      </c>
      <c r="P19" s="40" t="str">
        <f ca="1">IFERROR(O19*F19,"")</f>
      </c>
    </row>
    <row r="20" spans="1:17" ht="11.65" customHeight="1">
      <c r="A20" s="9"/>
      <c r="B20" s="111"/>
      <c r="C20" s="45"/>
      <c r="D20" s="103"/>
      <c r="E20" s="28"/>
      <c r="F20" s="28"/>
      <c r="G20" s="22"/>
      <c r="H20" s="45"/>
      <c r="I20" s="22"/>
      <c r="J20" s="12">
        <v>0</v>
      </c>
      <c r="K20" s="8" t="str">
        <f ca="1">IFERROR(VLOOKUP(B20,DATA!$L$2:$P$6,5,0)/E20,"")</f>
      </c>
      <c r="L20" s="108" t="str">
        <f ca="1">IFERROR(IF(D20&lt;0.15,"Không GC được",IF(E20&lt;6,"Không GC được",IF(E20&lt;20,3200,IF(E20&lt;50,2150,IF(E20&lt;80,1950,1600))))*(1+IF(F20&lt;500,0.5,IF(F20&gt;10000,-0.2,IF(F20&gt;5000,-0.1,IF(F20&gt;1000,0,0.3))))+IF(D20&lt;0.3,20%,IF(D20&lt;0.5,15%,0)))),"Không GC được")</f>
        <v>Không GC được</v>
      </c>
      <c r="M20" s="153" t="str">
        <f ca="1">IFERROR((C20*(1+K20)+L20)/(1-G20*0.007/30),"")</f>
      </c>
      <c r="N20" s="11" t="str">
        <f ca="1">IFERROR(VLOOKUP(B20,DATA!$L$2:$N$6,2,0),"")</f>
      </c>
      <c r="O20" s="113" t="str">
        <f ca="1">IFERROR(ROUND((M20/(1-N20)+($H$12+$I$12)/$F$82)/(1-J20),-2),"")</f>
      </c>
      <c r="P20" s="40" t="str">
        <f ca="1">IFERROR(O20*F20,"")</f>
      </c>
    </row>
    <row r="21" spans="1:17" ht="11.65" customHeight="1">
      <c r="A21" s="9"/>
      <c r="B21" s="111"/>
      <c r="C21" s="45"/>
      <c r="D21" s="103"/>
      <c r="E21" s="28"/>
      <c r="F21" s="28"/>
      <c r="G21" s="22"/>
      <c r="H21" s="45"/>
      <c r="I21" s="22"/>
      <c r="J21" s="12">
        <v>0</v>
      </c>
      <c r="K21" s="8" t="str">
        <f ca="1">IFERROR(VLOOKUP(B21,DATA!$L$2:$P$6,5,0)/E21,"")</f>
      </c>
      <c r="L21" s="108" t="str">
        <f ca="1">IFERROR(IF(D21&lt;0.15,"Không GC được",IF(E21&lt;6,"Không GC được",IF(E21&lt;20,3200,IF(E21&lt;50,2150,IF(E21&lt;80,1950,1600))))*(1+IF(F21&lt;500,0.5,IF(F21&gt;10000,-0.2,IF(F21&gt;5000,-0.1,IF(F21&gt;1000,0,0.3))))+IF(D21&lt;0.3,20%,IF(D21&lt;0.5,15%,0)))),"Không GC được")</f>
        <v>Không GC được</v>
      </c>
      <c r="M21" s="153" t="str">
        <f ca="1">IFERROR((C21*(1+K21)+L21)/(1-G21*0.007/30),"")</f>
      </c>
      <c r="N21" s="11" t="str">
        <f ca="1">IFERROR(VLOOKUP(B21,DATA!$L$2:$N$6,2,0),"")</f>
      </c>
      <c r="O21" s="113" t="str">
        <f ca="1">IFERROR(ROUND((M21/(1-N21)+($H$12+$I$12)/$F$82)/(1-J21),-2),"")</f>
      </c>
      <c r="P21" s="40" t="str">
        <f ca="1">IFERROR(O21*F21,"")</f>
      </c>
    </row>
    <row r="22" spans="1:17" ht="11.65" customHeight="1">
      <c r="A22" s="9"/>
      <c r="B22" s="111"/>
      <c r="C22" s="45"/>
      <c r="D22" s="103"/>
      <c r="E22" s="28"/>
      <c r="F22" s="28"/>
      <c r="G22" s="22"/>
      <c r="H22" s="45"/>
      <c r="I22" s="22"/>
      <c r="J22" s="12">
        <v>0</v>
      </c>
      <c r="K22" s="8" t="str">
        <f ca="1">IFERROR(VLOOKUP(B22,DATA!$L$2:$P$6,5,0)/E22,"")</f>
      </c>
      <c r="L22" s="108" t="str">
        <f ca="1">IFERROR(IF(D22&lt;0.15,"Không GC được",IF(E22&lt;6,"Không GC được",IF(E22&lt;20,3200,IF(E22&lt;50,2150,IF(E22&lt;80,1950,1600))))*(1+IF(F22&lt;500,0.5,IF(F22&gt;10000,-0.2,IF(F22&gt;5000,-0.1,IF(F22&gt;1000,0,0.3))))+IF(D22&lt;0.3,20%,IF(D22&lt;0.5,15%,0)))),"Không GC được")</f>
        <v>Không GC được</v>
      </c>
      <c r="M22" s="153" t="str">
        <f ca="1">IFERROR((C22*(1+K22)+L22)/(1-G22*0.007/30),"")</f>
      </c>
      <c r="N22" s="11" t="str">
        <f ca="1">IFERROR(VLOOKUP(B22,DATA!$L$2:$N$6,2,0),"")</f>
      </c>
      <c r="O22" s="113" t="str">
        <f ca="1">IFERROR(ROUND((M22/(1-N22)+($H$12+$I$12)/$F$82)/(1-J22),-2),"")</f>
      </c>
      <c r="P22" s="40" t="str">
        <f ca="1">IFERROR(O22*F22,"")</f>
      </c>
    </row>
    <row r="23" spans="1:17" ht="11.65" customHeight="1">
      <c r="A23" s="9"/>
      <c r="B23" s="111"/>
      <c r="C23" s="45"/>
      <c r="D23" s="103"/>
      <c r="E23" s="28"/>
      <c r="F23" s="28"/>
      <c r="G23" s="22"/>
      <c r="H23" s="45"/>
      <c r="I23" s="22"/>
      <c r="J23" s="12">
        <v>0</v>
      </c>
      <c r="K23" s="8" t="str">
        <f ca="1">IFERROR(VLOOKUP(B23,DATA!$L$2:$P$6,5,0)/E23,"")</f>
      </c>
      <c r="L23" s="108" t="str">
        <f ca="1">IFERROR(IF(D23&lt;0.15,"Không GC được",IF(E23&lt;6,"Không GC được",IF(E23&lt;20,3200,IF(E23&lt;50,2150,IF(E23&lt;80,1950,1600))))*(1+IF(F23&lt;500,0.5,IF(F23&gt;10000,-0.2,IF(F23&gt;5000,-0.1,IF(F23&gt;1000,0,0.3))))+IF(D23&lt;0.3,20%,IF(D23&lt;0.5,15%,0)))),"Không GC được")</f>
        <v>Không GC được</v>
      </c>
      <c r="M23" s="153" t="str">
        <f ca="1">IFERROR((C23*(1+K23)+L23)/(1-G23*0.007/30),"")</f>
      </c>
      <c r="N23" s="11" t="str">
        <f ca="1">IFERROR(VLOOKUP(B23,DATA!$L$2:$N$6,2,0),"")</f>
      </c>
      <c r="O23" s="113" t="str">
        <f ca="1">IFERROR(ROUND((M23/(1-N23)+($H$12+$I$12)/$F$82)/(1-J23),-2),"")</f>
      </c>
      <c r="P23" s="40" t="str">
        <f ca="1">IFERROR(O23*F23,"")</f>
      </c>
    </row>
    <row r="24" spans="1:17" ht="11.65" customHeight="1">
      <c r="A24" s="9"/>
      <c r="B24" s="111"/>
      <c r="C24" s="45"/>
      <c r="D24" s="103"/>
      <c r="E24" s="28"/>
      <c r="F24" s="28"/>
      <c r="G24" s="22"/>
      <c r="H24" s="45"/>
      <c r="I24" s="22"/>
      <c r="J24" s="12">
        <v>0</v>
      </c>
      <c r="K24" s="8" t="str">
        <f ca="1">IFERROR(VLOOKUP(B24,DATA!$L$2:$P$6,5,0)/E24,"")</f>
      </c>
      <c r="L24" s="108" t="str">
        <f ca="1">IFERROR(IF(D24&lt;0.15,"Không GC được",IF(E24&lt;6,"Không GC được",IF(E24&lt;20,3200,IF(E24&lt;50,2150,IF(E24&lt;80,1950,1600))))*(1+IF(F24&lt;500,0.5,IF(F24&gt;10000,-0.2,IF(F24&gt;5000,-0.1,IF(F24&gt;1000,0,0.3))))+IF(D24&lt;0.3,20%,IF(D24&lt;0.5,15%,0)))),"Không GC được")</f>
        <v>Không GC được</v>
      </c>
      <c r="M24" s="153" t="str">
        <f ca="1">IFERROR((C24*(1+K24)+L24)/(1-G24*0.007/30),"")</f>
      </c>
      <c r="N24" s="11" t="str">
        <f ca="1">IFERROR(VLOOKUP(B24,DATA!$L$2:$N$6,2,0),"")</f>
      </c>
      <c r="O24" s="113" t="str">
        <f ca="1">IFERROR(ROUND((M24/(1-N24)+($H$12+$I$12)/$F$82)/(1-J24),-2),"")</f>
      </c>
      <c r="P24" s="40" t="str">
        <f ca="1">IFERROR(O24*F24,"")</f>
      </c>
    </row>
    <row r="25" spans="1:17" ht="11.65" customHeight="1">
      <c r="A25" s="9"/>
      <c r="B25" s="111"/>
      <c r="C25" s="45"/>
      <c r="D25" s="103"/>
      <c r="E25" s="28"/>
      <c r="F25" s="28"/>
      <c r="G25" s="22"/>
      <c r="H25" s="45"/>
      <c r="I25" s="22"/>
      <c r="J25" s="12">
        <v>0</v>
      </c>
      <c r="K25" s="8" t="str">
        <f ca="1">IFERROR(VLOOKUP(B25,DATA!$L$2:$P$6,5,0)/E25,"")</f>
      </c>
      <c r="L25" s="108" t="str">
        <f ca="1">IFERROR(IF(D25&lt;0.15,"Không GC được",IF(E25&lt;6,"Không GC được",IF(E25&lt;20,3200,IF(E25&lt;50,2150,IF(E25&lt;80,1950,1600))))*(1+IF(F25&lt;500,0.5,IF(F25&gt;10000,-0.2,IF(F25&gt;5000,-0.1,IF(F25&gt;1000,0,0.3))))+IF(D25&lt;0.3,20%,IF(D25&lt;0.5,15%,0)))),"Không GC được")</f>
        <v>Không GC được</v>
      </c>
      <c r="M25" s="153" t="str">
        <f ca="1">IFERROR((C25*(1+K25)+L25)/(1-G25*0.007/30),"")</f>
      </c>
      <c r="N25" s="11" t="str">
        <f ca="1">IFERROR(VLOOKUP(B25,DATA!$L$2:$N$6,2,0),"")</f>
      </c>
      <c r="O25" s="113" t="str">
        <f ca="1">IFERROR(ROUND((M25/(1-N25)+($H$12+$I$12)/$F$82)/(1-J25),-2),"")</f>
      </c>
      <c r="P25" s="40" t="str">
        <f ca="1">IFERROR(O25*F25,"")</f>
      </c>
    </row>
    <row r="26" spans="1:17" ht="11.65" customHeight="1">
      <c r="A26" s="9"/>
      <c r="B26" s="111"/>
      <c r="C26" s="45"/>
      <c r="D26" s="103"/>
      <c r="E26" s="28"/>
      <c r="F26" s="28"/>
      <c r="G26" s="22"/>
      <c r="H26" s="45"/>
      <c r="I26" s="22"/>
      <c r="J26" s="12">
        <v>0</v>
      </c>
      <c r="K26" s="8" t="str">
        <f ca="1">IFERROR(VLOOKUP(B26,DATA!$L$2:$P$6,5,0)/E26,"")</f>
      </c>
      <c r="L26" s="108" t="str">
        <f ca="1">IFERROR(IF(D26&lt;0.15,"Không GC được",IF(E26&lt;6,"Không GC được",IF(E26&lt;20,3200,IF(E26&lt;50,2150,IF(E26&lt;80,1950,1600))))*(1+IF(F26&lt;500,0.5,IF(F26&gt;10000,-0.2,IF(F26&gt;5000,-0.1,IF(F26&gt;1000,0,0.3))))+IF(D26&lt;0.3,20%,IF(D26&lt;0.5,15%,0)))),"Không GC được")</f>
        <v>Không GC được</v>
      </c>
      <c r="M26" s="153" t="str">
        <f ca="1">IFERROR((C26*(1+K26)+L26)/(1-G26*0.007/30),"")</f>
      </c>
      <c r="N26" s="11" t="str">
        <f ca="1">IFERROR(VLOOKUP(B26,DATA!$L$2:$N$6,2,0),"")</f>
      </c>
      <c r="O26" s="113" t="str">
        <f ca="1">IFERROR(ROUND((M26/(1-N26)+($H$12+$I$12)/$F$82)/(1-J26),-2),"")</f>
      </c>
      <c r="P26" s="40" t="str">
        <f ca="1">IFERROR(O26*F26,"")</f>
      </c>
    </row>
    <row r="27" spans="1:17" ht="11.65" customHeight="1">
      <c r="A27" s="9"/>
      <c r="B27" s="111"/>
      <c r="C27" s="45"/>
      <c r="D27" s="103"/>
      <c r="E27" s="28"/>
      <c r="F27" s="28"/>
      <c r="G27" s="22"/>
      <c r="H27" s="45"/>
      <c r="I27" s="22"/>
      <c r="J27" s="12">
        <v>0</v>
      </c>
      <c r="K27" s="8" t="str">
        <f ca="1">IFERROR(VLOOKUP(B27,DATA!$L$2:$P$6,5,0)/E27,"")</f>
      </c>
      <c r="L27" s="108" t="str">
        <f ca="1">IFERROR(IF(D27&lt;0.15,"Không GC được",IF(E27&lt;6,"Không GC được",IF(E27&lt;20,3200,IF(E27&lt;50,2150,IF(E27&lt;80,1950,1600))))*(1+IF(F27&lt;500,0.5,IF(F27&gt;10000,-0.2,IF(F27&gt;5000,-0.1,IF(F27&gt;1000,0,0.3))))+IF(D27&lt;0.3,20%,IF(D27&lt;0.5,15%,0)))),"Không GC được")</f>
        <v>Không GC được</v>
      </c>
      <c r="M27" s="153" t="str">
        <f ca="1">IFERROR((C27*(1+K27)+L27)/(1-G27*0.007/30),"")</f>
      </c>
      <c r="N27" s="11" t="str">
        <f ca="1">IFERROR(VLOOKUP(B27,DATA!$L$2:$N$6,2,0),"")</f>
      </c>
      <c r="O27" s="113" t="str">
        <f ca="1">IFERROR(ROUND((M27/(1-N27)+($H$12+$I$12)/$F$82)/(1-J27),-2),"")</f>
      </c>
      <c r="P27" s="40" t="str">
        <f ca="1">IFERROR(O27*F27,"")</f>
      </c>
    </row>
    <row r="28" spans="1:17" ht="11.65" customHeight="1">
      <c r="A28" s="9"/>
      <c r="B28" s="111"/>
      <c r="C28" s="45"/>
      <c r="D28" s="103"/>
      <c r="E28" s="28"/>
      <c r="F28" s="28"/>
      <c r="G28" s="22"/>
      <c r="H28" s="45"/>
      <c r="I28" s="22"/>
      <c r="J28" s="12">
        <v>0</v>
      </c>
      <c r="K28" s="8" t="str">
        <f ca="1">IFERROR(VLOOKUP(B28,DATA!$L$2:$P$6,5,0)/E28,"")</f>
      </c>
      <c r="L28" s="108" t="str">
        <f ca="1">IFERROR(IF(D28&lt;0.15,"Không GC được",IF(E28&lt;6,"Không GC được",IF(E28&lt;20,3200,IF(E28&lt;50,2150,IF(E28&lt;80,1950,1600))))*(1+IF(F28&lt;500,0.5,IF(F28&gt;10000,-0.2,IF(F28&gt;5000,-0.1,IF(F28&gt;1000,0,0.3))))+IF(D28&lt;0.3,20%,IF(D28&lt;0.5,15%,0)))),"Không GC được")</f>
        <v>Không GC được</v>
      </c>
      <c r="M28" s="153" t="str">
        <f ca="1">IFERROR((C28*(1+K28)+L28)/(1-G28*0.007/30),"")</f>
      </c>
      <c r="N28" s="11" t="str">
        <f ca="1">IFERROR(VLOOKUP(B28,DATA!$L$2:$N$6,2,0),"")</f>
      </c>
      <c r="O28" s="113" t="str">
        <f ca="1">IFERROR(ROUND((M28/(1-N28)+($H$12+$I$12)/$F$82)/(1-J28),-2),"")</f>
      </c>
      <c r="P28" s="40" t="str">
        <f ca="1">IFERROR(O28*F28,"")</f>
      </c>
    </row>
    <row r="29" spans="1:17" ht="11.65" customHeight="1">
      <c r="A29" s="9"/>
      <c r="B29" s="111"/>
      <c r="C29" s="45"/>
      <c r="D29" s="103"/>
      <c r="E29" s="28"/>
      <c r="F29" s="28"/>
      <c r="G29" s="22"/>
      <c r="H29" s="45"/>
      <c r="I29" s="22"/>
      <c r="J29" s="12">
        <v>0</v>
      </c>
      <c r="K29" s="8" t="str">
        <f ca="1">IFERROR(VLOOKUP(B29,DATA!$L$2:$P$6,5,0)/E29,"")</f>
      </c>
      <c r="L29" s="108" t="str">
        <f ca="1">IFERROR(IF(D29&lt;0.15,"Không GC được",IF(E29&lt;6,"Không GC được",IF(E29&lt;20,3200,IF(E29&lt;50,2150,IF(E29&lt;80,1950,1600))))*(1+IF(F29&lt;500,0.5,IF(F29&gt;10000,-0.2,IF(F29&gt;5000,-0.1,IF(F29&gt;1000,0,0.3))))+IF(D29&lt;0.3,20%,IF(D29&lt;0.5,15%,0)))),"Không GC được")</f>
        <v>Không GC được</v>
      </c>
      <c r="M29" s="153" t="str">
        <f ca="1">IFERROR((C29*(1+K29)+L29)/(1-G29*0.007/30),"")</f>
      </c>
      <c r="N29" s="11" t="str">
        <f ca="1">IFERROR(VLOOKUP(B29,DATA!$L$2:$N$6,2,0),"")</f>
      </c>
      <c r="O29" s="113" t="str">
        <f ca="1">IFERROR(ROUND((M29/(1-N29)+($H$12+$I$12)/$F$82)/(1-J29),-2),"")</f>
      </c>
      <c r="P29" s="40" t="str">
        <f ca="1">IFERROR(O29*F29,"")</f>
      </c>
    </row>
    <row r="30" spans="1:17" ht="11.65" customHeight="1">
      <c r="A30" s="9"/>
      <c r="B30" s="111"/>
      <c r="C30" s="45"/>
      <c r="D30" s="103"/>
      <c r="E30" s="28"/>
      <c r="F30" s="28"/>
      <c r="G30" s="22"/>
      <c r="H30" s="45"/>
      <c r="I30" s="22"/>
      <c r="J30" s="12">
        <v>0</v>
      </c>
      <c r="K30" s="8" t="str">
        <f ca="1">IFERROR(VLOOKUP(B30,DATA!$L$2:$P$6,5,0)/E30,"")</f>
      </c>
      <c r="L30" s="108" t="str">
        <f ca="1">IFERROR(IF(D30&lt;0.15,"Không GC được",IF(E30&lt;6,"Không GC được",IF(E30&lt;20,3200,IF(E30&lt;50,2150,IF(E30&lt;80,1950,1600))))*(1+IF(F30&lt;500,0.5,IF(F30&gt;10000,-0.2,IF(F30&gt;5000,-0.1,IF(F30&gt;1000,0,0.3))))+IF(D30&lt;0.3,20%,IF(D30&lt;0.5,15%,0)))),"Không GC được")</f>
        <v>Không GC được</v>
      </c>
      <c r="M30" s="153" t="str">
        <f ca="1">IFERROR((C30*(1+K30)+L30)/(1-G30*0.007/30),"")</f>
      </c>
      <c r="N30" s="11" t="str">
        <f ca="1">IFERROR(VLOOKUP(B30,DATA!$L$2:$N$6,2,0),"")</f>
      </c>
      <c r="O30" s="113" t="str">
        <f ca="1">IFERROR(ROUND((M30/(1-N30)+($H$12+$I$12)/$F$82)/(1-J30),-2),"")</f>
      </c>
      <c r="P30" s="40" t="str">
        <f ca="1">IFERROR(O30*F30,"")</f>
      </c>
    </row>
    <row r="31" spans="1:17" ht="11.65" customHeight="1">
      <c r="A31" s="9"/>
      <c r="B31" s="111"/>
      <c r="C31" s="45"/>
      <c r="D31" s="103"/>
      <c r="E31" s="28"/>
      <c r="F31" s="28"/>
      <c r="G31" s="22"/>
      <c r="H31" s="45"/>
      <c r="I31" s="22"/>
      <c r="J31" s="12">
        <v>0</v>
      </c>
      <c r="K31" s="8" t="str">
        <f ca="1">IFERROR(VLOOKUP(B31,DATA!$L$2:$P$6,5,0)/E31,"")</f>
      </c>
      <c r="L31" s="108" t="str">
        <f ca="1">IFERROR(IF(D31&lt;0.15,"Không GC được",IF(E31&lt;6,"Không GC được",IF(E31&lt;20,3200,IF(E31&lt;50,2150,IF(E31&lt;80,1950,1600))))*(1+IF(F31&lt;500,0.5,IF(F31&gt;10000,-0.2,IF(F31&gt;5000,-0.1,IF(F31&gt;1000,0,0.3))))+IF(D31&lt;0.3,20%,IF(D31&lt;0.5,15%,0)))),"Không GC được")</f>
        <v>Không GC được</v>
      </c>
      <c r="M31" s="153" t="str">
        <f ca="1">IFERROR((C31*(1+K31)+L31)/(1-G31*0.007/30),"")</f>
      </c>
      <c r="N31" s="11" t="str">
        <f ca="1">IFERROR(VLOOKUP(B31,DATA!$L$2:$N$6,2,0),"")</f>
      </c>
      <c r="O31" s="113" t="str">
        <f ca="1">IFERROR(ROUND((M31/(1-N31)+($H$12+$I$12)/$F$82)/(1-J31),-2),"")</f>
      </c>
      <c r="P31" s="40" t="str">
        <f ca="1">IFERROR(O31*F31,"")</f>
      </c>
    </row>
    <row r="32" spans="1:17" ht="11.65" customHeight="1">
      <c r="A32" s="9"/>
      <c r="B32" s="111"/>
      <c r="C32" s="45"/>
      <c r="D32" s="103"/>
      <c r="E32" s="28"/>
      <c r="F32" s="28"/>
      <c r="G32" s="22"/>
      <c r="H32" s="45"/>
      <c r="I32" s="22"/>
      <c r="J32" s="12">
        <v>0</v>
      </c>
      <c r="K32" s="8" t="str">
        <f ca="1">IFERROR(VLOOKUP(B32,DATA!$L$2:$P$6,5,0)/E32,"")</f>
      </c>
      <c r="L32" s="108" t="str">
        <f ca="1">IFERROR(IF(D32&lt;0.15,"Không GC được",IF(E32&lt;6,"Không GC được",IF(E32&lt;20,3200,IF(E32&lt;50,2150,IF(E32&lt;80,1950,1600))))*(1+IF(F32&lt;500,0.5,IF(F32&gt;10000,-0.2,IF(F32&gt;5000,-0.1,IF(F32&gt;1000,0,0.3))))+IF(D32&lt;0.3,20%,IF(D32&lt;0.5,15%,0)))),"Không GC được")</f>
        <v>Không GC được</v>
      </c>
      <c r="M32" s="153" t="str">
        <f ca="1">IFERROR((C32*(1+K32)+L32)/(1-G32*0.007/30),"")</f>
      </c>
      <c r="N32" s="11" t="str">
        <f ca="1">IFERROR(VLOOKUP(B32,DATA!$L$2:$N$6,2,0),"")</f>
      </c>
      <c r="O32" s="113" t="str">
        <f ca="1">IFERROR(ROUND((M32/(1-N32)+($H$12+$I$12)/$F$82)/(1-J32),-2),"")</f>
      </c>
      <c r="P32" s="40" t="str">
        <f ca="1">IFERROR(O32*F32,"")</f>
      </c>
    </row>
    <row r="33" spans="1:17" ht="11.65" customHeight="1">
      <c r="A33" s="9"/>
      <c r="B33" s="111"/>
      <c r="C33" s="45"/>
      <c r="D33" s="103"/>
      <c r="E33" s="28"/>
      <c r="F33" s="28"/>
      <c r="G33" s="22"/>
      <c r="H33" s="45"/>
      <c r="I33" s="22"/>
      <c r="J33" s="12">
        <v>0</v>
      </c>
      <c r="K33" s="8" t="str">
        <f ca="1">IFERROR(VLOOKUP(B33,DATA!$L$2:$P$6,5,0)/E33,"")</f>
      </c>
      <c r="L33" s="108" t="str">
        <f ca="1">IFERROR(IF(D33&lt;0.15,"Không GC được",IF(E33&lt;6,"Không GC được",IF(E33&lt;20,3200,IF(E33&lt;50,2150,IF(E33&lt;80,1950,1600))))*(1+IF(F33&lt;500,0.5,IF(F33&gt;10000,-0.2,IF(F33&gt;5000,-0.1,IF(F33&gt;1000,0,0.3))))+IF(D33&lt;0.3,20%,IF(D33&lt;0.5,15%,0)))),"Không GC được")</f>
        <v>Không GC được</v>
      </c>
      <c r="M33" s="153" t="str">
        <f ca="1">IFERROR((C33*(1+K33)+L33)/(1-G33*0.007/30),"")</f>
      </c>
      <c r="N33" s="11" t="str">
        <f ca="1">IFERROR(VLOOKUP(B33,DATA!$L$2:$N$6,2,0),"")</f>
      </c>
      <c r="O33" s="113" t="str">
        <f ca="1">IFERROR(ROUND((M33/(1-N33)+($H$12+$I$12)/$F$82)/(1-J33),-2),"")</f>
      </c>
      <c r="P33" s="40" t="str">
        <f ca="1">IFERROR(O33*F33,"")</f>
      </c>
    </row>
    <row r="34" spans="1:17" ht="11.65" customHeight="1">
      <c r="A34" s="9"/>
      <c r="B34" s="111"/>
      <c r="C34" s="45"/>
      <c r="D34" s="103"/>
      <c r="E34" s="28"/>
      <c r="F34" s="28"/>
      <c r="G34" s="22"/>
      <c r="H34" s="45"/>
      <c r="I34" s="22"/>
      <c r="J34" s="12">
        <v>0</v>
      </c>
      <c r="K34" s="8" t="str">
        <f ca="1">IFERROR(VLOOKUP(B34,DATA!$L$2:$P$6,5,0)/E34,"")</f>
      </c>
      <c r="L34" s="108" t="str">
        <f ca="1">IFERROR(IF(D34&lt;0.15,"Không GC được",IF(E34&lt;6,"Không GC được",IF(E34&lt;20,3200,IF(E34&lt;50,2150,IF(E34&lt;80,1950,1600))))*(1+IF(F34&lt;500,0.5,IF(F34&gt;10000,-0.2,IF(F34&gt;5000,-0.1,IF(F34&gt;1000,0,0.3))))+IF(D34&lt;0.3,20%,IF(D34&lt;0.5,15%,0)))),"Không GC được")</f>
        <v>Không GC được</v>
      </c>
      <c r="M34" s="153" t="str">
        <f ca="1">IFERROR((C34*(1+K34)+L34)/(1-G34*0.007/30),"")</f>
      </c>
      <c r="N34" s="11" t="str">
        <f ca="1">IFERROR(VLOOKUP(B34,DATA!$L$2:$N$6,2,0),"")</f>
      </c>
      <c r="O34" s="113" t="str">
        <f ca="1">IFERROR(ROUND((M34/(1-N34)+($H$12+$I$12)/$F$82)/(1-J34),-2),"")</f>
      </c>
      <c r="P34" s="40" t="str">
        <f ca="1">IFERROR(O34*F34,"")</f>
      </c>
    </row>
    <row r="35" spans="1:17" ht="11.65" customHeight="1">
      <c r="A35" s="9"/>
      <c r="B35" s="111"/>
      <c r="C35" s="45"/>
      <c r="D35" s="103"/>
      <c r="E35" s="28"/>
      <c r="F35" s="28"/>
      <c r="G35" s="22"/>
      <c r="H35" s="45"/>
      <c r="I35" s="22"/>
      <c r="J35" s="12">
        <v>0</v>
      </c>
      <c r="K35" s="8" t="str">
        <f ca="1">IFERROR(VLOOKUP(B35,DATA!$L$2:$P$6,5,0)/E35,"")</f>
      </c>
      <c r="L35" s="108" t="str">
        <f ca="1">IFERROR(IF(D35&lt;0.15,"Không GC được",IF(E35&lt;6,"Không GC được",IF(E35&lt;20,3200,IF(E35&lt;50,2150,IF(E35&lt;80,1950,1600))))*(1+IF(F35&lt;500,0.5,IF(F35&gt;10000,-0.2,IF(F35&gt;5000,-0.1,IF(F35&gt;1000,0,0.3))))+IF(D35&lt;0.3,20%,IF(D35&lt;0.5,15%,0)))),"Không GC được")</f>
        <v>Không GC được</v>
      </c>
      <c r="M35" s="153" t="str">
        <f ca="1">IFERROR((C35*(1+K35)+L35)/(1-G35*0.007/30),"")</f>
      </c>
      <c r="N35" s="11" t="str">
        <f ca="1">IFERROR(VLOOKUP(B35,DATA!$L$2:$N$6,2,0),"")</f>
      </c>
      <c r="O35" s="113" t="str">
        <f ca="1">IFERROR(ROUND((M35/(1-N35)+($H$12+$I$12)/$F$82)/(1-J35),-2),"")</f>
      </c>
      <c r="P35" s="40" t="str">
        <f ca="1">IFERROR(O35*F35,"")</f>
      </c>
    </row>
    <row r="36" spans="1:17" ht="11.65" customHeight="1">
      <c r="A36" s="9"/>
      <c r="B36" s="111"/>
      <c r="C36" s="45"/>
      <c r="D36" s="103"/>
      <c r="E36" s="28"/>
      <c r="F36" s="28"/>
      <c r="G36" s="22"/>
      <c r="H36" s="45"/>
      <c r="I36" s="22"/>
      <c r="J36" s="12">
        <v>0</v>
      </c>
      <c r="K36" s="8" t="str">
        <f ca="1">IFERROR(VLOOKUP(B36,DATA!$L$2:$P$6,5,0)/E36,"")</f>
      </c>
      <c r="L36" s="108" t="str">
        <f ca="1">IFERROR(IF(D36&lt;0.15,"Không GC được",IF(E36&lt;6,"Không GC được",IF(E36&lt;20,3200,IF(E36&lt;50,2150,IF(E36&lt;80,1950,1600))))*(1+IF(F36&lt;500,0.5,IF(F36&gt;10000,-0.2,IF(F36&gt;5000,-0.1,IF(F36&gt;1000,0,0.3))))+IF(D36&lt;0.3,20%,IF(D36&lt;0.5,15%,0)))),"Không GC được")</f>
        <v>Không GC được</v>
      </c>
      <c r="M36" s="153" t="str">
        <f ca="1">IFERROR((C36*(1+K36)+L36)/(1-G36*0.007/30),"")</f>
      </c>
      <c r="N36" s="11" t="str">
        <f ca="1">IFERROR(VLOOKUP(B36,DATA!$L$2:$N$6,2,0),"")</f>
      </c>
      <c r="O36" s="113" t="str">
        <f ca="1">IFERROR(ROUND((M36/(1-N36)+($H$12+$I$12)/$F$82)/(1-J36),-2),"")</f>
      </c>
      <c r="P36" s="40" t="str">
        <f ca="1">IFERROR(O36*F36,"")</f>
      </c>
    </row>
    <row r="37" spans="1:17" ht="11.65" customHeight="1">
      <c r="A37" s="9"/>
      <c r="B37" s="111"/>
      <c r="C37" s="45"/>
      <c r="D37" s="103"/>
      <c r="E37" s="28"/>
      <c r="F37" s="28"/>
      <c r="G37" s="22"/>
      <c r="H37" s="45"/>
      <c r="I37" s="22"/>
      <c r="J37" s="12">
        <v>0</v>
      </c>
      <c r="K37" s="8" t="str">
        <f ca="1">IFERROR(VLOOKUP(B37,DATA!$L$2:$P$6,5,0)/E37,"")</f>
      </c>
      <c r="L37" s="108" t="str">
        <f ca="1">IFERROR(IF(D37&lt;0.15,"Không GC được",IF(E37&lt;6,"Không GC được",IF(E37&lt;20,3200,IF(E37&lt;50,2150,IF(E37&lt;80,1950,1600))))*(1+IF(F37&lt;500,0.5,IF(F37&gt;10000,-0.2,IF(F37&gt;5000,-0.1,IF(F37&gt;1000,0,0.3))))+IF(D37&lt;0.3,20%,IF(D37&lt;0.5,15%,0)))),"Không GC được")</f>
        <v>Không GC được</v>
      </c>
      <c r="M37" s="153" t="str">
        <f ca="1">IFERROR((C37*(1+K37)+L37)/(1-G37*0.007/30),"")</f>
      </c>
      <c r="N37" s="11" t="str">
        <f ca="1">IFERROR(VLOOKUP(B37,DATA!$L$2:$N$6,2,0),"")</f>
      </c>
      <c r="O37" s="113" t="str">
        <f ca="1">IFERROR(ROUND((M37/(1-N37)+($H$12+$I$12)/$F$82)/(1-J37),-2),"")</f>
      </c>
      <c r="P37" s="40" t="str">
        <f ca="1">IFERROR(O37*F37,"")</f>
      </c>
    </row>
    <row r="38" spans="1:17" ht="11.65" customHeight="1">
      <c r="A38" s="9"/>
      <c r="B38" s="111"/>
      <c r="C38" s="45"/>
      <c r="D38" s="103"/>
      <c r="E38" s="28"/>
      <c r="F38" s="28"/>
      <c r="G38" s="22"/>
      <c r="H38" s="45"/>
      <c r="I38" s="22"/>
      <c r="J38" s="12">
        <v>0</v>
      </c>
      <c r="K38" s="8" t="str">
        <f ca="1">IFERROR(VLOOKUP(B38,DATA!$L$2:$P$6,5,0)/E38,"")</f>
      </c>
      <c r="L38" s="108" t="str">
        <f ca="1">IFERROR(IF(D38&lt;0.15,"Không GC được",IF(E38&lt;6,"Không GC được",IF(E38&lt;20,3200,IF(E38&lt;50,2150,IF(E38&lt;80,1950,1600))))*(1+IF(F38&lt;500,0.5,IF(F38&gt;10000,-0.2,IF(F38&gt;5000,-0.1,IF(F38&gt;1000,0,0.3))))+IF(D38&lt;0.3,20%,IF(D38&lt;0.5,15%,0)))),"Không GC được")</f>
        <v>Không GC được</v>
      </c>
      <c r="M38" s="153" t="str">
        <f ca="1">IFERROR((C38*(1+K38)+L38)/(1-G38*0.007/30),"")</f>
      </c>
      <c r="N38" s="11" t="str">
        <f ca="1">IFERROR(VLOOKUP(B38,DATA!$L$2:$N$6,2,0),"")</f>
      </c>
      <c r="O38" s="113" t="str">
        <f ca="1">IFERROR(ROUND((M38/(1-N38)+($H$12+$I$12)/$F$82)/(1-J38),-2),"")</f>
      </c>
      <c r="P38" s="40" t="str">
        <f ca="1">IFERROR(O38*F38,"")</f>
      </c>
    </row>
    <row r="39" spans="1:17" ht="11.65" customHeight="1">
      <c r="A39" s="9"/>
      <c r="B39" s="111"/>
      <c r="C39" s="45"/>
      <c r="D39" s="103"/>
      <c r="E39" s="28"/>
      <c r="F39" s="28"/>
      <c r="G39" s="22"/>
      <c r="H39" s="45"/>
      <c r="I39" s="22"/>
      <c r="J39" s="12">
        <v>0</v>
      </c>
      <c r="K39" s="8" t="str">
        <f ca="1">IFERROR(VLOOKUP(B39,DATA!$L$2:$P$6,5,0)/E39,"")</f>
      </c>
      <c r="L39" s="108" t="str">
        <f ca="1">IFERROR(IF(D39&lt;0.15,"Không GC được",IF(E39&lt;6,"Không GC được",IF(E39&lt;20,3200,IF(E39&lt;50,2150,IF(E39&lt;80,1950,1600))))*(1+IF(F39&lt;500,0.5,IF(F39&gt;10000,-0.2,IF(F39&gt;5000,-0.1,IF(F39&gt;1000,0,0.3))))+IF(D39&lt;0.3,20%,IF(D39&lt;0.5,15%,0)))),"Không GC được")</f>
        <v>Không GC được</v>
      </c>
      <c r="M39" s="153" t="str">
        <f ca="1">IFERROR((C39*(1+K39)+L39)/(1-G39*0.007/30),"")</f>
      </c>
      <c r="N39" s="11" t="str">
        <f ca="1">IFERROR(VLOOKUP(B39,DATA!$L$2:$N$6,2,0),"")</f>
      </c>
      <c r="O39" s="113" t="str">
        <f ca="1">IFERROR(ROUND((M39/(1-N39)+($H$12+$I$12)/$F$82)/(1-J39),-2),"")</f>
      </c>
      <c r="P39" s="40" t="str">
        <f ca="1">IFERROR(O39*F39,"")</f>
      </c>
    </row>
    <row r="40" spans="1:17" ht="11.65" customHeight="1">
      <c r="A40" s="9"/>
      <c r="B40" s="111"/>
      <c r="C40" s="45"/>
      <c r="D40" s="103"/>
      <c r="E40" s="28"/>
      <c r="F40" s="28"/>
      <c r="G40" s="22"/>
      <c r="H40" s="45"/>
      <c r="I40" s="22"/>
      <c r="J40" s="12">
        <v>0</v>
      </c>
      <c r="K40" s="8" t="str">
        <f ca="1">IFERROR(VLOOKUP(B40,DATA!$L$2:$P$6,5,0)/E40,"")</f>
      </c>
      <c r="L40" s="108" t="str">
        <f ca="1">IFERROR(IF(D40&lt;0.15,"Không GC được",IF(E40&lt;6,"Không GC được",IF(E40&lt;20,3200,IF(E40&lt;50,2150,IF(E40&lt;80,1950,1600))))*(1+IF(F40&lt;500,0.5,IF(F40&gt;10000,-0.2,IF(F40&gt;5000,-0.1,IF(F40&gt;1000,0,0.3))))+IF(D40&lt;0.3,20%,IF(D40&lt;0.5,15%,0)))),"Không GC được")</f>
        <v>Không GC được</v>
      </c>
      <c r="M40" s="153" t="str">
        <f ca="1">IFERROR((C40*(1+K40)+L40)/(1-G40*0.007/30),"")</f>
      </c>
      <c r="N40" s="11" t="str">
        <f ca="1">IFERROR(VLOOKUP(B40,DATA!$L$2:$N$6,2,0),"")</f>
      </c>
      <c r="O40" s="113" t="str">
        <f ca="1">IFERROR(ROUND((M40/(1-N40)+($H$12+$I$12)/$F$82)/(1-J40),-2),"")</f>
      </c>
      <c r="P40" s="40" t="str">
        <f ca="1">IFERROR(O40*F40,"")</f>
      </c>
    </row>
    <row r="41" spans="1:17" ht="11.65" customHeight="1">
      <c r="A41" s="9"/>
      <c r="B41" s="111"/>
      <c r="C41" s="45"/>
      <c r="D41" s="103"/>
      <c r="E41" s="28"/>
      <c r="F41" s="28"/>
      <c r="G41" s="22"/>
      <c r="H41" s="45"/>
      <c r="I41" s="22"/>
      <c r="J41" s="12">
        <v>0</v>
      </c>
      <c r="K41" s="8" t="str">
        <f ca="1">IFERROR(VLOOKUP(B41,DATA!$L$2:$P$6,5,0)/E41,"")</f>
      </c>
      <c r="L41" s="108" t="str">
        <f ca="1">IFERROR(IF(D41&lt;0.15,"Không GC được",IF(E41&lt;6,"Không GC được",IF(E41&lt;20,3200,IF(E41&lt;50,2150,IF(E41&lt;80,1950,1600))))*(1+IF(F41&lt;500,0.5,IF(F41&gt;10000,-0.2,IF(F41&gt;5000,-0.1,IF(F41&gt;1000,0,0.3))))+IF(D41&lt;0.3,20%,IF(D41&lt;0.5,15%,0)))),"Không GC được")</f>
        <v>Không GC được</v>
      </c>
      <c r="M41" s="153" t="str">
        <f ca="1">IFERROR((C41*(1+K41)+L41)/(1-G41*0.007/30),"")</f>
      </c>
      <c r="N41" s="11" t="str">
        <f ca="1">IFERROR(VLOOKUP(B41,DATA!$L$2:$N$6,2,0),"")</f>
      </c>
      <c r="O41" s="113" t="str">
        <f ca="1">IFERROR(ROUND((M41/(1-N41)+($H$12+$I$12)/$F$82)/(1-J41),-2),"")</f>
      </c>
      <c r="P41" s="40" t="str">
        <f ca="1">IFERROR(O41*F41,"")</f>
      </c>
    </row>
    <row r="42" spans="1:17" ht="11.65" customHeight="1">
      <c r="A42" s="9"/>
      <c r="B42" s="111"/>
      <c r="C42" s="45"/>
      <c r="D42" s="103"/>
      <c r="E42" s="28"/>
      <c r="F42" s="28"/>
      <c r="G42" s="22"/>
      <c r="H42" s="45"/>
      <c r="I42" s="22"/>
      <c r="J42" s="12">
        <v>0</v>
      </c>
      <c r="K42" s="8" t="str">
        <f ca="1">IFERROR(VLOOKUP(B42,DATA!$L$2:$P$6,5,0)/E42,"")</f>
      </c>
      <c r="L42" s="108" t="str">
        <f ca="1">IFERROR(IF(D42&lt;0.15,"Không GC được",IF(E42&lt;6,"Không GC được",IF(E42&lt;20,3200,IF(E42&lt;50,2150,IF(E42&lt;80,1950,1600))))*(1+IF(F42&lt;500,0.5,IF(F42&gt;10000,-0.2,IF(F42&gt;5000,-0.1,IF(F42&gt;1000,0,0.3))))+IF(D42&lt;0.3,20%,IF(D42&lt;0.5,15%,0)))),"Không GC được")</f>
        <v>Không GC được</v>
      </c>
      <c r="M42" s="153" t="str">
        <f ca="1">IFERROR((C42*(1+K42)+L42)/(1-G42*0.007/30),"")</f>
      </c>
      <c r="N42" s="11"/>
      <c r="O42" s="113" t="str">
        <f ca="1">IFERROR(ROUND((M42/(1-N42)+($H$12+$I$12)/$F$82)/(1-J42),-2),"")</f>
      </c>
      <c r="P42" s="40" t="str">
        <f ca="1">IFERROR(O42*F42,"")</f>
      </c>
    </row>
    <row r="43" spans="1:17" ht="11.65" customHeight="1">
      <c r="A43" s="9"/>
      <c r="B43" s="111"/>
      <c r="C43" s="45"/>
      <c r="D43" s="103"/>
      <c r="E43" s="28"/>
      <c r="F43" s="28"/>
      <c r="G43" s="22"/>
      <c r="H43" s="45"/>
      <c r="I43" s="22"/>
      <c r="J43" s="12">
        <v>0</v>
      </c>
      <c r="K43" s="8" t="str">
        <f ca="1">IFERROR(VLOOKUP(B43,DATA!$L$2:$P$6,5,0)/E43,"")</f>
      </c>
      <c r="L43" s="108" t="str">
        <f ca="1">IFERROR(IF(D43&lt;0.15,"Không GC được",IF(E43&lt;6,"Không GC được",IF(E43&lt;20,3200,IF(E43&lt;50,2150,IF(E43&lt;80,1950,1600))))*(1+IF(F43&lt;500,0.5,IF(F43&gt;10000,-0.2,IF(F43&gt;5000,-0.1,IF(F43&gt;1000,0,0.3))))+IF(D43&lt;0.3,20%,IF(D43&lt;0.5,15%,0)))),"Không GC được")</f>
        <v>Không GC được</v>
      </c>
      <c r="M43" s="153" t="str">
        <f ca="1">IFERROR((C43*(1+K43)+L43)/(1-G43*0.007/30),"")</f>
      </c>
      <c r="N43" s="11"/>
      <c r="O43" s="113" t="str">
        <f ca="1">IFERROR(ROUND((M43/(1-N43)+($H$12+$I$12)/$F$82)/(1-J43),-2),"")</f>
      </c>
      <c r="P43" s="40" t="str">
        <f ca="1">IFERROR(O43*F43,"")</f>
      </c>
    </row>
    <row r="44" spans="1:17" ht="11.65" customHeight="1">
      <c r="A44" s="9"/>
      <c r="B44" s="111"/>
      <c r="C44" s="45"/>
      <c r="D44" s="103"/>
      <c r="E44" s="28"/>
      <c r="F44" s="28"/>
      <c r="G44" s="22"/>
      <c r="H44" s="45"/>
      <c r="I44" s="22"/>
      <c r="J44" s="12">
        <v>0</v>
      </c>
      <c r="K44" s="8" t="str">
        <f ca="1">IFERROR(VLOOKUP(B44,DATA!$L$2:$P$6,5,0)/E44,"")</f>
      </c>
      <c r="L44" s="108" t="str">
        <f ca="1">IFERROR(IF(D44&lt;0.15,"Không GC được",IF(E44&lt;6,"Không GC được",IF(E44&lt;20,3200,IF(E44&lt;50,2150,IF(E44&lt;80,1950,1600))))*(1+IF(F44&lt;500,0.5,IF(F44&gt;10000,-0.2,IF(F44&gt;5000,-0.1,IF(F44&gt;1000,0,0.3))))+IF(D44&lt;0.3,20%,IF(D44&lt;0.5,15%,0)))),"Không GC được")</f>
        <v>Không GC được</v>
      </c>
      <c r="M44" s="153" t="str">
        <f ca="1">IFERROR((C44*(1+K44)+L44)/(1-G44*0.007/30),"")</f>
      </c>
      <c r="N44" s="11"/>
      <c r="O44" s="113" t="str">
        <f ca="1">IFERROR(ROUND((M44/(1-N44)+($H$12+$I$12)/$F$82)/(1-J44),-2),"")</f>
      </c>
      <c r="P44" s="40" t="str">
        <f ca="1">IFERROR(O44*F44,"")</f>
      </c>
    </row>
    <row r="45" spans="1:17" ht="11.65" customHeight="1">
      <c r="A45" s="9"/>
      <c r="B45" s="111"/>
      <c r="C45" s="45"/>
      <c r="D45" s="103"/>
      <c r="E45" s="28"/>
      <c r="F45" s="28"/>
      <c r="G45" s="22"/>
      <c r="H45" s="45"/>
      <c r="I45" s="22"/>
      <c r="J45" s="12">
        <v>0</v>
      </c>
      <c r="K45" s="8" t="str">
        <f ca="1">IFERROR(VLOOKUP(B45,DATA!$L$2:$P$6,5,0)/E45,"")</f>
      </c>
      <c r="L45" s="108" t="str">
        <f ca="1">IFERROR(IF(D45&lt;0.15,"Không GC được",IF(E45&lt;6,"Không GC được",IF(E45&lt;20,3200,IF(E45&lt;50,2150,IF(E45&lt;80,1950,1600))))*(1+IF(F45&lt;500,0.5,IF(F45&gt;10000,-0.2,IF(F45&gt;5000,-0.1,IF(F45&gt;1000,0,0.3))))+IF(D45&lt;0.3,20%,IF(D45&lt;0.5,15%,0)))),"Không GC được")</f>
        <v>Không GC được</v>
      </c>
      <c r="M45" s="153" t="str">
        <f ca="1">IFERROR((C45*(1+K45)+L45)/(1-G45*0.007/30),"")</f>
      </c>
      <c r="N45" s="11"/>
      <c r="O45" s="113" t="str">
        <f ca="1">IFERROR(ROUND((M45/(1-N45)+($H$12+$I$12)/$F$82)/(1-J45),-2),"")</f>
      </c>
      <c r="P45" s="40" t="str">
        <f ca="1">IFERROR(O45*F45,"")</f>
      </c>
    </row>
    <row r="46" spans="1:17" ht="11.65" customHeight="1">
      <c r="A46" s="9"/>
      <c r="B46" s="111"/>
      <c r="C46" s="45"/>
      <c r="D46" s="103"/>
      <c r="E46" s="28"/>
      <c r="F46" s="28"/>
      <c r="G46" s="22"/>
      <c r="H46" s="45"/>
      <c r="I46" s="22"/>
      <c r="J46" s="12">
        <v>0</v>
      </c>
      <c r="K46" s="8" t="str">
        <f ca="1">IFERROR(VLOOKUP(B46,DATA!$L$2:$P$6,5,0)/E46,"")</f>
      </c>
      <c r="L46" s="108" t="str">
        <f ca="1">IFERROR(IF(D46&lt;0.15,"Không GC được",IF(E46&lt;6,"Không GC được",IF(E46&lt;20,3200,IF(E46&lt;50,2150,IF(E46&lt;80,1950,1600))))*(1+IF(F46&lt;500,0.5,IF(F46&gt;10000,-0.2,IF(F46&gt;5000,-0.1,IF(F46&gt;1000,0,0.3))))+IF(D46&lt;0.3,20%,IF(D46&lt;0.5,15%,0)))),"Không GC được")</f>
        <v>Không GC được</v>
      </c>
      <c r="M46" s="153" t="str">
        <f ca="1">IFERROR((C46*(1+K46)+L46)/(1-G46*0.007/30),"")</f>
      </c>
      <c r="N46" s="11"/>
      <c r="O46" s="113" t="str">
        <f ca="1">IFERROR(ROUND((M46/(1-N46)+($H$12+$I$12)/$F$82)/(1-J46),-2),"")</f>
      </c>
      <c r="P46" s="40" t="str">
        <f ca="1">IFERROR(O46*F46,"")</f>
      </c>
    </row>
    <row r="47" spans="1:17" ht="11.65" customHeight="1">
      <c r="A47" s="9"/>
      <c r="B47" s="111"/>
      <c r="C47" s="45"/>
      <c r="D47" s="103"/>
      <c r="E47" s="28"/>
      <c r="F47" s="28"/>
      <c r="G47" s="22"/>
      <c r="H47" s="45"/>
      <c r="I47" s="22"/>
      <c r="J47" s="12">
        <v>0</v>
      </c>
      <c r="K47" s="8" t="str">
        <f ca="1">IFERROR(VLOOKUP(B47,DATA!$L$2:$P$6,5,0)/E47,"")</f>
      </c>
      <c r="L47" s="108" t="str">
        <f ca="1">IFERROR(IF(D47&lt;0.15,"Không GC được",IF(E47&lt;6,"Không GC được",IF(E47&lt;20,3200,IF(E47&lt;50,2150,IF(E47&lt;80,1950,1600))))*(1+IF(F47&lt;500,0.5,IF(F47&gt;10000,-0.2,IF(F47&gt;5000,-0.1,IF(F47&gt;1000,0,0.3))))+IF(D47&lt;0.3,20%,IF(D47&lt;0.5,15%,0)))),"Không GC được")</f>
        <v>Không GC được</v>
      </c>
      <c r="M47" s="153" t="str">
        <f ca="1">IFERROR((C47*(1+K47)+L47)/(1-G47*0.007/30),"")</f>
      </c>
      <c r="N47" s="11"/>
      <c r="O47" s="113" t="str">
        <f ca="1">IFERROR(ROUND((M47/(1-N47)+($H$12+$I$12)/$F$82)/(1-J47),-2),"")</f>
      </c>
      <c r="P47" s="40" t="str">
        <f ca="1">IFERROR(O47*F47,"")</f>
      </c>
    </row>
    <row r="48" spans="1:17" ht="11.65" customHeight="1">
      <c r="A48" s="9"/>
      <c r="B48" s="111"/>
      <c r="C48" s="45"/>
      <c r="D48" s="103"/>
      <c r="E48" s="28"/>
      <c r="F48" s="28"/>
      <c r="G48" s="22"/>
      <c r="H48" s="45"/>
      <c r="I48" s="22"/>
      <c r="J48" s="12">
        <v>0</v>
      </c>
      <c r="K48" s="8" t="str">
        <f ca="1">IFERROR(VLOOKUP(B48,DATA!$L$2:$P$6,5,0)/E48,"")</f>
      </c>
      <c r="L48" s="108" t="str">
        <f ca="1">IFERROR(IF(D48&lt;0.15,"Không GC được",IF(E48&lt;6,"Không GC được",IF(E48&lt;20,3200,IF(E48&lt;50,2150,IF(E48&lt;80,1950,1600))))*(1+IF(F48&lt;500,0.5,IF(F48&gt;10000,-0.2,IF(F48&gt;5000,-0.1,IF(F48&gt;1000,0,0.3))))+IF(D48&lt;0.3,20%,IF(D48&lt;0.5,15%,0)))),"Không GC được")</f>
        <v>Không GC được</v>
      </c>
      <c r="M48" s="153" t="str">
        <f ca="1">IFERROR((C48*(1+K48)+L48)/(1-G48*0.007/30),"")</f>
      </c>
      <c r="N48" s="11"/>
      <c r="O48" s="113" t="str">
        <f ca="1">IFERROR(ROUND((M48/(1-N48)+($H$12+$I$12)/$F$82)/(1-J48),-2),"")</f>
      </c>
      <c r="P48" s="40" t="str">
        <f ca="1">IFERROR(O48*F48,"")</f>
      </c>
    </row>
    <row r="49" spans="1:17" ht="11.65" customHeight="1">
      <c r="A49" s="9"/>
      <c r="B49" s="111"/>
      <c r="C49" s="45"/>
      <c r="D49" s="103"/>
      <c r="E49" s="28"/>
      <c r="F49" s="28"/>
      <c r="G49" s="22"/>
      <c r="H49" s="45"/>
      <c r="I49" s="22"/>
      <c r="J49" s="12">
        <v>0</v>
      </c>
      <c r="K49" s="8" t="str">
        <f ca="1">IFERROR(VLOOKUP(B49,DATA!$L$2:$P$6,5,0)/E49,"")</f>
      </c>
      <c r="L49" s="108" t="str">
        <f ca="1">IFERROR(IF(D49&lt;0.15,"Không GC được",IF(E49&lt;6,"Không GC được",IF(E49&lt;20,3200,IF(E49&lt;50,2150,IF(E49&lt;80,1950,1600))))*(1+IF(F49&lt;500,0.5,IF(F49&gt;10000,-0.2,IF(F49&gt;5000,-0.1,IF(F49&gt;1000,0,0.3))))+IF(D49&lt;0.3,20%,IF(D49&lt;0.5,15%,0)))),"Không GC được")</f>
        <v>Không GC được</v>
      </c>
      <c r="M49" s="153" t="str">
        <f ca="1">IFERROR((C49*(1+K49)+L49)/(1-G49*0.007/30),"")</f>
      </c>
      <c r="N49" s="11"/>
      <c r="O49" s="113" t="str">
        <f ca="1">IFERROR(ROUND((M49/(1-N49)+($H$12+$I$12)/$F$82)/(1-J49),-2),"")</f>
      </c>
      <c r="P49" s="40" t="str">
        <f ca="1">IFERROR(O49*F49,"")</f>
      </c>
    </row>
    <row r="50" spans="1:17" ht="11.65" customHeight="1">
      <c r="A50" s="9"/>
      <c r="B50" s="111"/>
      <c r="C50" s="45"/>
      <c r="D50" s="103"/>
      <c r="E50" s="28"/>
      <c r="F50" s="28"/>
      <c r="G50" s="22"/>
      <c r="H50" s="45"/>
      <c r="I50" s="22"/>
      <c r="J50" s="12">
        <v>0</v>
      </c>
      <c r="K50" s="8" t="str">
        <f ca="1">IFERROR(VLOOKUP(B50,DATA!$L$2:$P$6,5,0)/E50,"")</f>
      </c>
      <c r="L50" s="108" t="str">
        <f ca="1">IFERROR(IF(D50&lt;0.15,"Không GC được",IF(E50&lt;6,"Không GC được",IF(E50&lt;20,3200,IF(E50&lt;50,2150,IF(E50&lt;80,1950,1600))))*(1+IF(F50&lt;500,0.5,IF(F50&gt;10000,-0.2,IF(F50&gt;5000,-0.1,IF(F50&gt;1000,0,0.3))))+IF(D50&lt;0.3,20%,IF(D50&lt;0.5,15%,0)))),"Không GC được")</f>
        <v>Không GC được</v>
      </c>
      <c r="M50" s="153" t="str">
        <f ca="1">IFERROR((C50*(1+K50)+L50)/(1-G50*0.007/30),"")</f>
      </c>
      <c r="N50" s="11"/>
      <c r="O50" s="113" t="str">
        <f ca="1">IFERROR(ROUND((M50/(1-N50)+($H$12+$I$12)/$F$82)/(1-J50),-2),"")</f>
      </c>
      <c r="P50" s="40" t="str">
        <f ca="1">IFERROR(O50*F50,"")</f>
      </c>
    </row>
    <row r="51" spans="1:17" ht="11.65" customHeight="1">
      <c r="A51" s="9"/>
      <c r="B51" s="111"/>
      <c r="C51" s="45"/>
      <c r="D51" s="103"/>
      <c r="E51" s="28"/>
      <c r="F51" s="28"/>
      <c r="G51" s="22"/>
      <c r="H51" s="45"/>
      <c r="I51" s="22"/>
      <c r="J51" s="12">
        <v>0</v>
      </c>
      <c r="K51" s="8" t="str">
        <f ca="1">IFERROR(VLOOKUP(B51,DATA!$L$2:$P$6,5,0)/E51,"")</f>
      </c>
      <c r="L51" s="108" t="str">
        <f ca="1">IFERROR(IF(D51&lt;0.15,"Không GC được",IF(E51&lt;6,"Không GC được",IF(E51&lt;20,3200,IF(E51&lt;50,2150,IF(E51&lt;80,1950,1600))))*(1+IF(F51&lt;500,0.5,IF(F51&gt;10000,-0.2,IF(F51&gt;5000,-0.1,IF(F51&gt;1000,0,0.3))))+IF(D51&lt;0.3,20%,IF(D51&lt;0.5,15%,0)))),"Không GC được")</f>
        <v>Không GC được</v>
      </c>
      <c r="M51" s="153" t="str">
        <f ca="1">IFERROR((C51*(1+K51)+L51)/(1-G51*0.007/30),"")</f>
      </c>
      <c r="N51" s="11"/>
      <c r="O51" s="113" t="str">
        <f ca="1">IFERROR(ROUND((M51/(1-N51)+($H$12+$I$12)/$F$82)/(1-J51),-2),"")</f>
      </c>
      <c r="P51" s="40" t="str">
        <f ca="1">IFERROR(O51*F51,"")</f>
      </c>
    </row>
    <row r="52" spans="1:17" ht="11.65" customHeight="1">
      <c r="A52" s="9"/>
      <c r="B52" s="111"/>
      <c r="C52" s="45"/>
      <c r="D52" s="103"/>
      <c r="E52" s="28"/>
      <c r="F52" s="28"/>
      <c r="G52" s="22"/>
      <c r="H52" s="45"/>
      <c r="I52" s="22"/>
      <c r="J52" s="12">
        <v>0</v>
      </c>
      <c r="K52" s="8" t="str">
        <f ca="1">IFERROR(VLOOKUP(B52,DATA!$L$2:$P$6,5,0)/E52,"")</f>
      </c>
      <c r="L52" s="108" t="str">
        <f ca="1">IFERROR(IF(D52&lt;0.15,"Không GC được",IF(E52&lt;6,"Không GC được",IF(E52&lt;20,3200,IF(E52&lt;50,2150,IF(E52&lt;80,1950,1600))))*(1+IF(F52&lt;500,0.5,IF(F52&gt;10000,-0.2,IF(F52&gt;5000,-0.1,IF(F52&gt;1000,0,0.3))))+IF(D52&lt;0.3,20%,IF(D52&lt;0.5,15%,0)))),"Không GC được")</f>
        <v>Không GC được</v>
      </c>
      <c r="M52" s="153" t="str">
        <f ca="1">IFERROR((C52*(1+K52)+L52)/(1-G52*0.007/30),"")</f>
      </c>
      <c r="N52" s="11"/>
      <c r="O52" s="113" t="str">
        <f ca="1">IFERROR(ROUND((M52/(1-N52)+($H$12+$I$12)/$F$82)/(1-J52),-2),"")</f>
      </c>
      <c r="P52" s="40" t="str">
        <f ca="1">IFERROR(O52*F52,"")</f>
      </c>
    </row>
    <row r="53" spans="1:17" ht="11.65" customHeight="1">
      <c r="A53" s="9"/>
      <c r="B53" s="111"/>
      <c r="C53" s="45"/>
      <c r="D53" s="103"/>
      <c r="E53" s="28"/>
      <c r="F53" s="28"/>
      <c r="G53" s="22"/>
      <c r="H53" s="45"/>
      <c r="I53" s="22"/>
      <c r="J53" s="12">
        <v>0</v>
      </c>
      <c r="K53" s="8" t="str">
        <f ca="1">IFERROR(VLOOKUP(B53,DATA!$L$2:$P$6,5,0)/E53,"")</f>
      </c>
      <c r="L53" s="108" t="str">
        <f ca="1">IFERROR(IF(D53&lt;0.15,"Không GC được",IF(E53&lt;6,"Không GC được",IF(E53&lt;20,3200,IF(E53&lt;50,2150,IF(E53&lt;80,1950,1600))))*(1+IF(F53&lt;500,0.5,IF(F53&gt;10000,-0.2,IF(F53&gt;5000,-0.1,IF(F53&gt;1000,0,0.3))))+IF(D53&lt;0.3,20%,IF(D53&lt;0.5,15%,0)))),"Không GC được")</f>
        <v>Không GC được</v>
      </c>
      <c r="M53" s="153" t="str">
        <f ca="1">IFERROR((C53*(1+K53)+L53)/(1-G53*0.007/30),"")</f>
      </c>
      <c r="N53" s="11"/>
      <c r="O53" s="113" t="str">
        <f ca="1">IFERROR(ROUND((M53/(1-N53)+($H$12+$I$12)/$F$82)/(1-J53),-2),"")</f>
      </c>
      <c r="P53" s="40" t="str">
        <f ca="1">IFERROR(O53*F53,"")</f>
      </c>
    </row>
    <row r="54" spans="1:17" ht="11.65" customHeight="1">
      <c r="A54" s="9"/>
      <c r="B54" s="111"/>
      <c r="C54" s="45"/>
      <c r="D54" s="103"/>
      <c r="E54" s="28"/>
      <c r="F54" s="28"/>
      <c r="G54" s="22"/>
      <c r="H54" s="45"/>
      <c r="I54" s="22"/>
      <c r="J54" s="12">
        <v>0</v>
      </c>
      <c r="K54" s="8" t="str">
        <f ca="1">IFERROR(VLOOKUP(B54,DATA!$L$2:$P$6,5,0)/E54,"")</f>
      </c>
      <c r="L54" s="108" t="str">
        <f ca="1">IFERROR(IF(D54&lt;0.15,"Không GC được",IF(E54&lt;6,"Không GC được",IF(E54&lt;20,3200,IF(E54&lt;50,2150,IF(E54&lt;80,1950,1600))))*(1+IF(F54&lt;500,0.5,IF(F54&gt;10000,-0.2,IF(F54&gt;5000,-0.1,IF(F54&gt;1000,0,0.3))))+IF(D54&lt;0.3,20%,IF(D54&lt;0.5,15%,0)))),"Không GC được")</f>
        <v>Không GC được</v>
      </c>
      <c r="M54" s="153" t="str">
        <f ca="1">IFERROR((C54*(1+K54)+L54)/(1-G54*0.007/30),"")</f>
      </c>
      <c r="N54" s="11"/>
      <c r="O54" s="113" t="str">
        <f ca="1">IFERROR(ROUND((M54/(1-N54)+($H$12+$I$12)/$F$82)/(1-J54),-2),"")</f>
      </c>
      <c r="P54" s="40" t="str">
        <f ca="1">IFERROR(O54*F54,"")</f>
      </c>
    </row>
    <row r="55" spans="1:17" ht="11.65" customHeight="1">
      <c r="A55" s="9"/>
      <c r="B55" s="111"/>
      <c r="C55" s="45"/>
      <c r="D55" s="103"/>
      <c r="E55" s="28"/>
      <c r="F55" s="28"/>
      <c r="G55" s="22"/>
      <c r="H55" s="45"/>
      <c r="I55" s="22"/>
      <c r="J55" s="12">
        <v>0</v>
      </c>
      <c r="K55" s="8" t="str">
        <f ca="1">IFERROR(VLOOKUP(B55,DATA!$L$2:$P$6,5,0)/E55,"")</f>
      </c>
      <c r="L55" s="108" t="str">
        <f ca="1">IFERROR(IF(D55&lt;0.15,"Không GC được",IF(E55&lt;6,"Không GC được",IF(E55&lt;20,3200,IF(E55&lt;50,2150,IF(E55&lt;80,1950,1600))))*(1+IF(F55&lt;500,0.5,IF(F55&gt;10000,-0.2,IF(F55&gt;5000,-0.1,IF(F55&gt;1000,0,0.3))))+IF(D55&lt;0.3,20%,IF(D55&lt;0.5,15%,0)))),"Không GC được")</f>
        <v>Không GC được</v>
      </c>
      <c r="M55" s="153" t="str">
        <f ca="1">IFERROR((C55*(1+K55)+L55)/(1-G55*0.007/30),"")</f>
      </c>
      <c r="N55" s="11"/>
      <c r="O55" s="113" t="str">
        <f ca="1">IFERROR(ROUND((M55/(1-N55)+($H$12+$I$12)/$F$82)/(1-J55),-2),"")</f>
      </c>
      <c r="P55" s="40" t="str">
        <f ca="1">IFERROR(O55*F55,"")</f>
      </c>
    </row>
    <row r="56" spans="1:17" ht="11.65" customHeight="1">
      <c r="A56" s="9"/>
      <c r="B56" s="111"/>
      <c r="C56" s="45"/>
      <c r="D56" s="103"/>
      <c r="E56" s="28"/>
      <c r="F56" s="28"/>
      <c r="G56" s="22"/>
      <c r="H56" s="45"/>
      <c r="I56" s="22"/>
      <c r="J56" s="12">
        <v>0</v>
      </c>
      <c r="K56" s="8" t="str">
        <f ca="1">IFERROR(VLOOKUP(B56,DATA!$L$2:$P$6,5,0)/E56,"")</f>
      </c>
      <c r="L56" s="108" t="str">
        <f ca="1">IFERROR(IF(D56&lt;0.15,"Không GC được",IF(E56&lt;6,"Không GC được",IF(E56&lt;20,3200,IF(E56&lt;50,2150,IF(E56&lt;80,1950,1600))))*(1+IF(F56&lt;500,0.5,IF(F56&gt;10000,-0.2,IF(F56&gt;5000,-0.1,IF(F56&gt;1000,0,0.3))))+IF(D56&lt;0.3,20%,IF(D56&lt;0.5,15%,0)))),"Không GC được")</f>
        <v>Không GC được</v>
      </c>
      <c r="M56" s="153" t="str">
        <f ca="1">IFERROR((C56*(1+K56)+L56)/(1-G56*0.007/30),"")</f>
      </c>
      <c r="N56" s="11"/>
      <c r="O56" s="113" t="str">
        <f ca="1">IFERROR(ROUND((M56/(1-N56)+($H$12+$I$12)/$F$82)/(1-J56),-2),"")</f>
      </c>
      <c r="P56" s="40" t="str">
        <f ca="1">IFERROR(O56*F56,"")</f>
      </c>
    </row>
    <row r="57" spans="1:17" ht="11.65" customHeight="1">
      <c r="A57" s="9"/>
      <c r="B57" s="111"/>
      <c r="C57" s="45"/>
      <c r="D57" s="103"/>
      <c r="E57" s="28"/>
      <c r="F57" s="28"/>
      <c r="G57" s="22"/>
      <c r="H57" s="45"/>
      <c r="I57" s="22"/>
      <c r="J57" s="12">
        <v>0</v>
      </c>
      <c r="K57" s="8" t="str">
        <f ca="1">IFERROR(VLOOKUP(B57,DATA!$L$2:$P$6,5,0)/E57,"")</f>
      </c>
      <c r="L57" s="108" t="str">
        <f ca="1">IFERROR(IF(D57&lt;0.15,"Không GC được",IF(E57&lt;6,"Không GC được",IF(E57&lt;20,3200,IF(E57&lt;50,2150,IF(E57&lt;80,1950,1600))))*(1+IF(F57&lt;500,0.5,IF(F57&gt;10000,-0.2,IF(F57&gt;5000,-0.1,IF(F57&gt;1000,0,0.3))))+IF(D57&lt;0.3,20%,IF(D57&lt;0.5,15%,0)))),"Không GC được")</f>
        <v>Không GC được</v>
      </c>
      <c r="M57" s="153" t="str">
        <f ca="1">IFERROR((C57*(1+K57)+L57)/(1-G57*0.007/30),"")</f>
      </c>
      <c r="N57" s="11"/>
      <c r="O57" s="113" t="str">
        <f ca="1">IFERROR(ROUND((M57/(1-N57)+($H$12+$I$12)/$F$82)/(1-J57),-2),"")</f>
      </c>
      <c r="P57" s="40" t="str">
        <f ca="1">IFERROR(O57*F57,"")</f>
      </c>
    </row>
    <row r="58" spans="1:17" ht="11.65" customHeight="1">
      <c r="A58" s="9"/>
      <c r="B58" s="111"/>
      <c r="C58" s="45"/>
      <c r="D58" s="103"/>
      <c r="E58" s="28"/>
      <c r="F58" s="28"/>
      <c r="G58" s="22"/>
      <c r="H58" s="45"/>
      <c r="I58" s="22"/>
      <c r="J58" s="12">
        <v>0</v>
      </c>
      <c r="K58" s="8" t="str">
        <f ca="1">IFERROR(VLOOKUP(B58,DATA!$L$2:$P$6,5,0)/E58,"")</f>
      </c>
      <c r="L58" s="108" t="str">
        <f ca="1">IFERROR(IF(D58&lt;0.15,"Không GC được",IF(E58&lt;6,"Không GC được",IF(E58&lt;20,3200,IF(E58&lt;50,2150,IF(E58&lt;80,1950,1600))))*(1+IF(F58&lt;500,0.5,IF(F58&gt;10000,-0.2,IF(F58&gt;5000,-0.1,IF(F58&gt;1000,0,0.3))))+IF(D58&lt;0.3,20%,IF(D58&lt;0.5,15%,0)))),"Không GC được")</f>
        <v>Không GC được</v>
      </c>
      <c r="M58" s="153" t="str">
        <f ca="1">IFERROR((C58*(1+K58)+L58)/(1-G58*0.007/30),"")</f>
      </c>
      <c r="N58" s="11"/>
      <c r="O58" s="113" t="str">
        <f ca="1">IFERROR(ROUND((M58/(1-N58)+($H$12+$I$12)/$F$82)/(1-J58),-2),"")</f>
      </c>
      <c r="P58" s="40" t="str">
        <f ca="1">IFERROR(O58*F58,"")</f>
      </c>
    </row>
    <row r="59" spans="1:17" ht="11.65" customHeight="1">
      <c r="A59" s="9"/>
      <c r="B59" s="111"/>
      <c r="C59" s="45"/>
      <c r="D59" s="103"/>
      <c r="E59" s="28"/>
      <c r="F59" s="28"/>
      <c r="G59" s="22"/>
      <c r="H59" s="45"/>
      <c r="I59" s="22"/>
      <c r="J59" s="12">
        <v>0</v>
      </c>
      <c r="K59" s="8" t="str">
        <f ca="1">IFERROR(VLOOKUP(B59,DATA!$L$2:$P$6,5,0)/E59,"")</f>
      </c>
      <c r="L59" s="108" t="str">
        <f ca="1">IFERROR(IF(D59&lt;0.15,"Không GC được",IF(E59&lt;6,"Không GC được",IF(E59&lt;20,3200,IF(E59&lt;50,2150,IF(E59&lt;80,1950,1600))))*(1+IF(F59&lt;500,0.5,IF(F59&gt;10000,-0.2,IF(F59&gt;5000,-0.1,IF(F59&gt;1000,0,0.3))))+IF(D59&lt;0.3,20%,IF(D59&lt;0.5,15%,0)))),"Không GC được")</f>
        <v>Không GC được</v>
      </c>
      <c r="M59" s="153" t="str">
        <f ca="1">IFERROR((C59*(1+K59)+L59)/(1-G59*0.007/30),"")</f>
      </c>
      <c r="N59" s="11"/>
      <c r="O59" s="113" t="str">
        <f ca="1">IFERROR(ROUND((M59/(1-N59)+($H$12+$I$12)/$F$82)/(1-J59),-2),"")</f>
      </c>
      <c r="P59" s="40" t="str">
        <f ca="1">IFERROR(O59*F59,"")</f>
      </c>
    </row>
    <row r="60" spans="1:17" ht="11.65" customHeight="1">
      <c r="A60" s="9"/>
      <c r="B60" s="111"/>
      <c r="C60" s="45"/>
      <c r="D60" s="103"/>
      <c r="E60" s="28"/>
      <c r="F60" s="28"/>
      <c r="G60" s="22"/>
      <c r="H60" s="45"/>
      <c r="I60" s="22"/>
      <c r="J60" s="12">
        <v>0</v>
      </c>
      <c r="K60" s="8" t="str">
        <f ca="1">IFERROR(VLOOKUP(B60,DATA!$L$2:$P$6,5,0)/E60,"")</f>
      </c>
      <c r="L60" s="108" t="str">
        <f ca="1">IFERROR(IF(D60&lt;0.15,"Không GC được",IF(E60&lt;6,"Không GC được",IF(E60&lt;20,3200,IF(E60&lt;50,2150,IF(E60&lt;80,1950,1600))))*(1+IF(F60&lt;500,0.5,IF(F60&gt;10000,-0.2,IF(F60&gt;5000,-0.1,IF(F60&gt;1000,0,0.3))))+IF(D60&lt;0.3,20%,IF(D60&lt;0.5,15%,0)))),"Không GC được")</f>
        <v>Không GC được</v>
      </c>
      <c r="M60" s="153" t="str">
        <f ca="1">IFERROR((C60*(1+K60)+L60)/(1-G60*0.007/30),"")</f>
      </c>
      <c r="N60" s="11"/>
      <c r="O60" s="113" t="str">
        <f ca="1">IFERROR(ROUND((M60/(1-N60)+($H$12+$I$12)/$F$82)/(1-J60),-2),"")</f>
      </c>
      <c r="P60" s="40" t="str">
        <f ca="1">IFERROR(O60*F60,"")</f>
      </c>
    </row>
    <row r="61" spans="1:17" ht="11.65" customHeight="1">
      <c r="A61" s="9"/>
      <c r="B61" s="111"/>
      <c r="C61" s="45"/>
      <c r="D61" s="103"/>
      <c r="E61" s="28"/>
      <c r="F61" s="28"/>
      <c r="G61" s="22"/>
      <c r="H61" s="45"/>
      <c r="I61" s="22"/>
      <c r="J61" s="12">
        <v>0</v>
      </c>
      <c r="K61" s="8" t="str">
        <f ca="1">IFERROR(VLOOKUP(B61,DATA!$L$2:$P$6,5,0)/E61,"")</f>
      </c>
      <c r="L61" s="108" t="str">
        <f ca="1">IFERROR(IF(D61&lt;0.15,"Không GC được",IF(E61&lt;6,"Không GC được",IF(E61&lt;20,3200,IF(E61&lt;50,2150,IF(E61&lt;80,1950,1600))))*(1+IF(F61&lt;500,0.5,IF(F61&gt;10000,-0.2,IF(F61&gt;5000,-0.1,IF(F61&gt;1000,0,0.3))))+IF(D61&lt;0.3,20%,IF(D61&lt;0.5,15%,0)))),"Không GC được")</f>
        <v>Không GC được</v>
      </c>
      <c r="M61" s="153" t="str">
        <f ca="1">IFERROR((C61*(1+K61)+L61)/(1-G61*0.007/30),"")</f>
      </c>
      <c r="N61" s="11"/>
      <c r="O61" s="113" t="str">
        <f ca="1">IFERROR(ROUND((M61/(1-N61)+($H$12+$I$12)/$F$82)/(1-J61),-2),"")</f>
      </c>
      <c r="P61" s="40" t="str">
        <f ca="1">IFERROR(O61*F61,"")</f>
      </c>
    </row>
    <row r="62" spans="1:17" ht="11.65" customHeight="1">
      <c r="A62" s="9"/>
      <c r="B62" s="111"/>
      <c r="C62" s="45"/>
      <c r="D62" s="103"/>
      <c r="E62" s="28"/>
      <c r="F62" s="28"/>
      <c r="G62" s="22"/>
      <c r="H62" s="45"/>
      <c r="I62" s="22"/>
      <c r="J62" s="12">
        <v>0</v>
      </c>
      <c r="K62" s="8" t="str">
        <f ca="1">IFERROR(VLOOKUP(B62,DATA!$L$2:$P$6,5,0)/E62,"")</f>
      </c>
      <c r="L62" s="108" t="str">
        <f ca="1">IFERROR(IF(D62&lt;0.15,"Không GC được",IF(E62&lt;6,"Không GC được",IF(E62&lt;20,3200,IF(E62&lt;50,2150,IF(E62&lt;80,1950,1600))))*(1+IF(F62&lt;500,0.5,IF(F62&gt;10000,-0.2,IF(F62&gt;5000,-0.1,IF(F62&gt;1000,0,0.3))))+IF(D62&lt;0.3,20%,IF(D62&lt;0.5,15%,0)))),"Không GC được")</f>
        <v>Không GC được</v>
      </c>
      <c r="M62" s="153" t="str">
        <f ca="1">IFERROR((C62*(1+K62)+L62)/(1-G62*0.007/30),"")</f>
      </c>
      <c r="N62" s="11" t="str">
        <f ca="1">IFERROR(VLOOKUP(B62,DATA!$L$2:$N$6,2,0),"")</f>
      </c>
      <c r="O62" s="113" t="str">
        <f ca="1">IFERROR(ROUND((M62/(1-N62)+($H$12+$I$12)/$F$82)/(1-J62),-2),"")</f>
      </c>
      <c r="P62" s="40" t="str">
        <f ca="1">IFERROR(O62*F62,"")</f>
      </c>
    </row>
    <row r="63" spans="1:17" ht="11.65" customHeight="1">
      <c r="A63" s="9"/>
      <c r="B63" s="111"/>
      <c r="C63" s="45"/>
      <c r="D63" s="103"/>
      <c r="E63" s="28"/>
      <c r="F63" s="28"/>
      <c r="G63" s="22"/>
      <c r="H63" s="45"/>
      <c r="I63" s="22"/>
      <c r="J63" s="12">
        <v>0</v>
      </c>
      <c r="K63" s="8" t="str">
        <f ca="1">IFERROR(VLOOKUP(B63,DATA!$L$2:$P$6,5,0)/E63,"")</f>
      </c>
      <c r="L63" s="108" t="str">
        <f ca="1">IFERROR(IF(D63&lt;0.15,"Không GC được",IF(E63&lt;6,"Không GC được",IF(E63&lt;20,3200,IF(E63&lt;50,2150,IF(E63&lt;80,1950,1600))))*(1+IF(F63&lt;500,0.5,IF(F63&gt;10000,-0.2,IF(F63&gt;5000,-0.1,IF(F63&gt;1000,0,0.3))))+IF(D63&lt;0.3,20%,IF(D63&lt;0.5,15%,0)))),"Không GC được")</f>
        <v>Không GC được</v>
      </c>
      <c r="M63" s="153" t="str">
        <f ca="1">IFERROR((C63*(1+K63)+L63)/(1-G63*0.007/30),"")</f>
      </c>
      <c r="N63" s="11" t="str">
        <f ca="1">IFERROR(VLOOKUP(B63,DATA!$L$2:$N$6,2,0),"")</f>
      </c>
      <c r="O63" s="113" t="str">
        <f ca="1">IFERROR(ROUND((M63/(1-N63)+($H$12+$I$12)/$F$82)/(1-J63),-2),"")</f>
      </c>
      <c r="P63" s="40" t="str">
        <f ca="1">IFERROR(O63*F63,"")</f>
      </c>
    </row>
    <row r="64" spans="1:17" ht="11.65" customHeight="1">
      <c r="A64" s="9"/>
      <c r="B64" s="111"/>
      <c r="C64" s="45"/>
      <c r="D64" s="103"/>
      <c r="E64" s="28"/>
      <c r="F64" s="28"/>
      <c r="G64" s="22"/>
      <c r="H64" s="45"/>
      <c r="I64" s="22"/>
      <c r="J64" s="12">
        <v>0</v>
      </c>
      <c r="K64" s="8" t="str">
        <f ca="1">IFERROR(VLOOKUP(B64,DATA!$L$2:$P$6,5,0)/E64,"")</f>
      </c>
      <c r="L64" s="108" t="str">
        <f ca="1">IFERROR(IF(D64&lt;0.15,"Không GC được",IF(E64&lt;6,"Không GC được",IF(E64&lt;20,3200,IF(E64&lt;50,2150,IF(E64&lt;80,1950,1600))))*(1+IF(F64&lt;500,0.5,IF(F64&gt;10000,-0.2,IF(F64&gt;5000,-0.1,IF(F64&gt;1000,0,0.3))))+IF(D64&lt;0.3,20%,IF(D64&lt;0.5,15%,0)))),"Không GC được")</f>
        <v>Không GC được</v>
      </c>
      <c r="M64" s="153" t="str">
        <f ca="1">IFERROR((C64*(1+K64)+L64)/(1-G64*0.007/30),"")</f>
      </c>
      <c r="N64" s="11" t="str">
        <f ca="1">IFERROR(VLOOKUP(B64,DATA!$L$2:$N$6,2,0),"")</f>
      </c>
      <c r="O64" s="113" t="str">
        <f ca="1">IFERROR(ROUND((M64/(1-N64)+($H$12+$I$12)/$F$82)/(1-J64),-2),"")</f>
      </c>
      <c r="P64" s="40" t="str">
        <f ca="1">IFERROR(O64*F64,"")</f>
      </c>
    </row>
    <row r="65" spans="1:17" ht="11.65" customHeight="1">
      <c r="A65" s="9"/>
      <c r="B65" s="111"/>
      <c r="C65" s="45"/>
      <c r="D65" s="103"/>
      <c r="E65" s="28"/>
      <c r="F65" s="28"/>
      <c r="G65" s="22"/>
      <c r="H65" s="45"/>
      <c r="I65" s="22"/>
      <c r="J65" s="12">
        <v>0</v>
      </c>
      <c r="K65" s="8" t="str">
        <f ca="1">IFERROR(VLOOKUP(B65,DATA!$L$2:$P$6,5,0)/E65,"")</f>
      </c>
      <c r="L65" s="108" t="str">
        <f ca="1">IFERROR(IF(D65&lt;0.15,"Không GC được",IF(E65&lt;6,"Không GC được",IF(E65&lt;20,3200,IF(E65&lt;50,2150,IF(E65&lt;80,1950,1600))))*(1+IF(F65&lt;500,0.5,IF(F65&gt;10000,-0.2,IF(F65&gt;5000,-0.1,IF(F65&gt;1000,0,0.3))))+IF(D65&lt;0.3,20%,IF(D65&lt;0.5,15%,0)))),"Không GC được")</f>
        <v>Không GC được</v>
      </c>
      <c r="M65" s="153" t="str">
        <f ca="1">IFERROR((C65*(1+K65)+L65)/(1-G65*0.007/30),"")</f>
      </c>
      <c r="N65" s="11" t="str">
        <f ca="1">IFERROR(VLOOKUP(B65,DATA!$L$2:$N$6,2,0),"")</f>
      </c>
      <c r="O65" s="113" t="str">
        <f ca="1">IFERROR(ROUND((M65/(1-N65)+($H$12+$I$12)/$F$82)/(1-J65),-2),"")</f>
      </c>
      <c r="P65" s="40" t="str">
        <f ca="1">IFERROR(O65*F65,"")</f>
      </c>
    </row>
    <row r="66" spans="1:17" ht="11.65" customHeight="1">
      <c r="A66" s="9"/>
      <c r="B66" s="111"/>
      <c r="C66" s="45"/>
      <c r="D66" s="103"/>
      <c r="E66" s="28"/>
      <c r="F66" s="28"/>
      <c r="G66" s="22"/>
      <c r="H66" s="45"/>
      <c r="I66" s="22"/>
      <c r="J66" s="12">
        <v>0</v>
      </c>
      <c r="K66" s="8" t="str">
        <f ca="1">IFERROR(VLOOKUP(B66,DATA!$L$2:$P$6,5,0)/E66,"")</f>
      </c>
      <c r="L66" s="108" t="str">
        <f ca="1">IFERROR(IF(D66&lt;0.15,"Không GC được",IF(E66&lt;6,"Không GC được",IF(E66&lt;20,3200,IF(E66&lt;50,2150,IF(E66&lt;80,1950,1600))))*(1+IF(F66&lt;500,0.5,IF(F66&gt;10000,-0.2,IF(F66&gt;5000,-0.1,IF(F66&gt;1000,0,0.3))))+IF(D66&lt;0.3,20%,IF(D66&lt;0.5,15%,0)))),"Không GC được")</f>
        <v>Không GC được</v>
      </c>
      <c r="M66" s="153" t="str">
        <f ca="1">IFERROR((C66*(1+K66)+L66)/(1-G66*0.007/30),"")</f>
      </c>
      <c r="N66" s="11" t="str">
        <f ca="1">IFERROR(VLOOKUP(B66,DATA!$L$2:$N$6,2,0),"")</f>
      </c>
      <c r="O66" s="113" t="str">
        <f ca="1">IFERROR(ROUND((M66/(1-N66)+($H$12+$I$12)/$F$82)/(1-J66),-2),"")</f>
      </c>
      <c r="P66" s="40" t="str">
        <f ca="1">IFERROR(O66*F66,"")</f>
      </c>
    </row>
    <row r="67" spans="1:17" ht="11.65" customHeight="1">
      <c r="A67" s="9"/>
      <c r="B67" s="111"/>
      <c r="C67" s="45"/>
      <c r="D67" s="103"/>
      <c r="E67" s="28"/>
      <c r="F67" s="28"/>
      <c r="G67" s="22"/>
      <c r="H67" s="45"/>
      <c r="I67" s="22"/>
      <c r="J67" s="12">
        <v>0</v>
      </c>
      <c r="K67" s="8" t="str">
        <f ca="1">IFERROR(VLOOKUP(B67,DATA!$L$2:$P$6,5,0)/E67,"")</f>
      </c>
      <c r="L67" s="108" t="str">
        <f ca="1">IFERROR(IF(D67&lt;0.15,"Không GC được",IF(E67&lt;6,"Không GC được",IF(E67&lt;20,3200,IF(E67&lt;50,2150,IF(E67&lt;80,1950,1600))))*(1+IF(F67&lt;500,0.5,IF(F67&gt;10000,-0.2,IF(F67&gt;5000,-0.1,IF(F67&gt;1000,0,0.3))))+IF(D67&lt;0.3,20%,IF(D67&lt;0.5,15%,0)))),"Không GC được")</f>
        <v>Không GC được</v>
      </c>
      <c r="M67" s="153" t="str">
        <f ca="1">IFERROR((C67*(1+K67)+L67)/(1-G67*0.007/30),"")</f>
      </c>
      <c r="N67" s="11" t="str">
        <f ca="1">IFERROR(VLOOKUP(B67,DATA!$L$2:$N$6,2,0),"")</f>
      </c>
      <c r="O67" s="113" t="str">
        <f ca="1">IFERROR(ROUND((M67/(1-N67)+($H$12+$I$12)/$F$82)/(1-J67),-2),"")</f>
      </c>
      <c r="P67" s="40" t="str">
        <f ca="1">IFERROR(O67*F67,"")</f>
      </c>
    </row>
    <row r="68" spans="1:17" ht="11.65" customHeight="1">
      <c r="A68" s="9"/>
      <c r="B68" s="111"/>
      <c r="C68" s="45"/>
      <c r="D68" s="103"/>
      <c r="E68" s="28"/>
      <c r="F68" s="28"/>
      <c r="G68" s="22"/>
      <c r="H68" s="45"/>
      <c r="I68" s="22"/>
      <c r="J68" s="12">
        <v>0</v>
      </c>
      <c r="K68" s="8" t="str">
        <f ca="1">IFERROR(VLOOKUP(B68,DATA!$L$2:$P$6,5,0)/E68,"")</f>
      </c>
      <c r="L68" s="108" t="str">
        <f ca="1">IFERROR(IF(D68&lt;0.15,"Không GC được",IF(E68&lt;6,"Không GC được",IF(E68&lt;20,3200,IF(E68&lt;50,2150,IF(E68&lt;80,1950,1600))))*(1+IF(F68&lt;500,0.5,IF(F68&gt;10000,-0.2,IF(F68&gt;5000,-0.1,IF(F68&gt;1000,0,0.3))))+IF(D68&lt;0.3,20%,IF(D68&lt;0.5,15%,0)))),"Không GC được")</f>
        <v>Không GC được</v>
      </c>
      <c r="M68" s="153" t="str">
        <f ca="1">IFERROR((C68*(1+K68)+L68)/(1-G68*0.007/30),"")</f>
      </c>
      <c r="N68" s="11" t="str">
        <f ca="1">IFERROR(VLOOKUP(B68,DATA!$L$2:$N$6,2,0),"")</f>
      </c>
      <c r="O68" s="113" t="str">
        <f ca="1">IFERROR(ROUND((M68/(1-N68)+($H$12+$I$12)/$F$82)/(1-J68),-2),"")</f>
      </c>
      <c r="P68" s="40" t="str">
        <f ca="1">IFERROR(O68*F68,"")</f>
      </c>
    </row>
    <row r="69" spans="1:17" ht="11.65" customHeight="1">
      <c r="A69" s="9"/>
      <c r="B69" s="111"/>
      <c r="C69" s="45"/>
      <c r="D69" s="103"/>
      <c r="E69" s="28"/>
      <c r="F69" s="28"/>
      <c r="G69" s="22"/>
      <c r="H69" s="45"/>
      <c r="I69" s="22"/>
      <c r="J69" s="12">
        <v>0</v>
      </c>
      <c r="K69" s="8" t="str">
        <f ca="1">IFERROR(VLOOKUP(B69,DATA!$L$2:$P$6,5,0)/E69,"")</f>
      </c>
      <c r="L69" s="108" t="str">
        <f ca="1">IFERROR(IF(D69&lt;0.15,"Không GC được",IF(E69&lt;6,"Không GC được",IF(E69&lt;20,3200,IF(E69&lt;50,2150,IF(E69&lt;80,1950,1600))))*(1+IF(F69&lt;500,0.5,IF(F69&gt;10000,-0.2,IF(F69&gt;5000,-0.1,IF(F69&gt;1000,0,0.3))))+IF(D69&lt;0.3,20%,IF(D69&lt;0.5,15%,0)))),"Không GC được")</f>
        <v>Không GC được</v>
      </c>
      <c r="M69" s="153" t="str">
        <f ca="1">IFERROR((C69*(1+K69)+L69)/(1-G69*0.007/30),"")</f>
      </c>
      <c r="N69" s="11" t="str">
        <f ca="1">IFERROR(VLOOKUP(B69,DATA!$L$2:$N$6,2,0),"")</f>
      </c>
      <c r="O69" s="113" t="str">
        <f ca="1">IFERROR(ROUND((M69/(1-N69)+($H$12+$I$12)/$F$82)/(1-J69),-2),"")</f>
      </c>
      <c r="P69" s="40" t="str">
        <f ca="1">IFERROR(O69*F69,"")</f>
      </c>
    </row>
    <row r="70" spans="1:17" ht="11.65" customHeight="1">
      <c r="A70" s="9"/>
      <c r="B70" s="111"/>
      <c r="C70" s="45"/>
      <c r="D70" s="103"/>
      <c r="E70" s="28"/>
      <c r="F70" s="28"/>
      <c r="G70" s="22"/>
      <c r="H70" s="45"/>
      <c r="I70" s="22"/>
      <c r="J70" s="12">
        <v>0</v>
      </c>
      <c r="K70" s="8" t="str">
        <f ca="1">IFERROR(VLOOKUP(B70,DATA!$L$2:$P$6,5,0)/E70,"")</f>
      </c>
      <c r="L70" s="108" t="str">
        <f ca="1">IFERROR(IF(D70&lt;0.15,"Không GC được",IF(E70&lt;6,"Không GC được",IF(E70&lt;20,3200,IF(E70&lt;50,2150,IF(E70&lt;80,1950,1600))))*(1+IF(F70&lt;500,0.5,IF(F70&gt;10000,-0.2,IF(F70&gt;5000,-0.1,IF(F70&gt;1000,0,0.3))))+IF(D70&lt;0.3,20%,IF(D70&lt;0.5,15%,0)))),"Không GC được")</f>
        <v>Không GC được</v>
      </c>
      <c r="M70" s="153" t="str">
        <f ca="1">IFERROR((C70*(1+K70)+L70)/(1-G70*0.007/30),"")</f>
      </c>
      <c r="N70" s="11" t="str">
        <f ca="1">IFERROR(VLOOKUP(B70,DATA!$L$2:$N$6,2,0),"")</f>
      </c>
      <c r="O70" s="113" t="str">
        <f ca="1">IFERROR(ROUND((M70/(1-N70)+($H$12+$I$12)/$F$82)/(1-J70),-2),"")</f>
      </c>
      <c r="P70" s="40" t="str">
        <f ca="1">IFERROR(O70*F70,"")</f>
      </c>
    </row>
    <row r="71" spans="1:17" ht="11.65" customHeight="1">
      <c r="A71" s="9"/>
      <c r="B71" s="111"/>
      <c r="C71" s="45"/>
      <c r="D71" s="103"/>
      <c r="E71" s="28"/>
      <c r="F71" s="28"/>
      <c r="G71" s="22"/>
      <c r="H71" s="45"/>
      <c r="I71" s="22"/>
      <c r="J71" s="12">
        <v>0</v>
      </c>
      <c r="K71" s="8" t="str">
        <f ca="1">IFERROR(VLOOKUP(B71,DATA!$L$2:$P$6,5,0)/E71,"")</f>
      </c>
      <c r="L71" s="108" t="str">
        <f ca="1">IFERROR(IF(D71&lt;0.15,"Không GC được",IF(E71&lt;6,"Không GC được",IF(E71&lt;20,3200,IF(E71&lt;50,2150,IF(E71&lt;80,1950,1600))))*(1+IF(F71&lt;500,0.5,IF(F71&gt;10000,-0.2,IF(F71&gt;5000,-0.1,IF(F71&gt;1000,0,0.3))))+IF(D71&lt;0.3,20%,IF(D71&lt;0.5,15%,0)))),"Không GC được")</f>
        <v>Không GC được</v>
      </c>
      <c r="M71" s="153" t="str">
        <f ca="1">IFERROR((C71*(1+K71)+L71)/(1-G71*0.007/30),"")</f>
      </c>
      <c r="N71" s="11" t="str">
        <f ca="1">IFERROR(VLOOKUP(B71,DATA!$L$2:$N$6,2,0),"")</f>
      </c>
      <c r="O71" s="113" t="str">
        <f ca="1">IFERROR(ROUND((M71/(1-N71)+($H$12+$I$12)/$F$82)/(1-J71),-2),"")</f>
      </c>
      <c r="P71" s="40" t="str">
        <f ca="1">IFERROR(O71*F71,"")</f>
      </c>
    </row>
    <row r="72" spans="1:17" ht="11.65" customHeight="1">
      <c r="A72" s="9"/>
      <c r="B72" s="111"/>
      <c r="C72" s="45"/>
      <c r="D72" s="103"/>
      <c r="E72" s="28"/>
      <c r="F72" s="28"/>
      <c r="G72" s="22"/>
      <c r="H72" s="45"/>
      <c r="I72" s="22"/>
      <c r="J72" s="12">
        <v>0</v>
      </c>
      <c r="K72" s="8" t="str">
        <f ca="1">IFERROR(VLOOKUP(B72,DATA!$L$2:$P$6,5,0)/E72,"")</f>
      </c>
      <c r="L72" s="108" t="str">
        <f ca="1">IFERROR(IF(D72&lt;0.15,"Không GC được",IF(E72&lt;6,"Không GC được",IF(E72&lt;20,3200,IF(E72&lt;50,2150,IF(E72&lt;80,1950,1600))))*(1+IF(F72&lt;500,0.5,IF(F72&gt;10000,-0.2,IF(F72&gt;5000,-0.1,IF(F72&gt;1000,0,0.3))))+IF(D72&lt;0.3,20%,IF(D72&lt;0.5,15%,0)))),"Không GC được")</f>
        <v>Không GC được</v>
      </c>
      <c r="M72" s="153" t="str">
        <f ca="1">IFERROR((C72*(1+K72)+L72)/(1-G72*0.007/30),"")</f>
      </c>
      <c r="N72" s="11" t="str">
        <f ca="1">IFERROR(VLOOKUP(B72,DATA!$L$2:$N$6,2,0),"")</f>
      </c>
      <c r="O72" s="113" t="str">
        <f ca="1">IFERROR(ROUND((M72/(1-N72)+($H$12+$I$12)/$F$82)/(1-J72),-2),"")</f>
      </c>
      <c r="P72" s="40" t="str">
        <f ca="1">IFERROR(O72*F72,"")</f>
      </c>
    </row>
    <row r="73" spans="1:17" ht="11.65" customHeight="1">
      <c r="A73" s="9"/>
      <c r="B73" s="111"/>
      <c r="C73" s="45"/>
      <c r="D73" s="103"/>
      <c r="E73" s="28"/>
      <c r="F73" s="28"/>
      <c r="G73" s="22"/>
      <c r="H73" s="45"/>
      <c r="I73" s="22"/>
      <c r="J73" s="12">
        <v>0</v>
      </c>
      <c r="K73" s="8" t="str">
        <f ca="1">IFERROR(VLOOKUP(B73,DATA!$L$2:$P$6,5,0)/E73,"")</f>
      </c>
      <c r="L73" s="108" t="str">
        <f ca="1">IFERROR(IF(D73&lt;0.15,"Không GC được",IF(E73&lt;6,"Không GC được",IF(E73&lt;20,3200,IF(E73&lt;50,2150,IF(E73&lt;80,1950,1600))))*(1+IF(F73&lt;500,0.5,IF(F73&gt;10000,-0.2,IF(F73&gt;5000,-0.1,IF(F73&gt;1000,0,0.3))))+IF(D73&lt;0.3,20%,IF(D73&lt;0.5,15%,0)))),"Không GC được")</f>
        <v>Không GC được</v>
      </c>
      <c r="M73" s="153" t="str">
        <f ca="1">IFERROR((C73*(1+K73)+L73)/(1-G73*0.007/30),"")</f>
      </c>
      <c r="N73" s="11" t="str">
        <f ca="1">IFERROR(VLOOKUP(B73,DATA!$L$2:$N$6,2,0),"")</f>
      </c>
      <c r="O73" s="113" t="str">
        <f ca="1">IFERROR(ROUND((M73/(1-N73)+($H$12+$I$12)/$F$82)/(1-J73),-2),"")</f>
      </c>
      <c r="P73" s="40" t="str">
        <f ca="1">IFERROR(O73*F73,"")</f>
      </c>
    </row>
    <row r="74" spans="1:17" ht="11.65" customHeight="1">
      <c r="A74" s="9"/>
      <c r="B74" s="111"/>
      <c r="C74" s="45"/>
      <c r="D74" s="103"/>
      <c r="E74" s="28"/>
      <c r="F74" s="28"/>
      <c r="G74" s="22"/>
      <c r="H74" s="45"/>
      <c r="I74" s="22"/>
      <c r="J74" s="12">
        <v>0</v>
      </c>
      <c r="K74" s="8" t="str">
        <f ca="1">IFERROR(VLOOKUP(B74,DATA!$L$2:$P$6,5,0)/E74,"")</f>
      </c>
      <c r="L74" s="108" t="str">
        <f ca="1">IFERROR(IF(D74&lt;0.15,"Không GC được",IF(E74&lt;6,"Không GC được",IF(E74&lt;20,3200,IF(E74&lt;50,2150,IF(E74&lt;80,1950,1600))))*(1+IF(F74&lt;500,0.5,IF(F74&gt;10000,-0.2,IF(F74&gt;5000,-0.1,IF(F74&gt;1000,0,0.3))))+IF(D74&lt;0.3,20%,IF(D74&lt;0.5,15%,0)))),"Không GC được")</f>
        <v>Không GC được</v>
      </c>
      <c r="M74" s="153" t="str">
        <f ca="1">IFERROR((C74*(1+K74)+L74)/(1-G74*0.007/30),"")</f>
      </c>
      <c r="N74" s="11" t="str">
        <f ca="1">IFERROR(VLOOKUP(B74,DATA!$L$2:$N$6,2,0),"")</f>
      </c>
      <c r="O74" s="113" t="str">
        <f ca="1">IFERROR(ROUND((M74/(1-N74)+($H$12+$I$12)/$F$82)/(1-J74),-2),"")</f>
      </c>
      <c r="P74" s="40" t="str">
        <f ca="1">IFERROR(O74*F74,"")</f>
      </c>
    </row>
    <row r="75" spans="1:17" ht="11.65" customHeight="1">
      <c r="A75" s="9"/>
      <c r="B75" s="111"/>
      <c r="C75" s="45"/>
      <c r="D75" s="103"/>
      <c r="E75" s="28"/>
      <c r="F75" s="28"/>
      <c r="G75" s="22"/>
      <c r="H75" s="45"/>
      <c r="I75" s="22"/>
      <c r="J75" s="12">
        <v>0</v>
      </c>
      <c r="K75" s="8" t="str">
        <f ca="1">IFERROR(VLOOKUP(B75,DATA!$L$2:$P$6,5,0)/E75,"")</f>
      </c>
      <c r="L75" s="108" t="str">
        <f ca="1">IFERROR(IF(D75&lt;0.15,"Không GC được",IF(E75&lt;6,"Không GC được",IF(E75&lt;20,3200,IF(E75&lt;50,2150,IF(E75&lt;80,1950,1600))))*(1+IF(F75&lt;500,0.5,IF(F75&gt;10000,-0.2,IF(F75&gt;5000,-0.1,IF(F75&gt;1000,0,0.3))))+IF(D75&lt;0.3,20%,IF(D75&lt;0.5,15%,0)))),"Không GC được")</f>
        <v>Không GC được</v>
      </c>
      <c r="M75" s="153" t="str">
        <f ca="1">IFERROR((C75*(1+K75)+L75)/(1-G75*0.007/30),"")</f>
      </c>
      <c r="N75" s="11" t="str">
        <f ca="1">IFERROR(VLOOKUP(B75,DATA!$L$2:$N$6,2,0),"")</f>
      </c>
      <c r="O75" s="113" t="str">
        <f ca="1">IFERROR(ROUND((M75/(1-N75)+($H$12+$I$12)/$F$82)/(1-J75),-2),"")</f>
      </c>
      <c r="P75" s="40" t="str">
        <f ca="1">IFERROR(O75*F75,"")</f>
      </c>
    </row>
    <row r="76" spans="1:17" ht="11.65" customHeight="1">
      <c r="A76" s="9"/>
      <c r="B76" s="111"/>
      <c r="C76" s="45"/>
      <c r="D76" s="103"/>
      <c r="E76" s="28"/>
      <c r="F76" s="28"/>
      <c r="G76" s="22"/>
      <c r="H76" s="45"/>
      <c r="I76" s="22"/>
      <c r="J76" s="12">
        <v>0</v>
      </c>
      <c r="K76" s="8" t="str">
        <f ca="1">IFERROR(VLOOKUP(B76,DATA!$L$2:$P$6,5,0)/E76,"")</f>
      </c>
      <c r="L76" s="108" t="str">
        <f ca="1">IFERROR(IF(D76&lt;0.15,"Không GC được",IF(E76&lt;6,"Không GC được",IF(E76&lt;20,3200,IF(E76&lt;50,2150,IF(E76&lt;80,1950,1600))))*(1+IF(F76&lt;500,0.5,IF(F76&gt;10000,-0.2,IF(F76&gt;5000,-0.1,IF(F76&gt;1000,0,0.3))))+IF(D76&lt;0.3,20%,IF(D76&lt;0.5,15%,0)))),"Không GC được")</f>
        <v>Không GC được</v>
      </c>
      <c r="M76" s="153" t="str">
        <f ca="1">IFERROR((C76*(1+K76)+L76)/(1-G76*0.007/30),"")</f>
      </c>
      <c r="N76" s="11" t="str">
        <f ca="1">IFERROR(VLOOKUP(B76,DATA!$L$2:$N$6,2,0),"")</f>
      </c>
      <c r="O76" s="113" t="str">
        <f ca="1">IFERROR(ROUND((M76/(1-N76)+($H$12+$I$12)/$F$82)/(1-J76),-2),"")</f>
      </c>
      <c r="P76" s="40" t="str">
        <f ca="1">IFERROR(O76*F76,"")</f>
      </c>
    </row>
    <row r="77" spans="1:17" ht="11.65" customHeight="1">
      <c r="A77" s="9"/>
      <c r="B77" s="111"/>
      <c r="C77" s="45"/>
      <c r="D77" s="103"/>
      <c r="E77" s="28"/>
      <c r="F77" s="28"/>
      <c r="G77" s="22"/>
      <c r="H77" s="45"/>
      <c r="I77" s="22"/>
      <c r="J77" s="12">
        <v>0</v>
      </c>
      <c r="K77" s="8" t="str">
        <f ca="1">IFERROR(VLOOKUP(B77,DATA!$L$2:$P$6,5,0)/E77,"")</f>
      </c>
      <c r="L77" s="108" t="str">
        <f ca="1">IFERROR(IF(D77&lt;0.15,"Không GC được",IF(E77&lt;6,"Không GC được",IF(E77&lt;20,3200,IF(E77&lt;50,2150,IF(E77&lt;80,1950,1600))))*(1+IF(F77&lt;500,0.5,IF(F77&gt;10000,-0.2,IF(F77&gt;5000,-0.1,IF(F77&gt;1000,0,0.3))))+IF(D77&lt;0.3,20%,IF(D77&lt;0.5,15%,0)))),"Không GC được")</f>
        <v>Không GC được</v>
      </c>
      <c r="M77" s="153" t="str">
        <f ca="1">IFERROR((C77*(1+K77)+L77)/(1-G77*0.007/30),"")</f>
      </c>
      <c r="N77" s="11" t="str">
        <f ca="1">IFERROR(VLOOKUP(B77,DATA!$L$2:$N$6,2,0),"")</f>
      </c>
      <c r="O77" s="113" t="str">
        <f ca="1">IFERROR(ROUND((M77/(1-N77)+($H$12+$I$12)/$F$82)/(1-J77),-2),"")</f>
      </c>
      <c r="P77" s="40" t="str">
        <f ca="1">IFERROR(O77*F77,"")</f>
      </c>
    </row>
    <row r="78" spans="1:17" ht="11.65" customHeight="1">
      <c r="A78" s="9"/>
      <c r="B78" s="111"/>
      <c r="C78" s="45"/>
      <c r="D78" s="103"/>
      <c r="E78" s="28"/>
      <c r="F78" s="28"/>
      <c r="G78" s="22"/>
      <c r="H78" s="45"/>
      <c r="I78" s="22"/>
      <c r="J78" s="12">
        <v>0</v>
      </c>
      <c r="K78" s="8" t="str">
        <f ca="1">IFERROR(VLOOKUP(B78,DATA!$L$2:$P$6,5,0)/E78,"")</f>
      </c>
      <c r="L78" s="108" t="str">
        <f ca="1">IFERROR(IF(D78&lt;0.15,"Không GC được",IF(E78&lt;6,"Không GC được",IF(E78&lt;20,3200,IF(E78&lt;50,2150,IF(E78&lt;80,1950,1600))))*(1+IF(F78&lt;500,0.5,IF(F78&gt;10000,-0.2,IF(F78&gt;5000,-0.1,IF(F78&gt;1000,0,0.3))))+IF(D78&lt;0.3,20%,IF(D78&lt;0.5,15%,0)))),"Không GC được")</f>
        <v>Không GC được</v>
      </c>
      <c r="M78" s="153" t="str">
        <f ca="1">IFERROR((C78*(1+K78)+L78)/(1-G78*0.007/30),"")</f>
      </c>
      <c r="N78" s="11" t="str">
        <f ca="1">IFERROR(VLOOKUP(B78,DATA!$L$2:$N$6,2,0),"")</f>
      </c>
      <c r="O78" s="113" t="str">
        <f ca="1">IFERROR(ROUND((M78/(1-N78)+($H$12+$I$12)/$F$82)/(1-J78),-2),"")</f>
      </c>
      <c r="P78" s="40" t="str">
        <f ca="1">IFERROR(O78*F78,"")</f>
      </c>
    </row>
    <row r="79" spans="1:17" ht="11.65" customHeight="1">
      <c r="A79" s="9"/>
      <c r="B79" s="111"/>
      <c r="C79" s="45"/>
      <c r="D79" s="103"/>
      <c r="E79" s="28"/>
      <c r="F79" s="28"/>
      <c r="G79" s="22"/>
      <c r="H79" s="45"/>
      <c r="I79" s="22"/>
      <c r="J79" s="12">
        <v>0</v>
      </c>
      <c r="K79" s="8" t="str">
        <f ca="1">IFERROR(VLOOKUP(B79,DATA!$L$2:$P$6,5,0)/E79,"")</f>
      </c>
      <c r="L79" s="108" t="str">
        <f ca="1">IFERROR(IF(D79&lt;0.15,"Không GC được",IF(E79&lt;6,"Không GC được",IF(E79&lt;20,3200,IF(E79&lt;50,2150,IF(E79&lt;80,1950,1600))))*(1+IF(F79&lt;500,0.5,IF(F79&gt;10000,-0.2,IF(F79&gt;5000,-0.1,IF(F79&gt;1000,0,0.3))))+IF(D79&lt;0.3,20%,IF(D79&lt;0.5,15%,0)))),"Không GC được")</f>
        <v>Không GC được</v>
      </c>
      <c r="M79" s="153" t="str">
        <f ca="1">IFERROR((C79*(1+K79)+L79)/(1-G79*0.007/30),"")</f>
      </c>
      <c r="N79" s="11" t="str">
        <f ca="1">IFERROR(VLOOKUP(B79,DATA!$L$2:$N$6,2,0),"")</f>
      </c>
      <c r="O79" s="113" t="str">
        <f ca="1">IFERROR(ROUND((M79/(1-N79)+($H$12+$I$12)/$F$82)/(1-J79),-2),"")</f>
      </c>
      <c r="P79" s="40" t="str">
        <f ca="1">IFERROR(O79*F79,"")</f>
      </c>
    </row>
    <row r="80" spans="1:17" ht="11.65" customHeight="1">
      <c r="A80" s="9"/>
      <c r="B80" s="111"/>
      <c r="C80" s="45"/>
      <c r="D80" s="103"/>
      <c r="E80" s="28"/>
      <c r="F80" s="28"/>
      <c r="G80" s="22"/>
      <c r="H80" s="45"/>
      <c r="I80" s="22"/>
      <c r="J80" s="12">
        <v>0</v>
      </c>
      <c r="K80" s="8" t="str">
        <f ca="1">IFERROR(VLOOKUP(B80,DATA!$L$2:$P$6,5,0)/E80,"")</f>
      </c>
      <c r="L80" s="108" t="str">
        <f ca="1">IFERROR(IF(D80&lt;0.15,"Không GC được",IF(E80&lt;6,"Không GC được",IF(E80&lt;20,3200,IF(E80&lt;50,2150,IF(E80&lt;80,1950,1600))))*(1+IF(F80&lt;500,0.5,IF(F80&gt;10000,-0.2,IF(F80&gt;5000,-0.1,IF(F80&gt;1000,0,0.3))))+IF(D80&lt;0.3,20%,IF(D80&lt;0.5,15%,0)))),"Không GC được")</f>
        <v>Không GC được</v>
      </c>
      <c r="M80" s="153" t="str">
        <f ca="1">IFERROR((C80*(1+K80)+L80)/(1-G80*0.007/30),"")</f>
      </c>
      <c r="N80" s="11" t="str">
        <f ca="1">IFERROR(VLOOKUP(B80,DATA!$L$2:$N$6,2,0),"")</f>
      </c>
      <c r="O80" s="113" t="str">
        <f ca="1">IFERROR(ROUND((M80/(1-N80)+($H$12+$I$12)/$F$82)/(1-J80),-2),"")</f>
      </c>
      <c r="P80" s="40" t="str">
        <f ca="1">IFERROR(O80*F80,"")</f>
      </c>
    </row>
    <row r="81" spans="1:17" ht="11.65" customHeight="1">
      <c r="A81" s="14"/>
      <c r="B81" s="112"/>
      <c r="C81" s="46"/>
      <c r="D81" s="104"/>
      <c r="E81" s="29"/>
      <c r="F81" s="29"/>
      <c r="G81" s="23"/>
      <c r="H81" s="46"/>
      <c r="I81" s="23"/>
      <c r="J81" s="16">
        <v>0</v>
      </c>
      <c r="K81" s="8" t="str">
        <f ca="1">IFERROR(VLOOKUP(B81,DATA!$L$2:$P$6,5,0)/E81,"")</f>
      </c>
      <c r="L81" s="108" t="str">
        <f ca="1">IFERROR(IF(D81&lt;0.15,"Không GC được",IF(E81&lt;6,"Không GC được",IF(E81&lt;20,3200,IF(E81&lt;50,2150,IF(E81&lt;80,1950,1600))))*(1+IF(F81&lt;500,0.5,IF(F81&gt;10000,-0.2,IF(F81&gt;5000,-0.1,IF(F81&gt;1000,0,0.3))))+IF(D81&lt;0.3,20%,IF(D81&lt;0.5,15%,0)))),"Không GC được")</f>
        <v>Không GC được</v>
      </c>
      <c r="M81" s="153" t="str">
        <f ca="1">IFERROR((C81*(1+K81)+L81)/(1-G81*0.007/30),"")</f>
      </c>
      <c r="N81" s="15" t="str">
        <f ca="1">IFERROR(VLOOKUP(B81,DATA!$L$2:$N$6,2,0),"")</f>
      </c>
      <c r="O81" s="113" t="str">
        <f ca="1">IFERROR(ROUND((M81/(1-N81)+($H$12+$I$12)/$F$82)/(1-J81),-2),"")</f>
      </c>
      <c r="P81" s="40" t="str">
        <f ca="1">IFERROR(O81*F81,"")</f>
      </c>
    </row>
    <row r="82" spans="1:17" ht="11.65" customHeight="1">
      <c r="A82" s="17" t="s">
        <v>85</v>
      </c>
      <c r="B82" s="18"/>
      <c r="C82" s="47"/>
      <c r="D82" s="105"/>
      <c r="E82" s="30"/>
      <c r="F82" s="109">
        <f ca="1">SUM(F12:F81)</f>
        <v>800</v>
      </c>
      <c r="G82" s="34"/>
      <c r="H82" s="43"/>
      <c r="I82" s="34"/>
      <c r="J82" s="37"/>
      <c r="K82" s="50"/>
      <c r="L82" s="53"/>
      <c r="M82" s="53"/>
      <c r="N82" s="50"/>
      <c r="O82" s="43"/>
      <c r="P82" s="43"/>
    </row>
    <row r="83" spans="13:15" ht="11.65" customHeight="1">
      <c r="M83" s="54"/>
      <c r="N83" s="55"/>
    </row>
    <row r="84" spans="13:15" ht="11.65" customHeight="1">
      <c r="M84" s="54"/>
      <c r="N84" s="55"/>
    </row>
    <row r="85" s="39" customFormat="1" spans="1:256" ht="11.65" customHeight="1">
      <c r="A85" s="2"/>
      <c r="B85" s="2"/>
      <c r="D85" s="57"/>
      <c r="E85" s="26"/>
      <c r="F85" s="26"/>
      <c r="G85" s="19"/>
      <c r="I85" s="19"/>
      <c r="J85" s="35"/>
      <c r="K85" s="35"/>
      <c r="M85" s="54"/>
      <c r="N85" s="55"/>
      <c r="Q85" s="2"/>
    </row>
    <row r="86" s="39" customFormat="1" spans="1:256" ht="11.65" customHeight="1">
      <c r="A86" s="2"/>
      <c r="B86" s="2"/>
      <c r="D86" s="57"/>
      <c r="E86" s="26"/>
      <c r="F86" s="26"/>
      <c r="G86" s="19"/>
      <c r="I86" s="19"/>
      <c r="J86" s="35"/>
      <c r="K86" s="35"/>
      <c r="M86" s="54"/>
      <c r="N86" s="55"/>
      <c r="Q86" s="2"/>
    </row>
    <row r="87" s="39" customFormat="1" spans="1:256" ht="11.65" customHeight="1">
      <c r="A87" s="2"/>
      <c r="B87" s="2"/>
      <c r="D87" s="57"/>
      <c r="E87" s="26"/>
      <c r="F87" s="26"/>
      <c r="G87" s="19"/>
      <c r="I87" s="19"/>
      <c r="J87" s="35"/>
      <c r="K87" s="35"/>
      <c r="M87" s="54"/>
      <c r="N87" s="55"/>
      <c r="Q87" s="2"/>
    </row>
    <row r="88" s="39" customFormat="1" spans="1:256" ht="11.65" customHeight="1">
      <c r="A88" s="2"/>
      <c r="B88" s="2"/>
      <c r="D88" s="57"/>
      <c r="E88" s="26"/>
      <c r="F88" s="26"/>
      <c r="G88" s="19"/>
      <c r="I88" s="19"/>
      <c r="J88" s="35"/>
      <c r="K88" s="35"/>
      <c r="M88" s="54"/>
      <c r="N88" s="55"/>
      <c r="Q88" s="2"/>
    </row>
  </sheetData>
  <mergeCells count="2">
    <mergeCell ref="A10:M10"/>
    <mergeCell ref="N10:P10"/>
  </mergeCells>
  <dataValidations count="1">
    <dataValidation allowBlank="1" showInputMessage="1" showErrorMessage="1" prompt="Lựa chọn nguyên liệu" sqref="A12:A81"/>
  </dataValidations>
  <printOptions/>
  <pageMargins left="0.7" right="0.7" top="0.75" bottom="0.75" header="0.3" footer="0.3"/>
  <pageSetup horizontalDpi="600" verticalDpi="600" orientation="portrait" paperSize="9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 topLeftCell="A1">
      <selection pane="topLeft" activeCell="E16" sqref="E16"/>
    </sheetView>
  </sheetViews>
  <sheetFormatPr defaultColWidth="9.142857142857142" defaultRowHeight="11.65" customHeight="1"/>
  <cols>
    <col min="1" max="1" width="16" style="117" customWidth="1"/>
    <col min="2" max="2" width="11" style="117" customWidth="1"/>
    <col min="3" max="3" width="9" style="117" customWidth="1"/>
    <col min="4" max="4" width="20" style="117" customWidth="1"/>
    <col min="5" max="5" width="12" style="117" customWidth="1"/>
    <col min="6" max="6" width="10" style="117" customWidth="1"/>
    <col min="7" max="11" width="9" style="117" customWidth="1"/>
    <col min="12" max="16384" width="9.142857142857142" style="117" customWidth="1"/>
  </cols>
  <sheetData>
    <row r="1" spans="1:11" ht="11.65" customHeight="1">
      <c r="A1" s="125" t="s">
        <v>28</v>
      </c>
      <c r="B1" s="126">
        <v>600</v>
      </c>
      <c r="C1" s="126"/>
      <c r="D1" s="127" t="s">
        <v>96</v>
      </c>
      <c r="E1" s="128">
        <f ca="1">B2/B1</f>
        <v>0.8333333333333334</v>
      </c>
      <c r="F1" s="129" t="s">
        <v>36</v>
      </c>
      <c r="G1" s="130">
        <v>20</v>
      </c>
      <c r="H1" s="131"/>
      <c r="I1" s="131"/>
      <c r="J1" s="167" t="s">
        <v>91</v>
      </c>
      <c r="K1" s="167"/>
    </row>
    <row r="2" spans="1:11" ht="11.65" customHeight="1">
      <c r="A2" s="125" t="s">
        <v>55</v>
      </c>
      <c r="B2" s="126">
        <v>500</v>
      </c>
      <c r="C2" s="126"/>
      <c r="D2" s="129" t="s">
        <v>19</v>
      </c>
      <c r="E2" s="126" t="s">
        <v>103</v>
      </c>
      <c r="F2" s="129" t="s">
        <v>57</v>
      </c>
      <c r="G2" s="132">
        <f ca="1">IFERROR(VLOOKUP(E2,$J$2:$K$4,2,0),"")</f>
        <v>6</v>
      </c>
      <c r="H2" s="131"/>
      <c r="I2" s="131"/>
      <c r="J2" s="133" t="s">
        <v>103</v>
      </c>
      <c r="K2" s="133">
        <v>6</v>
      </c>
    </row>
    <row r="3" spans="1:11" ht="11.65" customHeight="1">
      <c r="A3" s="134"/>
      <c r="B3" s="135" t="s">
        <v>76</v>
      </c>
      <c r="C3" s="135" t="s">
        <v>27</v>
      </c>
      <c r="D3" s="136" t="s">
        <v>25</v>
      </c>
      <c r="E3" s="137" t="s">
        <v>79</v>
      </c>
      <c r="F3" s="138"/>
      <c r="G3" s="130"/>
      <c r="H3" s="131"/>
      <c r="I3" s="131"/>
      <c r="J3" s="133" t="s">
        <v>15</v>
      </c>
      <c r="K3" s="133">
        <v>6</v>
      </c>
    </row>
    <row r="4" spans="1:11" ht="11.65" customHeight="1">
      <c r="A4" s="139" t="s">
        <v>72</v>
      </c>
      <c r="B4" s="140">
        <v>200</v>
      </c>
      <c r="C4" s="141">
        <v>2</v>
      </c>
      <c r="D4" s="142">
        <f ca="1">C4*B4</f>
        <v>400</v>
      </c>
      <c r="E4" s="143">
        <f ca="1">D4*$E$1</f>
        <v>333.33333333333337</v>
      </c>
      <c r="F4" s="138"/>
      <c r="G4" s="130"/>
      <c r="H4" s="131"/>
      <c r="I4" s="131"/>
      <c r="J4" s="133" t="s">
        <v>66</v>
      </c>
      <c r="K4" s="133">
        <v>4</v>
      </c>
    </row>
    <row r="5" spans="1:11" ht="11.65" customHeight="1">
      <c r="A5" s="139" t="s">
        <v>80</v>
      </c>
      <c r="B5" s="140">
        <v>90</v>
      </c>
      <c r="C5" s="141">
        <v>2</v>
      </c>
      <c r="D5" s="142">
        <f ca="1">C5*B5</f>
        <v>180</v>
      </c>
      <c r="E5" s="143">
        <f ca="1">D5*$E$1</f>
        <v>150</v>
      </c>
      <c r="F5" s="138"/>
      <c r="G5" s="130"/>
      <c r="H5" s="131"/>
      <c r="I5" s="131"/>
      <c r="J5" s="131"/>
      <c r="K5" s="131"/>
    </row>
    <row r="6" spans="1:11" ht="11.65" customHeight="1">
      <c r="A6" s="139" t="s">
        <v>116</v>
      </c>
      <c r="B6" s="140"/>
      <c r="C6" s="141"/>
      <c r="D6" s="142">
        <f ca="1">C6*B6</f>
        <v>0</v>
      </c>
      <c r="E6" s="143">
        <f ca="1">D6*$E$1</f>
        <v>0</v>
      </c>
      <c r="F6" s="138"/>
      <c r="G6" s="130"/>
      <c r="H6" s="131"/>
      <c r="I6" s="131"/>
      <c r="J6" s="131"/>
      <c r="K6" s="131"/>
    </row>
    <row r="7" spans="1:11" ht="11.65" customHeight="1">
      <c r="A7" s="139" t="s">
        <v>94</v>
      </c>
      <c r="B7" s="140"/>
      <c r="C7" s="141"/>
      <c r="D7" s="142">
        <f ca="1">C7*B7</f>
        <v>0</v>
      </c>
      <c r="E7" s="143">
        <f ca="1">D7*$E$1</f>
        <v>0</v>
      </c>
      <c r="F7" s="138"/>
      <c r="G7" s="130"/>
      <c r="H7" s="131"/>
      <c r="I7" s="131"/>
      <c r="J7" s="131"/>
      <c r="K7" s="131"/>
    </row>
    <row r="8" spans="1:11" ht="11.65" customHeight="1">
      <c r="A8" s="139" t="s">
        <v>49</v>
      </c>
      <c r="B8" s="140"/>
      <c r="C8" s="141"/>
      <c r="D8" s="142">
        <f ca="1">C8*B8</f>
        <v>0</v>
      </c>
      <c r="E8" s="143">
        <f ca="1">D8*$E$1</f>
        <v>0</v>
      </c>
      <c r="F8" s="138"/>
      <c r="G8" s="130"/>
      <c r="H8" s="131"/>
      <c r="I8" s="131"/>
      <c r="J8" s="131"/>
      <c r="K8" s="131"/>
    </row>
    <row r="9" spans="1:11" ht="11.65" customHeight="1">
      <c r="A9" s="139" t="s">
        <v>42</v>
      </c>
      <c r="B9" s="140"/>
      <c r="C9" s="141"/>
      <c r="D9" s="142">
        <f ca="1">C9*B9</f>
        <v>0</v>
      </c>
      <c r="E9" s="143">
        <f ca="1">D9*$E$1</f>
        <v>0</v>
      </c>
      <c r="F9" s="138"/>
      <c r="G9" s="130"/>
      <c r="H9" s="131"/>
      <c r="I9" s="131"/>
      <c r="J9" s="131"/>
      <c r="K9" s="131"/>
    </row>
    <row r="10" spans="1:11" ht="11.65" customHeight="1">
      <c r="A10" s="139" t="s">
        <v>70</v>
      </c>
      <c r="B10" s="144">
        <f ca="1">IF(F10&lt;$G$1,0,F10-$G$2)</f>
        <v>0</v>
      </c>
      <c r="C10" s="141">
        <v>1</v>
      </c>
      <c r="D10" s="142">
        <f ca="1">C10*B10</f>
        <v>0</v>
      </c>
      <c r="E10" s="143">
        <f ca="1">D10*$E$1</f>
        <v>0</v>
      </c>
      <c r="F10" s="142">
        <f ca="1">B1-SUM(D4:D9)-$G$2</f>
        <v>14</v>
      </c>
      <c r="G10" s="130"/>
      <c r="H10" s="131"/>
      <c r="I10" s="131"/>
      <c r="J10" s="131"/>
      <c r="K10" s="131"/>
    </row>
    <row r="11" spans="1:11" ht="11.65" customHeight="1">
      <c r="A11" s="139" t="s">
        <v>88</v>
      </c>
      <c r="B11" s="144">
        <f ca="1">IF(F10&lt;$G$1,(F10+$G$2)/2,$G$2)</f>
        <v>10</v>
      </c>
      <c r="C11" s="145">
        <f ca="1">IF(F10&lt;$G$1,2,1)</f>
        <v>2</v>
      </c>
      <c r="D11" s="142">
        <f ca="1">C11*B11</f>
        <v>20</v>
      </c>
      <c r="E11" s="143">
        <f ca="1">D11*$E$1</f>
        <v>16.666666666666668</v>
      </c>
      <c r="F11" s="138"/>
      <c r="G11" s="130"/>
      <c r="H11" s="131"/>
      <c r="I11" s="131"/>
      <c r="J11" s="131"/>
      <c r="K11" s="131"/>
    </row>
    <row r="12" spans="1:11" ht="11.65" customHeight="1">
      <c r="A12" s="146" t="s">
        <v>107</v>
      </c>
      <c r="B12" s="146"/>
      <c r="C12" s="147"/>
      <c r="D12" s="165">
        <f ca="1">D11/(SUM(D4:D9))</f>
        <v>0.034482758620689655</v>
      </c>
      <c r="E12" s="166"/>
      <c r="F12" s="138"/>
      <c r="G12" s="130"/>
      <c r="H12" s="131"/>
      <c r="I12" s="131"/>
      <c r="J12" s="131"/>
      <c r="K12" s="131"/>
    </row>
  </sheetData>
  <mergeCells count="2">
    <mergeCell ref="D12:E12"/>
    <mergeCell ref="J1:K1"/>
  </mergeCells>
  <dataValidations count="1">
    <dataValidation type="list" allowBlank="1" showInputMessage="1" showErrorMessage="1" sqref="E2">
      <formula1>$J$2:$J$4</formula1>
    </dataValidation>
  </dataValidations>
  <printOptions/>
  <pageMargins left="0.7" right="0.7" top="0.75" bottom="0.75" header="0.3" footer="0.3"/>
  <pageSetup horizontalDpi="600" verticalDpi="600" orientation="portrait" paperSize="9"/>
</worksheet>
</file>

<file path=xl/worksheets/sheet9.xml><?xml version="1.0" encoding="utf-8"?>
<worksheet xmlns="http://schemas.openxmlformats.org/spreadsheetml/2006/main" xmlns:r="http://schemas.openxmlformats.org/officeDocument/2006/relationships">
  <dimension ref="B1:P51"/>
  <sheetViews>
    <sheetView workbookViewId="0" topLeftCell="A1">
      <selection pane="topLeft" activeCell="O20" sqref="O20"/>
    </sheetView>
  </sheetViews>
  <sheetFormatPr defaultColWidth="8.857142857142858" defaultRowHeight="14.25" customHeight="1"/>
  <cols>
    <col min="2" max="2" width="20" customWidth="1"/>
    <col min="4" max="4" width="17" customWidth="1"/>
    <col min="7" max="7" width="19" customWidth="1"/>
    <col min="12" max="12" width="19" customWidth="1"/>
  </cols>
  <sheetData>
    <row r="1" spans="2:16" ht="14.25" customHeight="1">
      <c r="B1" s="148" t="s">
        <v>74</v>
      </c>
      <c r="C1" s="148" t="s">
        <v>32</v>
      </c>
      <c r="D1" s="148" t="s">
        <v>53</v>
      </c>
      <c r="G1" s="148" t="s">
        <v>74</v>
      </c>
      <c r="H1" s="148" t="s">
        <v>32</v>
      </c>
      <c r="I1" s="148" t="s">
        <v>53</v>
      </c>
      <c r="L1" s="148" t="s">
        <v>74</v>
      </c>
      <c r="M1" s="148" t="s">
        <v>32</v>
      </c>
      <c r="N1" s="148" t="s">
        <v>53</v>
      </c>
      <c r="O1" s="148" t="s">
        <v>82</v>
      </c>
    </row>
    <row r="2" spans="2:16" ht="14.25" customHeight="1">
      <c r="B2" s="148" t="s">
        <v>30</v>
      </c>
      <c r="C2" s="148">
        <f ca="1">ROUND(VLOOKUP(B2,$G$33:$J$50,4,0),2)</f>
        <v>0.11</v>
      </c>
      <c r="D2" s="148">
        <v>8.9</v>
      </c>
      <c r="G2" s="148" t="s">
        <v>102</v>
      </c>
      <c r="H2" s="148">
        <f ca="1">ROUND(VLOOKUP(G2,$G$33:$J$50,4,0),2)</f>
        <v>0.08</v>
      </c>
      <c r="I2" s="148">
        <v>8.9</v>
      </c>
      <c r="L2" s="148" t="s">
        <v>33</v>
      </c>
      <c r="M2" s="148">
        <v>0.13</v>
      </c>
      <c r="N2" s="148">
        <v>2.75</v>
      </c>
      <c r="O2" s="148">
        <v>28182</v>
      </c>
      <c r="P2" s="156">
        <v>2</v>
      </c>
    </row>
    <row r="3" spans="2:16" ht="14.25" customHeight="1">
      <c r="B3" s="148" t="s">
        <v>95</v>
      </c>
      <c r="C3" s="148">
        <f ca="1">ROUND(VLOOKUP(B3,$G$33:$J$50,4,0),2)</f>
        <v>0.15</v>
      </c>
      <c r="D3" s="148">
        <v>8.9</v>
      </c>
      <c r="G3" s="148" t="s">
        <v>93</v>
      </c>
      <c r="H3" s="148">
        <f ca="1">ROUND(VLOOKUP(G3,$G$33:$J$50,4,0),2)</f>
        <v>0.14</v>
      </c>
      <c r="I3" s="148">
        <v>8.9</v>
      </c>
      <c r="L3" s="148" t="s">
        <v>83</v>
      </c>
      <c r="M3" s="148">
        <v>0.17</v>
      </c>
      <c r="N3" s="148">
        <v>2.75</v>
      </c>
      <c r="O3" s="148">
        <v>28182</v>
      </c>
      <c r="P3" s="156">
        <v>2</v>
      </c>
    </row>
    <row r="4" spans="2:16" ht="14.25" customHeight="1">
      <c r="B4" s="148" t="s">
        <v>75</v>
      </c>
      <c r="C4" s="148">
        <f ca="1">ROUND(VLOOKUP(B4,$G$33:$J$50,4,0),2)</f>
        <v>0.2</v>
      </c>
      <c r="D4" s="148">
        <v>8.9</v>
      </c>
      <c r="G4" s="148" t="s">
        <v>11</v>
      </c>
      <c r="H4" s="148">
        <f ca="1">ROUND(VLOOKUP(G4,$G$33:$J$50,4,0),2)</f>
        <v>0.15</v>
      </c>
      <c r="I4" s="148">
        <v>2.75</v>
      </c>
      <c r="L4" s="148" t="s">
        <v>16</v>
      </c>
      <c r="M4" s="148">
        <v>0.11</v>
      </c>
      <c r="N4" s="148">
        <v>8.9</v>
      </c>
      <c r="O4" s="148">
        <v>115445</v>
      </c>
      <c r="P4" s="156">
        <v>3</v>
      </c>
    </row>
    <row r="5" spans="2:16" ht="14.25" customHeight="1">
      <c r="B5" s="148" t="s">
        <v>115</v>
      </c>
      <c r="C5" s="148">
        <f ca="1">ROUND(VLOOKUP(B5,$G$33:$J$50,4,0),2)</f>
        <v>0.17</v>
      </c>
      <c r="D5" s="148">
        <v>2.75</v>
      </c>
      <c r="G5" s="148" t="s">
        <v>46</v>
      </c>
      <c r="H5" s="148">
        <v>0.25</v>
      </c>
      <c r="I5" s="148">
        <v>7.9</v>
      </c>
      <c r="L5" s="148" t="s">
        <v>92</v>
      </c>
      <c r="M5" s="148">
        <v>0.11</v>
      </c>
      <c r="N5" s="148">
        <v>8.9</v>
      </c>
      <c r="O5" s="148">
        <v>90000</v>
      </c>
      <c r="P5" s="156">
        <v>3</v>
      </c>
    </row>
    <row r="6" spans="2:16" ht="14.25" customHeight="1">
      <c r="B6" s="148" t="s">
        <v>45</v>
      </c>
      <c r="C6" s="148">
        <f ca="1">ROUND(VLOOKUP(B6,$G$33:$J$50,4,0),2)</f>
        <v>0.17</v>
      </c>
      <c r="D6" s="148">
        <v>2.75</v>
      </c>
      <c r="G6" s="149" t="s">
        <v>40</v>
      </c>
      <c r="H6" s="148">
        <v>0.18</v>
      </c>
      <c r="I6" s="149">
        <v>8.9</v>
      </c>
      <c r="L6" s="148" t="s">
        <v>18</v>
      </c>
      <c r="M6" s="148">
        <v>0.12</v>
      </c>
      <c r="N6" s="148">
        <v>7.9</v>
      </c>
      <c r="O6" s="148">
        <v>17272</v>
      </c>
      <c r="P6" s="156">
        <v>3</v>
      </c>
    </row>
    <row r="7" spans="7:10" ht="14.25" customHeight="1">
      <c r="G7" s="1"/>
      <c r="H7" s="1"/>
      <c r="I7" s="1"/>
    </row>
    <row r="8" spans="7:10" ht="14.25" customHeight="1">
      <c r="G8" s="148" t="s">
        <v>37</v>
      </c>
      <c r="H8" s="1"/>
      <c r="I8" s="1"/>
    </row>
    <row r="9" spans="7:8" ht="14.25" customHeight="1">
      <c r="G9" s="148" t="s">
        <v>41</v>
      </c>
    </row>
    <row r="12" spans="2:9" ht="14.25" customHeight="1">
      <c r="B12" s="148" t="s">
        <v>24</v>
      </c>
      <c r="C12" s="148">
        <v>0.1</v>
      </c>
      <c r="D12" s="148">
        <v>7.95</v>
      </c>
      <c r="G12" t="s">
        <v>103</v>
      </c>
      <c r="H12">
        <v>6</v>
      </c>
    </row>
    <row r="13" spans="2:9" ht="14.25" customHeight="1">
      <c r="B13" s="148" t="s">
        <v>9</v>
      </c>
      <c r="C13" s="148">
        <v>0.18</v>
      </c>
      <c r="D13" s="148">
        <v>8.9</v>
      </c>
      <c r="G13" t="s">
        <v>15</v>
      </c>
      <c r="H13">
        <v>6</v>
      </c>
    </row>
    <row r="14" spans="7:9" ht="14.25" customHeight="1">
      <c r="G14" t="s">
        <v>66</v>
      </c>
      <c r="H14">
        <v>4</v>
      </c>
    </row>
    <row r="16" spans="7:9" ht="14.25" customHeight="1">
      <c r="G16" s="100"/>
      <c r="H16" s="100"/>
    </row>
    <row r="17" spans="2:9" ht="14.25" customHeight="1">
      <c r="B17" s="148" t="s">
        <v>54</v>
      </c>
      <c r="C17" s="148">
        <v>0.25</v>
      </c>
      <c r="D17" s="148">
        <v>7.95</v>
      </c>
      <c r="G17" s="100"/>
      <c r="H17" s="100"/>
    </row>
    <row r="18" spans="2:9" ht="14.25" customHeight="1">
      <c r="B18" s="148" t="s">
        <v>50</v>
      </c>
      <c r="C18" s="148">
        <v>0.12</v>
      </c>
      <c r="D18" s="148">
        <v>7.95</v>
      </c>
      <c r="G18" s="100"/>
      <c r="H18" s="101"/>
    </row>
    <row r="19" spans="7:9" ht="14.25" customHeight="1">
      <c r="G19" s="100"/>
      <c r="H19" s="101"/>
    </row>
    <row r="20" spans="7:9" ht="14.25" customHeight="1">
      <c r="G20" s="100"/>
      <c r="H20" s="101"/>
    </row>
    <row r="21" spans="7:9" ht="14.25" customHeight="1">
      <c r="G21" s="100"/>
      <c r="H21" s="101"/>
    </row>
    <row r="22" spans="7:9" ht="14.25" customHeight="1">
      <c r="G22" s="100"/>
      <c r="H22" s="100"/>
    </row>
    <row r="23" spans="7:9" ht="14.25" customHeight="1">
      <c r="G23" s="100"/>
      <c r="H23" s="100"/>
    </row>
    <row r="24" spans="7:9" ht="14.25" customHeight="1">
      <c r="G24" s="100"/>
      <c r="H24" s="100"/>
    </row>
    <row r="25" spans="7:9" ht="14.25" customHeight="1">
      <c r="G25" s="100"/>
      <c r="H25" s="100"/>
    </row>
    <row r="26" spans="7:9" ht="14.25" customHeight="1">
      <c r="G26" s="100"/>
      <c r="H26" s="100"/>
    </row>
    <row r="27" spans="7:9" ht="14.25" customHeight="1">
      <c r="G27" s="100"/>
      <c r="H27" s="100"/>
    </row>
    <row r="28" spans="7:9" ht="14.25" customHeight="1">
      <c r="G28" s="100"/>
      <c r="H28" s="100"/>
    </row>
    <row r="29" spans="7:9" ht="14.25" customHeight="1">
      <c r="G29" s="100"/>
      <c r="H29" s="100"/>
    </row>
    <row r="32" spans="7:11" ht="14.25" customHeight="1">
      <c r="G32" t="s">
        <v>2</v>
      </c>
      <c r="H32" t="s">
        <v>51</v>
      </c>
      <c r="I32" t="s">
        <v>29</v>
      </c>
      <c r="J32" t="s">
        <v>0</v>
      </c>
    </row>
    <row r="33" spans="7:11" ht="14.25" customHeight="1">
      <c r="G33" t="s">
        <v>9</v>
      </c>
      <c r="H33">
        <v>1100000000</v>
      </c>
      <c r="I33">
        <v>198000000</v>
      </c>
      <c r="J33">
        <f ca="1">I33/H33</f>
        <v>0.18</v>
      </c>
    </row>
    <row r="34" spans="7:11" ht="14.25" customHeight="1">
      <c r="G34" t="s">
        <v>95</v>
      </c>
      <c r="H34">
        <v>661500000</v>
      </c>
      <c r="I34">
        <v>99225000</v>
      </c>
      <c r="J34" s="152">
        <f ca="1">I34/H34</f>
        <v>0.15</v>
      </c>
    </row>
    <row r="35" spans="7:11" ht="14.25" customHeight="1">
      <c r="G35" t="s">
        <v>93</v>
      </c>
      <c r="H35">
        <v>10392500000</v>
      </c>
      <c r="I35">
        <v>1452500000</v>
      </c>
      <c r="J35" s="152">
        <f ca="1">I35/H35</f>
        <v>0.1397642530671157</v>
      </c>
    </row>
    <row r="36" spans="7:11" ht="14.25" customHeight="1">
      <c r="G36" t="s">
        <v>75</v>
      </c>
      <c r="H36">
        <v>1434000000</v>
      </c>
      <c r="I36">
        <v>286800000</v>
      </c>
      <c r="J36" s="152">
        <f ca="1">I36/H36</f>
        <v>0.2</v>
      </c>
    </row>
    <row r="37" spans="7:11" ht="14.25" customHeight="1">
      <c r="G37" t="s">
        <v>30</v>
      </c>
      <c r="H37">
        <v>68705500000</v>
      </c>
      <c r="I37">
        <v>7714205000</v>
      </c>
      <c r="J37" s="152">
        <f ca="1">I37/H37</f>
        <v>0.11227929350634229</v>
      </c>
    </row>
    <row r="38" spans="7:11" ht="14.25" customHeight="1">
      <c r="G38" t="s">
        <v>102</v>
      </c>
      <c r="H38">
        <v>142514000000</v>
      </c>
      <c r="I38">
        <v>10782300000</v>
      </c>
      <c r="J38" s="152">
        <f ca="1">I38/H38</f>
        <v>0.07565783010791922</v>
      </c>
    </row>
    <row r="39" spans="7:11" ht="14.25" customHeight="1">
      <c r="G39" t="s">
        <v>115</v>
      </c>
      <c r="H39">
        <v>208577500000</v>
      </c>
      <c r="I39">
        <v>34956260000</v>
      </c>
      <c r="J39" s="152">
        <f ca="1">I39/H39</f>
        <v>0.1675936282676703</v>
      </c>
    </row>
    <row r="40" spans="7:11" ht="14.25" customHeight="1">
      <c r="G40" t="s">
        <v>45</v>
      </c>
      <c r="H40">
        <v>24486000000</v>
      </c>
      <c r="I40">
        <v>4042920000</v>
      </c>
      <c r="J40" s="152">
        <f ca="1">I40/H40</f>
        <v>0.1651114922813036</v>
      </c>
    </row>
    <row r="41" spans="7:11" ht="14.25" customHeight="1">
      <c r="G41" t="s">
        <v>35</v>
      </c>
      <c r="H41">
        <v>27533000000</v>
      </c>
      <c r="I41">
        <v>3496180000</v>
      </c>
      <c r="J41" s="152">
        <f ca="1">I41/H41</f>
        <v>0.12698144045327425</v>
      </c>
    </row>
    <row r="42" spans="7:11" ht="14.25" customHeight="1">
      <c r="G42" t="s">
        <v>14</v>
      </c>
      <c r="H42">
        <v>1440000000</v>
      </c>
      <c r="I42">
        <v>216000000</v>
      </c>
      <c r="J42" s="152">
        <f ca="1">I42/H42</f>
        <v>0.15</v>
      </c>
    </row>
    <row r="43" spans="7:11" ht="14.25" customHeight="1">
      <c r="G43" t="s">
        <v>39</v>
      </c>
      <c r="H43">
        <v>1080000000</v>
      </c>
      <c r="I43">
        <v>144000000</v>
      </c>
      <c r="J43" s="152">
        <f ca="1">I43/H43</f>
        <v>0.13333333333333333</v>
      </c>
    </row>
    <row r="44" spans="7:11" ht="14.25" customHeight="1">
      <c r="G44" t="s">
        <v>11</v>
      </c>
      <c r="H44">
        <v>4044000000</v>
      </c>
      <c r="I44">
        <v>593880000</v>
      </c>
      <c r="J44" s="152">
        <f ca="1">I44/H44</f>
        <v>0.1468545994065282</v>
      </c>
    </row>
    <row r="45" spans="7:11" ht="14.25" customHeight="1">
      <c r="G45" t="s">
        <v>65</v>
      </c>
      <c r="H45">
        <v>10215000000</v>
      </c>
      <c r="I45">
        <v>1225800000</v>
      </c>
      <c r="J45" s="152">
        <f ca="1">I45/H45</f>
        <v>0.12</v>
      </c>
    </row>
    <row r="46" spans="7:11" ht="14.25" customHeight="1">
      <c r="G46" t="s">
        <v>110</v>
      </c>
      <c r="H46">
        <v>2760000000</v>
      </c>
      <c r="I46">
        <v>414000000</v>
      </c>
      <c r="J46" s="152">
        <f ca="1">I46/H46</f>
        <v>0.15</v>
      </c>
    </row>
    <row r="47" spans="7:11" ht="14.25" customHeight="1">
      <c r="G47" t="s">
        <v>59</v>
      </c>
      <c r="H47">
        <v>10920000000</v>
      </c>
      <c r="I47">
        <v>1310400000</v>
      </c>
      <c r="J47" s="152">
        <f ca="1">I47/H47</f>
        <v>0.12</v>
      </c>
    </row>
    <row r="48" spans="7:11" ht="14.25" customHeight="1">
      <c r="G48" t="s">
        <v>26</v>
      </c>
      <c r="H48">
        <v>625000000</v>
      </c>
      <c r="I48">
        <v>156250000</v>
      </c>
      <c r="J48" s="152">
        <f ca="1">I48/H48</f>
        <v>0.25</v>
      </c>
    </row>
    <row r="49" spans="7:11" ht="14.25" customHeight="1">
      <c r="G49" t="s">
        <v>7</v>
      </c>
      <c r="H49">
        <v>120000000</v>
      </c>
      <c r="I49">
        <v>30000000</v>
      </c>
      <c r="J49" s="152">
        <f ca="1">I49/H49</f>
        <v>0.25</v>
      </c>
    </row>
    <row r="50" spans="7:11" ht="14.25" customHeight="1">
      <c r="G50" t="s">
        <v>18</v>
      </c>
      <c r="H50">
        <v>1800000000</v>
      </c>
      <c r="I50">
        <v>540000000</v>
      </c>
      <c r="J50" s="152">
        <f ca="1">I50/H50</f>
        <v>0.3</v>
      </c>
    </row>
    <row r="51" spans="7:11" ht="14.25" customHeight="1">
      <c r="G51" t="s">
        <v>22</v>
      </c>
      <c r="H51">
        <v>518408000000</v>
      </c>
      <c r="I51">
        <v>67658720000</v>
      </c>
      <c r="J51" s="152">
        <f ca="1">I51/H51</f>
        <v>0.13051249209117144</v>
      </c>
    </row>
  </sheetData>
  <printOptions/>
  <pageMargins left="0.7" right="0.7" top="0.75" bottom="0.75" header="0.3" footer="0.3"/>
  <pageSetup horizontalDpi="600" verticalDpi="6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2022-04-02T06:00:53Z</dcterms:modified>
  <cp:category/>
</cp:coreProperties>
</file>