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480" windowHeight="7515" tabRatio="883" firstSheet="259" activeTab="274"/>
  </bookViews>
  <sheets>
    <sheet name="0104" sheetId="32" state="hidden" r:id="rId1"/>
    <sheet name="0204" sheetId="33" state="hidden" r:id="rId2"/>
    <sheet name="0304" sheetId="34" state="hidden" r:id="rId3"/>
    <sheet name="0404" sheetId="35" state="hidden" r:id="rId4"/>
    <sheet name="0504" sheetId="36" state="hidden" r:id="rId5"/>
    <sheet name="0604" sheetId="38" state="hidden" r:id="rId6"/>
    <sheet name="0704" sheetId="39" state="hidden" r:id="rId7"/>
    <sheet name="0804" sheetId="40" state="hidden" r:id="rId8"/>
    <sheet name="0904" sheetId="41" state="hidden" r:id="rId9"/>
    <sheet name="1004" sheetId="42" state="hidden" r:id="rId10"/>
    <sheet name="1104" sheetId="43" state="hidden" r:id="rId11"/>
    <sheet name="1204" sheetId="44" state="hidden" r:id="rId12"/>
    <sheet name="1304" sheetId="45" state="hidden" r:id="rId13"/>
    <sheet name="1404" sheetId="46" state="hidden" r:id="rId14"/>
    <sheet name="1504" sheetId="47" state="hidden" r:id="rId15"/>
    <sheet name="1604" sheetId="48" state="hidden" r:id="rId16"/>
    <sheet name="1704" sheetId="49" state="hidden" r:id="rId17"/>
    <sheet name="1804" sheetId="50" state="hidden" r:id="rId18"/>
    <sheet name="1904" sheetId="51" state="hidden" r:id="rId19"/>
    <sheet name="2004" sheetId="52" state="hidden" r:id="rId20"/>
    <sheet name="2104" sheetId="53" state="hidden" r:id="rId21"/>
    <sheet name="2204" sheetId="54" state="hidden" r:id="rId22"/>
    <sheet name="2304" sheetId="55" state="hidden" r:id="rId23"/>
    <sheet name="2404" sheetId="56" state="hidden" r:id="rId24"/>
    <sheet name="2504" sheetId="57" state="hidden" r:id="rId25"/>
    <sheet name="2604" sheetId="58" state="hidden" r:id="rId26"/>
    <sheet name="2704" sheetId="59" state="hidden" r:id="rId27"/>
    <sheet name="2804" sheetId="60" state="hidden" r:id="rId28"/>
    <sheet name="2904" sheetId="61" state="hidden" r:id="rId29"/>
    <sheet name="3004" sheetId="62" state="hidden" r:id="rId30"/>
    <sheet name="0105" sheetId="64" state="hidden" r:id="rId31"/>
    <sheet name="0205" sheetId="65" state="hidden" r:id="rId32"/>
    <sheet name="0305" sheetId="66" state="hidden" r:id="rId33"/>
    <sheet name="0405" sheetId="67" state="hidden" r:id="rId34"/>
    <sheet name="0505" sheetId="68" state="hidden" r:id="rId35"/>
    <sheet name="0605" sheetId="69" state="hidden" r:id="rId36"/>
    <sheet name="0705" sheetId="70" state="hidden" r:id="rId37"/>
    <sheet name="08.05" sheetId="71" state="hidden" r:id="rId38"/>
    <sheet name="09.05" sheetId="73" state="hidden" r:id="rId39"/>
    <sheet name="1005" sheetId="74" state="hidden" r:id="rId40"/>
    <sheet name="1105" sheetId="75" state="hidden" r:id="rId41"/>
    <sheet name="1205" sheetId="77" state="hidden" r:id="rId42"/>
    <sheet name="1305" sheetId="79" state="hidden" r:id="rId43"/>
    <sheet name="1405" sheetId="80" state="hidden" r:id="rId44"/>
    <sheet name="1505" sheetId="81" state="hidden" r:id="rId45"/>
    <sheet name="1605" sheetId="82" state="hidden" r:id="rId46"/>
    <sheet name="1705" sheetId="83" state="hidden" r:id="rId47"/>
    <sheet name="1805" sheetId="84" state="hidden" r:id="rId48"/>
    <sheet name="1905" sheetId="85" state="hidden" r:id="rId49"/>
    <sheet name="2005" sheetId="86" state="hidden" r:id="rId50"/>
    <sheet name="2105" sheetId="87" state="hidden" r:id="rId51"/>
    <sheet name="2205" sheetId="88" state="hidden" r:id="rId52"/>
    <sheet name="2305" sheetId="89" state="hidden" r:id="rId53"/>
    <sheet name="2405" sheetId="90" state="hidden" r:id="rId54"/>
    <sheet name="2505" sheetId="91" state="hidden" r:id="rId55"/>
    <sheet name="2605" sheetId="92" state="hidden" r:id="rId56"/>
    <sheet name="2705" sheetId="93" state="hidden" r:id="rId57"/>
    <sheet name="2805" sheetId="94" state="hidden" r:id="rId58"/>
    <sheet name="2905" sheetId="95" state="hidden" r:id="rId59"/>
    <sheet name="3005" sheetId="96" state="hidden" r:id="rId60"/>
    <sheet name="3105" sheetId="97" state="hidden" r:id="rId61"/>
    <sheet name="0106" sheetId="98" state="hidden" r:id="rId62"/>
    <sheet name="0206" sheetId="99" state="hidden" r:id="rId63"/>
    <sheet name="0306" sheetId="100" state="hidden" r:id="rId64"/>
    <sheet name="0406" sheetId="101" state="hidden" r:id="rId65"/>
    <sheet name="0506" sheetId="102" state="hidden" r:id="rId66"/>
    <sheet name="0606" sheetId="103" state="hidden" r:id="rId67"/>
    <sheet name="0706" sheetId="104" state="hidden" r:id="rId68"/>
    <sheet name="0806" sheetId="105" state="hidden" r:id="rId69"/>
    <sheet name="0906" sheetId="106" state="hidden" r:id="rId70"/>
    <sheet name="1006" sheetId="107" state="hidden" r:id="rId71"/>
    <sheet name="1106" sheetId="108" state="hidden" r:id="rId72"/>
    <sheet name="1206" sheetId="109" state="hidden" r:id="rId73"/>
    <sheet name="1306" sheetId="110" state="hidden" r:id="rId74"/>
    <sheet name="1406" sheetId="111" state="hidden" r:id="rId75"/>
    <sheet name="1506" sheetId="112" state="hidden" r:id="rId76"/>
    <sheet name="1606" sheetId="113" state="hidden" r:id="rId77"/>
    <sheet name="1706" sheetId="114" state="hidden" r:id="rId78"/>
    <sheet name="1806" sheetId="115" state="hidden" r:id="rId79"/>
    <sheet name="1906" sheetId="116" state="hidden" r:id="rId80"/>
    <sheet name="2006" sheetId="117" state="hidden" r:id="rId81"/>
    <sheet name="2106" sheetId="118" state="hidden" r:id="rId82"/>
    <sheet name="2206" sheetId="119" state="hidden" r:id="rId83"/>
    <sheet name="2306" sheetId="120" state="hidden" r:id="rId84"/>
    <sheet name="2406" sheetId="121" state="hidden" r:id="rId85"/>
    <sheet name="2506" sheetId="122" state="hidden" r:id="rId86"/>
    <sheet name="2606" sheetId="123" state="hidden" r:id="rId87"/>
    <sheet name="2706" sheetId="124" state="hidden" r:id="rId88"/>
    <sheet name="2806" sheetId="125" state="hidden" r:id="rId89"/>
    <sheet name="2906" sheetId="126" state="hidden" r:id="rId90"/>
    <sheet name="3006" sheetId="127" state="hidden" r:id="rId91"/>
    <sheet name="0107" sheetId="128" state="hidden" r:id="rId92"/>
    <sheet name="0207" sheetId="129" state="hidden" r:id="rId93"/>
    <sheet name="0307" sheetId="130" state="hidden" r:id="rId94"/>
    <sheet name="0407" sheetId="131" state="hidden" r:id="rId95"/>
    <sheet name="0507" sheetId="132" state="hidden" r:id="rId96"/>
    <sheet name="0607" sheetId="133" state="hidden" r:id="rId97"/>
    <sheet name="0707" sheetId="134" state="hidden" r:id="rId98"/>
    <sheet name="0807" sheetId="135" state="hidden" r:id="rId99"/>
    <sheet name="0907" sheetId="136" state="hidden" r:id="rId100"/>
    <sheet name="1007" sheetId="137" state="hidden" r:id="rId101"/>
    <sheet name="1107" sheetId="138" state="hidden" r:id="rId102"/>
    <sheet name="1207" sheetId="139" state="hidden" r:id="rId103"/>
    <sheet name="1307" sheetId="140" state="hidden" r:id="rId104"/>
    <sheet name="1407" sheetId="141" state="hidden" r:id="rId105"/>
    <sheet name="1507" sheetId="142" state="hidden" r:id="rId106"/>
    <sheet name="1607" sheetId="143" state="hidden" r:id="rId107"/>
    <sheet name="1707" sheetId="144" state="hidden" r:id="rId108"/>
    <sheet name="1807" sheetId="145" state="hidden" r:id="rId109"/>
    <sheet name="1907" sheetId="146" state="hidden" r:id="rId110"/>
    <sheet name="2007" sheetId="147" state="hidden" r:id="rId111"/>
    <sheet name="2107" sheetId="148" state="hidden" r:id="rId112"/>
    <sheet name="2207" sheetId="149" state="hidden" r:id="rId113"/>
    <sheet name="2307" sheetId="150" state="hidden" r:id="rId114"/>
    <sheet name="2407" sheetId="151" state="hidden" r:id="rId115"/>
    <sheet name="2507" sheetId="153" state="hidden" r:id="rId116"/>
    <sheet name="2607" sheetId="154" state="hidden" r:id="rId117"/>
    <sheet name="2707" sheetId="155" state="hidden" r:id="rId118"/>
    <sheet name="2807" sheetId="157" state="hidden" r:id="rId119"/>
    <sheet name="2907" sheetId="158" state="hidden" r:id="rId120"/>
    <sheet name="3007" sheetId="159" state="hidden" r:id="rId121"/>
    <sheet name="3107" sheetId="160" state="hidden" r:id="rId122"/>
    <sheet name="0108" sheetId="161" state="hidden" r:id="rId123"/>
    <sheet name="0208" sheetId="162" state="hidden" r:id="rId124"/>
    <sheet name="0308" sheetId="163" state="hidden" r:id="rId125"/>
    <sheet name="0408" sheetId="164" state="hidden" r:id="rId126"/>
    <sheet name="0508" sheetId="165" state="hidden" r:id="rId127"/>
    <sheet name="0608" sheetId="166" state="hidden" r:id="rId128"/>
    <sheet name="0708" sheetId="167" state="hidden" r:id="rId129"/>
    <sheet name="0808" sheetId="168" state="hidden" r:id="rId130"/>
    <sheet name="0908" sheetId="169" state="hidden" r:id="rId131"/>
    <sheet name="1008" sheetId="170" state="hidden" r:id="rId132"/>
    <sheet name="1108" sheetId="171" state="hidden" r:id="rId133"/>
    <sheet name="1208" sheetId="172" state="hidden" r:id="rId134"/>
    <sheet name="1308" sheetId="173" state="hidden" r:id="rId135"/>
    <sheet name="1408" sheetId="174" state="hidden" r:id="rId136"/>
    <sheet name="1508" sheetId="175" state="hidden" r:id="rId137"/>
    <sheet name="1608" sheetId="176" state="hidden" r:id="rId138"/>
    <sheet name="1708" sheetId="177" state="hidden" r:id="rId139"/>
    <sheet name="1808" sheetId="178" state="hidden" r:id="rId140"/>
    <sheet name="1908" sheetId="179" state="hidden" r:id="rId141"/>
    <sheet name="2008" sheetId="180" state="hidden" r:id="rId142"/>
    <sheet name="2108" sheetId="181" state="hidden" r:id="rId143"/>
    <sheet name="2208" sheetId="182" state="hidden" r:id="rId144"/>
    <sheet name="2308" sheetId="183" state="hidden" r:id="rId145"/>
    <sheet name="2408" sheetId="184" state="hidden" r:id="rId146"/>
    <sheet name="2508" sheetId="185" state="hidden" r:id="rId147"/>
    <sheet name="2608" sheetId="186" state="hidden" r:id="rId148"/>
    <sheet name="2708" sheetId="187" state="hidden" r:id="rId149"/>
    <sheet name="2808" sheetId="188" state="hidden" r:id="rId150"/>
    <sheet name="2908" sheetId="189" state="hidden" r:id="rId151"/>
    <sheet name="3008" sheetId="190" state="hidden" r:id="rId152"/>
    <sheet name="3108" sheetId="191" state="hidden" r:id="rId153"/>
    <sheet name="0109" sheetId="192" state="hidden" r:id="rId154"/>
    <sheet name="0209" sheetId="193" state="hidden" r:id="rId155"/>
    <sheet name="0309" sheetId="194" state="hidden" r:id="rId156"/>
    <sheet name="0409" sheetId="195" state="hidden" r:id="rId157"/>
    <sheet name="0509" sheetId="196" state="hidden" r:id="rId158"/>
    <sheet name="0609" sheetId="197" state="hidden" r:id="rId159"/>
    <sheet name="0709" sheetId="198" state="hidden" r:id="rId160"/>
    <sheet name="0809" sheetId="199" state="hidden" r:id="rId161"/>
    <sheet name="0909" sheetId="200" state="hidden" r:id="rId162"/>
    <sheet name="1009" sheetId="201" state="hidden" r:id="rId163"/>
    <sheet name="1109" sheetId="202" state="hidden" r:id="rId164"/>
    <sheet name="1209" sheetId="204" state="hidden" r:id="rId165"/>
    <sheet name="1309" sheetId="205" state="hidden" r:id="rId166"/>
    <sheet name="1409" sheetId="206" state="hidden" r:id="rId167"/>
    <sheet name="1509" sheetId="207" state="hidden" r:id="rId168"/>
    <sheet name="1609" sheetId="208" state="hidden" r:id="rId169"/>
    <sheet name="1709" sheetId="209" state="hidden" r:id="rId170"/>
    <sheet name="1809" sheetId="210" state="hidden" r:id="rId171"/>
    <sheet name="1909" sheetId="211" state="hidden" r:id="rId172"/>
    <sheet name="2009" sheetId="212" state="hidden" r:id="rId173"/>
    <sheet name="2109" sheetId="213" state="hidden" r:id="rId174"/>
    <sheet name="2209" sheetId="214" state="hidden" r:id="rId175"/>
    <sheet name="2309" sheetId="215" state="hidden" r:id="rId176"/>
    <sheet name="2409" sheetId="216" state="hidden" r:id="rId177"/>
    <sheet name="2509" sheetId="217" state="hidden" r:id="rId178"/>
    <sheet name="2609" sheetId="218" state="hidden" r:id="rId179"/>
    <sheet name="2709" sheetId="219" state="hidden" r:id="rId180"/>
    <sheet name="2809" sheetId="220" state="hidden" r:id="rId181"/>
    <sheet name="2909" sheetId="221" state="hidden" r:id="rId182"/>
    <sheet name="3009" sheetId="222" state="hidden" r:id="rId183"/>
    <sheet name="0110" sheetId="223" state="hidden" r:id="rId184"/>
    <sheet name="0210" sheetId="224" state="hidden" r:id="rId185"/>
    <sheet name="0310" sheetId="225" state="hidden" r:id="rId186"/>
    <sheet name="0410" sheetId="226" state="hidden" r:id="rId187"/>
    <sheet name="0510" sheetId="227" state="hidden" r:id="rId188"/>
    <sheet name="0610" sheetId="228" state="hidden" r:id="rId189"/>
    <sheet name="0710" sheetId="229" state="hidden" r:id="rId190"/>
    <sheet name="0810" sheetId="231" state="hidden" r:id="rId191"/>
    <sheet name="0910" sheetId="232" state="hidden" r:id="rId192"/>
    <sheet name="1010" sheetId="233" state="hidden" r:id="rId193"/>
    <sheet name="1110" sheetId="234" state="hidden" r:id="rId194"/>
    <sheet name="1210" sheetId="235" state="hidden" r:id="rId195"/>
    <sheet name="1310" sheetId="237" state="hidden" r:id="rId196"/>
    <sheet name="1410" sheetId="238" state="hidden" r:id="rId197"/>
    <sheet name="1510" sheetId="239" state="hidden" r:id="rId198"/>
    <sheet name="1610" sheetId="240" state="hidden" r:id="rId199"/>
    <sheet name="1710" sheetId="241" state="hidden" r:id="rId200"/>
    <sheet name="1810" sheetId="242" state="hidden" r:id="rId201"/>
    <sheet name="1910" sheetId="243" state="hidden" r:id="rId202"/>
    <sheet name="2010" sheetId="244" state="hidden" r:id="rId203"/>
    <sheet name="2110" sheetId="245" state="hidden" r:id="rId204"/>
    <sheet name="2210" sheetId="246" state="hidden" r:id="rId205"/>
    <sheet name="2310" sheetId="247" state="hidden" r:id="rId206"/>
    <sheet name="2410" sheetId="248" state="hidden" r:id="rId207"/>
    <sheet name="2510" sheetId="249" state="hidden" r:id="rId208"/>
    <sheet name="2610" sheetId="250" state="hidden" r:id="rId209"/>
    <sheet name="2710" sheetId="251" state="hidden" r:id="rId210"/>
    <sheet name="2810" sheetId="252" state="hidden" r:id="rId211"/>
    <sheet name="2910" sheetId="253" state="hidden" r:id="rId212"/>
    <sheet name="3010" sheetId="254" state="hidden" r:id="rId213"/>
    <sheet name="3110" sheetId="255" state="hidden" r:id="rId214"/>
    <sheet name="0111" sheetId="256" state="hidden" r:id="rId215"/>
    <sheet name="0211" sheetId="257" state="hidden" r:id="rId216"/>
    <sheet name="0311" sheetId="258" state="hidden" r:id="rId217"/>
    <sheet name="0411" sheetId="259" state="hidden" r:id="rId218"/>
    <sheet name="0511" sheetId="260" state="hidden" r:id="rId219"/>
    <sheet name="0611" sheetId="261" state="hidden" r:id="rId220"/>
    <sheet name="0711" sheetId="262" state="hidden" r:id="rId221"/>
    <sheet name="0811" sheetId="263" state="hidden" r:id="rId222"/>
    <sheet name="0911" sheetId="264" state="hidden" r:id="rId223"/>
    <sheet name="1011" sheetId="265" state="hidden" r:id="rId224"/>
    <sheet name="1111" sheetId="266" state="hidden" r:id="rId225"/>
    <sheet name="1211" sheetId="267" state="hidden" r:id="rId226"/>
    <sheet name="1311" sheetId="268" state="hidden" r:id="rId227"/>
    <sheet name="1411" sheetId="269" state="hidden" r:id="rId228"/>
    <sheet name="1511" sheetId="270" state="hidden" r:id="rId229"/>
    <sheet name="1611" sheetId="271" state="hidden" r:id="rId230"/>
    <sheet name="1711" sheetId="272" state="hidden" r:id="rId231"/>
    <sheet name="1811" sheetId="273" state="hidden" r:id="rId232"/>
    <sheet name="1911" sheetId="274" state="hidden" r:id="rId233"/>
    <sheet name="2011" sheetId="275" state="hidden" r:id="rId234"/>
    <sheet name="2111" sheetId="276" state="hidden" r:id="rId235"/>
    <sheet name="2211" sheetId="277" state="hidden" r:id="rId236"/>
    <sheet name="2311" sheetId="278" state="hidden" r:id="rId237"/>
    <sheet name="2411" sheetId="279" state="hidden" r:id="rId238"/>
    <sheet name="2511" sheetId="280" state="hidden" r:id="rId239"/>
    <sheet name="2611" sheetId="281" state="hidden" r:id="rId240"/>
    <sheet name="2711" sheetId="282" state="hidden" r:id="rId241"/>
    <sheet name="2811" sheetId="283" state="hidden" r:id="rId242"/>
    <sheet name="2911" sheetId="284" state="hidden" r:id="rId243"/>
    <sheet name="3011" sheetId="285" state="hidden" r:id="rId244"/>
    <sheet name="Sheet3" sheetId="236" state="hidden" r:id="rId245"/>
    <sheet name="1.6" sheetId="837" r:id="rId246"/>
    <sheet name="2.6" sheetId="838" r:id="rId247"/>
    <sheet name="3.6" sheetId="839" r:id="rId248"/>
    <sheet name="4.6" sheetId="840" r:id="rId249"/>
    <sheet name="5.6" sheetId="841" r:id="rId250"/>
    <sheet name="6.6" sheetId="842" r:id="rId251"/>
    <sheet name="7.6" sheetId="843" r:id="rId252"/>
    <sheet name="8.6" sheetId="844" r:id="rId253"/>
    <sheet name="9.6" sheetId="845" r:id="rId254"/>
    <sheet name="10.6" sheetId="846" r:id="rId255"/>
    <sheet name="11.6" sheetId="847" r:id="rId256"/>
    <sheet name="12.6" sheetId="848" r:id="rId257"/>
    <sheet name="13.6" sheetId="849" r:id="rId258"/>
    <sheet name="14.6" sheetId="850" r:id="rId259"/>
    <sheet name="15.6" sheetId="851" r:id="rId260"/>
    <sheet name="16.6" sheetId="852" r:id="rId261"/>
    <sheet name="17.6" sheetId="853" r:id="rId262"/>
    <sheet name="18.6" sheetId="854" r:id="rId263"/>
    <sheet name="19.6" sheetId="855" r:id="rId264"/>
    <sheet name="20.6" sheetId="856" r:id="rId265"/>
    <sheet name="21.6" sheetId="857" r:id="rId266"/>
    <sheet name="22.6" sheetId="858" r:id="rId267"/>
    <sheet name="23.6" sheetId="859" r:id="rId268"/>
    <sheet name="24.6" sheetId="860" r:id="rId269"/>
    <sheet name="25.6" sheetId="861" r:id="rId270"/>
    <sheet name="26.6" sheetId="862" r:id="rId271"/>
    <sheet name="27.6" sheetId="863" r:id="rId272"/>
    <sheet name="28.6" sheetId="864" r:id="rId273"/>
    <sheet name="29.6" sheetId="865" r:id="rId274"/>
    <sheet name="30.6" sheetId="866" r:id="rId275"/>
    <sheet name="TỔNG" sheetId="800" r:id="rId276"/>
    <sheet name="TỔNG NHẬP" sheetId="780" r:id="rId277"/>
    <sheet name="TỔNG XUẤT" sheetId="781" r:id="rId278"/>
    <sheet name="Sheet2" sheetId="726" r:id="rId279"/>
  </sheets>
  <externalReferences>
    <externalReference r:id="rId280"/>
  </externalReferences>
  <calcPr calcId="144525"/>
</workbook>
</file>

<file path=xl/calcChain.xml><?xml version="1.0" encoding="utf-8"?>
<calcChain xmlns="http://schemas.openxmlformats.org/spreadsheetml/2006/main">
  <c r="AE9" i="781" l="1"/>
  <c r="AF9" i="781"/>
  <c r="AG9" i="781"/>
  <c r="AH9" i="781"/>
  <c r="AE10" i="781"/>
  <c r="AF10" i="781"/>
  <c r="AG10" i="781"/>
  <c r="AH10" i="781"/>
  <c r="AE11" i="781"/>
  <c r="AF11" i="781"/>
  <c r="AG11" i="781"/>
  <c r="AH11" i="781"/>
  <c r="AE12" i="781"/>
  <c r="AF12" i="781"/>
  <c r="AG12" i="781"/>
  <c r="AH12" i="781"/>
  <c r="AE13" i="781"/>
  <c r="AF13" i="781"/>
  <c r="AG13" i="781"/>
  <c r="AE14" i="781"/>
  <c r="AF14" i="781"/>
  <c r="AG14" i="781"/>
  <c r="AH14" i="781"/>
  <c r="AE15" i="781"/>
  <c r="AF15" i="781"/>
  <c r="AG15" i="781"/>
  <c r="AH15" i="781"/>
  <c r="AE16" i="781"/>
  <c r="AF16" i="781"/>
  <c r="AG16" i="781"/>
  <c r="AH16" i="781"/>
  <c r="AE17" i="781"/>
  <c r="AF17" i="781"/>
  <c r="AG17" i="781"/>
  <c r="AH17" i="781"/>
  <c r="AE18" i="781"/>
  <c r="AF18" i="781"/>
  <c r="AG18" i="781"/>
  <c r="AH18" i="781"/>
  <c r="AE19" i="781"/>
  <c r="AF19" i="781"/>
  <c r="AG19" i="781"/>
  <c r="AH19" i="781"/>
  <c r="AE20" i="781"/>
  <c r="AF20" i="781"/>
  <c r="AG20" i="781"/>
  <c r="AH20" i="781"/>
  <c r="AE21" i="781"/>
  <c r="AF21" i="781"/>
  <c r="AG21" i="781"/>
  <c r="AH21" i="781"/>
  <c r="AE22" i="781"/>
  <c r="AF22" i="781"/>
  <c r="AG22" i="781"/>
  <c r="AH22" i="781"/>
  <c r="AE23" i="781"/>
  <c r="AF23" i="781"/>
  <c r="AG23" i="781"/>
  <c r="AH23" i="781"/>
  <c r="AE24" i="781"/>
  <c r="AF24" i="781"/>
  <c r="AG24" i="781"/>
  <c r="AH24" i="781"/>
  <c r="AE25" i="781"/>
  <c r="AF25" i="781"/>
  <c r="AG25" i="781"/>
  <c r="AH25" i="781"/>
  <c r="AE26" i="781"/>
  <c r="AF26" i="781"/>
  <c r="AG26" i="781"/>
  <c r="AH26" i="781"/>
  <c r="AE27" i="781"/>
  <c r="AF27" i="781"/>
  <c r="AG27" i="781"/>
  <c r="AH27" i="781"/>
  <c r="AH8" i="781"/>
  <c r="AG8" i="781"/>
  <c r="AF8" i="781"/>
  <c r="AE8" i="781"/>
  <c r="AE9" i="780"/>
  <c r="AF9" i="780"/>
  <c r="AG9" i="780"/>
  <c r="AH9" i="780"/>
  <c r="AE10" i="780"/>
  <c r="AF10" i="780"/>
  <c r="AG10" i="780"/>
  <c r="AH10" i="780"/>
  <c r="AE11" i="780"/>
  <c r="AF11" i="780"/>
  <c r="AG11" i="780"/>
  <c r="AH11" i="780"/>
  <c r="AE12" i="780"/>
  <c r="AF12" i="780"/>
  <c r="AG12" i="780"/>
  <c r="AH12" i="780"/>
  <c r="AE13" i="780"/>
  <c r="AF13" i="780"/>
  <c r="AG13" i="780"/>
  <c r="AH13" i="780"/>
  <c r="AE14" i="780"/>
  <c r="AF14" i="780"/>
  <c r="AG14" i="780"/>
  <c r="AH14" i="780"/>
  <c r="AE15" i="780"/>
  <c r="AF15" i="780"/>
  <c r="AG15" i="780"/>
  <c r="AH15" i="780"/>
  <c r="AE16" i="780"/>
  <c r="AF16" i="780"/>
  <c r="AG16" i="780"/>
  <c r="AH16" i="780"/>
  <c r="AE17" i="780"/>
  <c r="AF17" i="780"/>
  <c r="AG17" i="780"/>
  <c r="AH17" i="780"/>
  <c r="AE18" i="780"/>
  <c r="AF18" i="780"/>
  <c r="AG18" i="780"/>
  <c r="AH18" i="780"/>
  <c r="AE19" i="780"/>
  <c r="AF19" i="780"/>
  <c r="AG19" i="780"/>
  <c r="AH19" i="780"/>
  <c r="AE20" i="780"/>
  <c r="AF20" i="780"/>
  <c r="AG20" i="780"/>
  <c r="AH20" i="780"/>
  <c r="AE21" i="780"/>
  <c r="AF21" i="780"/>
  <c r="AG21" i="780"/>
  <c r="AH21" i="780"/>
  <c r="AE22" i="780"/>
  <c r="AF22" i="780"/>
  <c r="AG22" i="780"/>
  <c r="AH22" i="780"/>
  <c r="AE23" i="780"/>
  <c r="AF23" i="780"/>
  <c r="AG23" i="780"/>
  <c r="AH23" i="780"/>
  <c r="AE24" i="780"/>
  <c r="AF24" i="780"/>
  <c r="AG24" i="780"/>
  <c r="AH24" i="780"/>
  <c r="AE25" i="780"/>
  <c r="AF25" i="780"/>
  <c r="AG25" i="780"/>
  <c r="AH25" i="780"/>
  <c r="AE26" i="780"/>
  <c r="AF26" i="780"/>
  <c r="AG26" i="780"/>
  <c r="AH26" i="780"/>
  <c r="AE27" i="780"/>
  <c r="AF27" i="780"/>
  <c r="AG27" i="780"/>
  <c r="AH27" i="780"/>
  <c r="AH8" i="780"/>
  <c r="AG8" i="780"/>
  <c r="AF8" i="780"/>
  <c r="AE8" i="780"/>
  <c r="E9" i="800"/>
  <c r="F9" i="800"/>
  <c r="G9" i="800"/>
  <c r="H9" i="800"/>
  <c r="I9" i="800"/>
  <c r="J9" i="800"/>
  <c r="K9" i="800"/>
  <c r="L9" i="800"/>
  <c r="M9" i="800"/>
  <c r="N9" i="800"/>
  <c r="O9" i="800"/>
  <c r="P9" i="800"/>
  <c r="Q9" i="800"/>
  <c r="R9" i="800"/>
  <c r="S9" i="800"/>
  <c r="E10" i="800"/>
  <c r="F10" i="800"/>
  <c r="G10" i="800"/>
  <c r="H10" i="800"/>
  <c r="I10" i="800"/>
  <c r="J10" i="800"/>
  <c r="K10" i="800"/>
  <c r="L10" i="800"/>
  <c r="M10" i="800"/>
  <c r="N10" i="800"/>
  <c r="O10" i="800"/>
  <c r="P10" i="800"/>
  <c r="Q10" i="800"/>
  <c r="R10" i="800"/>
  <c r="S10" i="800"/>
  <c r="E11" i="800"/>
  <c r="F11" i="800"/>
  <c r="G11" i="800"/>
  <c r="H11" i="800"/>
  <c r="I11" i="800"/>
  <c r="J11" i="800"/>
  <c r="K11" i="800"/>
  <c r="L11" i="800"/>
  <c r="M11" i="800"/>
  <c r="N11" i="800"/>
  <c r="O11" i="800"/>
  <c r="P11" i="800"/>
  <c r="Q11" i="800"/>
  <c r="R11" i="800"/>
  <c r="S11" i="800"/>
  <c r="E12" i="800"/>
  <c r="F12" i="800"/>
  <c r="G12" i="800"/>
  <c r="H12" i="800"/>
  <c r="I12" i="800"/>
  <c r="J12" i="800"/>
  <c r="K12" i="800"/>
  <c r="L12" i="800"/>
  <c r="M12" i="800"/>
  <c r="N12" i="800"/>
  <c r="O12" i="800"/>
  <c r="P12" i="800"/>
  <c r="Q12" i="800"/>
  <c r="R12" i="800"/>
  <c r="S12" i="800"/>
  <c r="E13" i="800"/>
  <c r="F13" i="800"/>
  <c r="G13" i="800"/>
  <c r="H13" i="800"/>
  <c r="I13" i="800"/>
  <c r="J13" i="800"/>
  <c r="K13" i="800"/>
  <c r="L13" i="800"/>
  <c r="M13" i="800"/>
  <c r="N13" i="800"/>
  <c r="O13" i="800"/>
  <c r="P13" i="800"/>
  <c r="Q13" i="800"/>
  <c r="R13" i="800"/>
  <c r="S13" i="800"/>
  <c r="E14" i="800"/>
  <c r="F14" i="800"/>
  <c r="G14" i="800"/>
  <c r="H14" i="800"/>
  <c r="I14" i="800"/>
  <c r="J14" i="800"/>
  <c r="K14" i="800"/>
  <c r="L14" i="800"/>
  <c r="M14" i="800"/>
  <c r="N14" i="800"/>
  <c r="O14" i="800"/>
  <c r="P14" i="800"/>
  <c r="Q14" i="800"/>
  <c r="R14" i="800"/>
  <c r="S14" i="800"/>
  <c r="E15" i="800"/>
  <c r="F15" i="800"/>
  <c r="G15" i="800"/>
  <c r="H15" i="800"/>
  <c r="I15" i="800"/>
  <c r="J15" i="800"/>
  <c r="K15" i="800"/>
  <c r="L15" i="800"/>
  <c r="M15" i="800"/>
  <c r="N15" i="800"/>
  <c r="O15" i="800"/>
  <c r="P15" i="800"/>
  <c r="Q15" i="800"/>
  <c r="R15" i="800"/>
  <c r="S15" i="800"/>
  <c r="E16" i="800"/>
  <c r="F16" i="800"/>
  <c r="G16" i="800"/>
  <c r="H16" i="800"/>
  <c r="I16" i="800"/>
  <c r="J16" i="800"/>
  <c r="K16" i="800"/>
  <c r="L16" i="800"/>
  <c r="M16" i="800"/>
  <c r="N16" i="800"/>
  <c r="O16" i="800"/>
  <c r="P16" i="800"/>
  <c r="Q16" i="800"/>
  <c r="R16" i="800"/>
  <c r="S16" i="800"/>
  <c r="E17" i="800"/>
  <c r="F17" i="800"/>
  <c r="G17" i="800"/>
  <c r="H17" i="800"/>
  <c r="I17" i="800"/>
  <c r="J17" i="800"/>
  <c r="K17" i="800"/>
  <c r="L17" i="800"/>
  <c r="M17" i="800"/>
  <c r="N17" i="800"/>
  <c r="O17" i="800"/>
  <c r="P17" i="800"/>
  <c r="Q17" i="800"/>
  <c r="R17" i="800"/>
  <c r="S17" i="800"/>
  <c r="E18" i="800"/>
  <c r="F18" i="800"/>
  <c r="G18" i="800"/>
  <c r="H18" i="800"/>
  <c r="I18" i="800"/>
  <c r="J18" i="800"/>
  <c r="K18" i="800"/>
  <c r="L18" i="800"/>
  <c r="M18" i="800"/>
  <c r="N18" i="800"/>
  <c r="O18" i="800"/>
  <c r="P18" i="800"/>
  <c r="Q18" i="800"/>
  <c r="R18" i="800"/>
  <c r="S18" i="800"/>
  <c r="E19" i="800"/>
  <c r="F19" i="800"/>
  <c r="G19" i="800"/>
  <c r="H19" i="800"/>
  <c r="I19" i="800"/>
  <c r="J19" i="800"/>
  <c r="K19" i="800"/>
  <c r="L19" i="800"/>
  <c r="M19" i="800"/>
  <c r="N19" i="800"/>
  <c r="O19" i="800"/>
  <c r="P19" i="800"/>
  <c r="Q19" i="800"/>
  <c r="R19" i="800"/>
  <c r="S19" i="800"/>
  <c r="E20" i="800"/>
  <c r="F20" i="800"/>
  <c r="G20" i="800"/>
  <c r="H20" i="800"/>
  <c r="I20" i="800"/>
  <c r="J20" i="800"/>
  <c r="K20" i="800"/>
  <c r="L20" i="800"/>
  <c r="M20" i="800"/>
  <c r="N20" i="800"/>
  <c r="O20" i="800"/>
  <c r="P20" i="800"/>
  <c r="Q20" i="800"/>
  <c r="R20" i="800"/>
  <c r="S20" i="800"/>
  <c r="E21" i="800"/>
  <c r="F21" i="800"/>
  <c r="G21" i="800"/>
  <c r="H21" i="800"/>
  <c r="I21" i="800"/>
  <c r="J21" i="800"/>
  <c r="K21" i="800"/>
  <c r="L21" i="800"/>
  <c r="M21" i="800"/>
  <c r="N21" i="800"/>
  <c r="O21" i="800"/>
  <c r="P21" i="800"/>
  <c r="Q21" i="800"/>
  <c r="R21" i="800"/>
  <c r="S21" i="800"/>
  <c r="E22" i="800"/>
  <c r="F22" i="800"/>
  <c r="G22" i="800"/>
  <c r="H22" i="800"/>
  <c r="I22" i="800"/>
  <c r="J22" i="800"/>
  <c r="K22" i="800"/>
  <c r="L22" i="800"/>
  <c r="M22" i="800"/>
  <c r="N22" i="800"/>
  <c r="O22" i="800"/>
  <c r="P22" i="800"/>
  <c r="Q22" i="800"/>
  <c r="R22" i="800"/>
  <c r="S22" i="800"/>
  <c r="E23" i="800"/>
  <c r="F23" i="800"/>
  <c r="G23" i="800"/>
  <c r="H23" i="800"/>
  <c r="I23" i="800"/>
  <c r="J23" i="800"/>
  <c r="K23" i="800"/>
  <c r="L23" i="800"/>
  <c r="M23" i="800"/>
  <c r="N23" i="800"/>
  <c r="O23" i="800"/>
  <c r="P23" i="800"/>
  <c r="Q23" i="800"/>
  <c r="R23" i="800"/>
  <c r="S23" i="800"/>
  <c r="E24" i="800"/>
  <c r="F24" i="800"/>
  <c r="G24" i="800"/>
  <c r="H24" i="800"/>
  <c r="I24" i="800"/>
  <c r="J24" i="800"/>
  <c r="K24" i="800"/>
  <c r="L24" i="800"/>
  <c r="M24" i="800"/>
  <c r="N24" i="800"/>
  <c r="O24" i="800"/>
  <c r="P24" i="800"/>
  <c r="Q24" i="800"/>
  <c r="R24" i="800"/>
  <c r="S24" i="800"/>
  <c r="E25" i="800"/>
  <c r="F25" i="800"/>
  <c r="G25" i="800"/>
  <c r="H25" i="800"/>
  <c r="I25" i="800"/>
  <c r="J25" i="800"/>
  <c r="K25" i="800"/>
  <c r="L25" i="800"/>
  <c r="M25" i="800"/>
  <c r="N25" i="800"/>
  <c r="O25" i="800"/>
  <c r="P25" i="800"/>
  <c r="Q25" i="800"/>
  <c r="R25" i="800"/>
  <c r="S25" i="800"/>
  <c r="E26" i="800"/>
  <c r="F26" i="800"/>
  <c r="G26" i="800"/>
  <c r="H26" i="800"/>
  <c r="I26" i="800"/>
  <c r="J26" i="800"/>
  <c r="K26" i="800"/>
  <c r="L26" i="800"/>
  <c r="M26" i="800"/>
  <c r="N26" i="800"/>
  <c r="O26" i="800"/>
  <c r="P26" i="800"/>
  <c r="Q26" i="800"/>
  <c r="R26" i="800"/>
  <c r="S26" i="800"/>
  <c r="E27" i="800"/>
  <c r="F27" i="800"/>
  <c r="G27" i="800"/>
  <c r="H27" i="800"/>
  <c r="I27" i="800"/>
  <c r="J27" i="800"/>
  <c r="K27" i="800"/>
  <c r="L27" i="800"/>
  <c r="M27" i="800"/>
  <c r="N27" i="800"/>
  <c r="O27" i="800"/>
  <c r="P27" i="800"/>
  <c r="Q27" i="800"/>
  <c r="R27" i="800"/>
  <c r="S27" i="800"/>
  <c r="F8" i="800"/>
  <c r="G8" i="800"/>
  <c r="H8" i="800"/>
  <c r="I8" i="800"/>
  <c r="J8" i="800"/>
  <c r="K8" i="800"/>
  <c r="L8" i="800"/>
  <c r="M8" i="800"/>
  <c r="N8" i="800"/>
  <c r="O8" i="800"/>
  <c r="P8" i="800"/>
  <c r="Q8" i="800"/>
  <c r="R8" i="800"/>
  <c r="S8" i="800"/>
  <c r="E8" i="800"/>
  <c r="D9" i="866"/>
  <c r="D10" i="866"/>
  <c r="D11" i="866"/>
  <c r="D12" i="866"/>
  <c r="D13" i="866"/>
  <c r="D14" i="866"/>
  <c r="D15" i="866"/>
  <c r="D16" i="866"/>
  <c r="D17" i="866"/>
  <c r="D18" i="866"/>
  <c r="D19" i="866"/>
  <c r="D20" i="866"/>
  <c r="D21" i="866"/>
  <c r="D22" i="866"/>
  <c r="D23" i="866"/>
  <c r="D24" i="866"/>
  <c r="D25" i="866"/>
  <c r="D26" i="866"/>
  <c r="D8" i="866"/>
  <c r="D5" i="866" l="1"/>
  <c r="D5" i="841" l="1"/>
  <c r="E30" i="866" l="1"/>
  <c r="V29" i="866"/>
  <c r="X29" i="866" s="1"/>
  <c r="U29" i="866"/>
  <c r="V28" i="866"/>
  <c r="X28" i="866" s="1"/>
  <c r="U28" i="866"/>
  <c r="V27" i="866"/>
  <c r="X27" i="866" s="1"/>
  <c r="U27" i="866"/>
  <c r="U26" i="866"/>
  <c r="V26" i="866"/>
  <c r="X26" i="866" s="1"/>
  <c r="U25" i="866"/>
  <c r="V25" i="866"/>
  <c r="X25" i="866" s="1"/>
  <c r="U24" i="866"/>
  <c r="V24" i="866"/>
  <c r="X24" i="866" s="1"/>
  <c r="U23" i="866"/>
  <c r="V23" i="866"/>
  <c r="X23" i="866" s="1"/>
  <c r="U22" i="866"/>
  <c r="V22" i="866"/>
  <c r="X22" i="866" s="1"/>
  <c r="U21" i="866"/>
  <c r="V21" i="866"/>
  <c r="X21" i="866" s="1"/>
  <c r="U20" i="866"/>
  <c r="V20" i="866"/>
  <c r="X20" i="866" s="1"/>
  <c r="U19" i="866"/>
  <c r="V19" i="866"/>
  <c r="X19" i="866" s="1"/>
  <c r="U18" i="866"/>
  <c r="V18" i="866"/>
  <c r="X18" i="866" s="1"/>
  <c r="U17" i="866"/>
  <c r="V17" i="866"/>
  <c r="X17" i="866" s="1"/>
  <c r="U16" i="866"/>
  <c r="V16" i="866"/>
  <c r="X16" i="866" s="1"/>
  <c r="U15" i="866"/>
  <c r="V15" i="866"/>
  <c r="X15" i="866" s="1"/>
  <c r="U14" i="866"/>
  <c r="V14" i="866"/>
  <c r="X14" i="866" s="1"/>
  <c r="U13" i="866"/>
  <c r="AH13" i="781" s="1"/>
  <c r="V13" i="866"/>
  <c r="X13" i="866" s="1"/>
  <c r="U12" i="866"/>
  <c r="V12" i="866"/>
  <c r="X12" i="866" s="1"/>
  <c r="U11" i="866"/>
  <c r="V11" i="866"/>
  <c r="X11" i="866" s="1"/>
  <c r="U10" i="866"/>
  <c r="V10" i="866"/>
  <c r="X10" i="866" s="1"/>
  <c r="U9" i="866"/>
  <c r="V9" i="866"/>
  <c r="X9" i="866" s="1"/>
  <c r="U8" i="866"/>
  <c r="V8" i="866"/>
  <c r="X8" i="866" s="1"/>
  <c r="E5" i="866"/>
  <c r="D9" i="865" l="1"/>
  <c r="D10" i="865"/>
  <c r="D11" i="865"/>
  <c r="V11" i="865" s="1"/>
  <c r="X11" i="865" s="1"/>
  <c r="D12" i="865"/>
  <c r="D13" i="865"/>
  <c r="D14" i="865"/>
  <c r="D15" i="865"/>
  <c r="V15" i="865" s="1"/>
  <c r="X15" i="865" s="1"/>
  <c r="D16" i="865"/>
  <c r="D17" i="865"/>
  <c r="D18" i="865"/>
  <c r="D19" i="865"/>
  <c r="V19" i="865" s="1"/>
  <c r="X19" i="865" s="1"/>
  <c r="D20" i="865"/>
  <c r="D21" i="865"/>
  <c r="D22" i="865"/>
  <c r="D23" i="865"/>
  <c r="V23" i="865" s="1"/>
  <c r="X23" i="865" s="1"/>
  <c r="D24" i="865"/>
  <c r="V24" i="865" s="1"/>
  <c r="X24" i="865" s="1"/>
  <c r="D25" i="865"/>
  <c r="D26" i="865"/>
  <c r="V26" i="865" s="1"/>
  <c r="X26" i="865" s="1"/>
  <c r="D8" i="865"/>
  <c r="D5" i="865"/>
  <c r="E5" i="865" s="1"/>
  <c r="E30" i="865"/>
  <c r="V29" i="865"/>
  <c r="X29" i="865" s="1"/>
  <c r="U29" i="865"/>
  <c r="V28" i="865"/>
  <c r="X28" i="865" s="1"/>
  <c r="U28" i="865"/>
  <c r="V27" i="865"/>
  <c r="X27" i="865" s="1"/>
  <c r="U27" i="865"/>
  <c r="U26" i="865"/>
  <c r="U25" i="865"/>
  <c r="V25" i="865"/>
  <c r="X25" i="865" s="1"/>
  <c r="U24" i="865"/>
  <c r="U23" i="865"/>
  <c r="U22" i="865"/>
  <c r="V22" i="865"/>
  <c r="X22" i="865" s="1"/>
  <c r="U21" i="865"/>
  <c r="V21" i="865"/>
  <c r="X21" i="865" s="1"/>
  <c r="U20" i="865"/>
  <c r="V20" i="865"/>
  <c r="X20" i="865" s="1"/>
  <c r="U19" i="865"/>
  <c r="U18" i="865"/>
  <c r="V18" i="865"/>
  <c r="X18" i="865" s="1"/>
  <c r="U17" i="865"/>
  <c r="V17" i="865"/>
  <c r="X17" i="865" s="1"/>
  <c r="U16" i="865"/>
  <c r="V16" i="865"/>
  <c r="X16" i="865" s="1"/>
  <c r="U15" i="865"/>
  <c r="U14" i="865"/>
  <c r="V14" i="865"/>
  <c r="X14" i="865" s="1"/>
  <c r="U13" i="865"/>
  <c r="V13" i="865"/>
  <c r="X13" i="865" s="1"/>
  <c r="U12" i="865"/>
  <c r="V12" i="865"/>
  <c r="X12" i="865" s="1"/>
  <c r="U11" i="865"/>
  <c r="U10" i="865"/>
  <c r="V10" i="865"/>
  <c r="X10" i="865" s="1"/>
  <c r="U9" i="865"/>
  <c r="V9" i="865"/>
  <c r="X9" i="865" s="1"/>
  <c r="U8" i="865"/>
  <c r="V8" i="865"/>
  <c r="X8" i="865" s="1"/>
  <c r="D5" i="863" l="1"/>
  <c r="D9" i="864"/>
  <c r="V9" i="864" s="1"/>
  <c r="X9" i="864" s="1"/>
  <c r="D10" i="864"/>
  <c r="D11" i="864"/>
  <c r="D12" i="864"/>
  <c r="D13" i="864"/>
  <c r="D14" i="864"/>
  <c r="D15" i="864"/>
  <c r="D16" i="864"/>
  <c r="D17" i="864"/>
  <c r="D18" i="864"/>
  <c r="D19" i="864"/>
  <c r="D20" i="864"/>
  <c r="V20" i="864" s="1"/>
  <c r="X20" i="864" s="1"/>
  <c r="D21" i="864"/>
  <c r="D22" i="864"/>
  <c r="V22" i="864" s="1"/>
  <c r="X22" i="864" s="1"/>
  <c r="D23" i="864"/>
  <c r="D24" i="864"/>
  <c r="V24" i="864" s="1"/>
  <c r="X24" i="864" s="1"/>
  <c r="D25" i="864"/>
  <c r="D26" i="864"/>
  <c r="V26" i="864" s="1"/>
  <c r="X26" i="864" s="1"/>
  <c r="D8" i="864"/>
  <c r="D5" i="864"/>
  <c r="E5" i="864" s="1"/>
  <c r="E30" i="864"/>
  <c r="V29" i="864"/>
  <c r="X29" i="864" s="1"/>
  <c r="U29" i="864"/>
  <c r="V28" i="864"/>
  <c r="X28" i="864" s="1"/>
  <c r="U28" i="864"/>
  <c r="V27" i="864"/>
  <c r="X27" i="864" s="1"/>
  <c r="U27" i="864"/>
  <c r="U26" i="864"/>
  <c r="U25" i="864"/>
  <c r="V25" i="864"/>
  <c r="X25" i="864" s="1"/>
  <c r="U24" i="864"/>
  <c r="U23" i="864"/>
  <c r="V23" i="864"/>
  <c r="X23" i="864" s="1"/>
  <c r="U22" i="864"/>
  <c r="U21" i="864"/>
  <c r="V21" i="864"/>
  <c r="X21" i="864" s="1"/>
  <c r="U20" i="864"/>
  <c r="U19" i="864"/>
  <c r="V19" i="864"/>
  <c r="X19" i="864" s="1"/>
  <c r="U18" i="864"/>
  <c r="V18" i="864"/>
  <c r="X18" i="864" s="1"/>
  <c r="U17" i="864"/>
  <c r="V17" i="864"/>
  <c r="X17" i="864" s="1"/>
  <c r="U16" i="864"/>
  <c r="V16" i="864"/>
  <c r="X16" i="864" s="1"/>
  <c r="U15" i="864"/>
  <c r="V15" i="864"/>
  <c r="X15" i="864" s="1"/>
  <c r="U14" i="864"/>
  <c r="V14" i="864"/>
  <c r="X14" i="864" s="1"/>
  <c r="U13" i="864"/>
  <c r="V13" i="864"/>
  <c r="X13" i="864" s="1"/>
  <c r="U12" i="864"/>
  <c r="V12" i="864"/>
  <c r="X12" i="864" s="1"/>
  <c r="U11" i="864"/>
  <c r="V11" i="864"/>
  <c r="X11" i="864" s="1"/>
  <c r="U10" i="864"/>
  <c r="V10" i="864"/>
  <c r="X10" i="864" s="1"/>
  <c r="U9" i="864"/>
  <c r="U8" i="864"/>
  <c r="V8" i="864"/>
  <c r="X8" i="864" s="1"/>
  <c r="D9" i="863" l="1"/>
  <c r="D10" i="863"/>
  <c r="D11" i="863"/>
  <c r="V11" i="863" s="1"/>
  <c r="X11" i="863" s="1"/>
  <c r="D12" i="863"/>
  <c r="V12" i="863" s="1"/>
  <c r="X12" i="863" s="1"/>
  <c r="D13" i="863"/>
  <c r="D14" i="863"/>
  <c r="V14" i="863" s="1"/>
  <c r="X14" i="863" s="1"/>
  <c r="D15" i="863"/>
  <c r="V15" i="863" s="1"/>
  <c r="X15" i="863" s="1"/>
  <c r="D16" i="863"/>
  <c r="D17" i="863"/>
  <c r="V17" i="863" s="1"/>
  <c r="X17" i="863" s="1"/>
  <c r="D18" i="863"/>
  <c r="V18" i="863" s="1"/>
  <c r="X18" i="863" s="1"/>
  <c r="D19" i="863"/>
  <c r="V19" i="863" s="1"/>
  <c r="X19" i="863" s="1"/>
  <c r="D20" i="863"/>
  <c r="V20" i="863" s="1"/>
  <c r="X20" i="863" s="1"/>
  <c r="D21" i="863"/>
  <c r="D22" i="863"/>
  <c r="V22" i="863" s="1"/>
  <c r="X22" i="863" s="1"/>
  <c r="D23" i="863"/>
  <c r="V23" i="863" s="1"/>
  <c r="X23" i="863" s="1"/>
  <c r="D24" i="863"/>
  <c r="V24" i="863" s="1"/>
  <c r="X24" i="863" s="1"/>
  <c r="D25" i="863"/>
  <c r="D26" i="863"/>
  <c r="V26" i="863" s="1"/>
  <c r="X26" i="863" s="1"/>
  <c r="D8" i="863"/>
  <c r="E5" i="863"/>
  <c r="E30" i="863"/>
  <c r="V29" i="863"/>
  <c r="X29" i="863" s="1"/>
  <c r="U29" i="863"/>
  <c r="V28" i="863"/>
  <c r="X28" i="863" s="1"/>
  <c r="U28" i="863"/>
  <c r="V27" i="863"/>
  <c r="X27" i="863" s="1"/>
  <c r="U27" i="863"/>
  <c r="U26" i="863"/>
  <c r="U25" i="863"/>
  <c r="V25" i="863"/>
  <c r="X25" i="863" s="1"/>
  <c r="U24" i="863"/>
  <c r="U23" i="863"/>
  <c r="U22" i="863"/>
  <c r="U21" i="863"/>
  <c r="V21" i="863"/>
  <c r="X21" i="863" s="1"/>
  <c r="U20" i="863"/>
  <c r="U19" i="863"/>
  <c r="U18" i="863"/>
  <c r="U17" i="863"/>
  <c r="U16" i="863"/>
  <c r="V16" i="863"/>
  <c r="X16" i="863" s="1"/>
  <c r="U15" i="863"/>
  <c r="U14" i="863"/>
  <c r="U13" i="863"/>
  <c r="V13" i="863"/>
  <c r="X13" i="863" s="1"/>
  <c r="U12" i="863"/>
  <c r="U11" i="863"/>
  <c r="U10" i="863"/>
  <c r="V10" i="863"/>
  <c r="X10" i="863" s="1"/>
  <c r="U9" i="863"/>
  <c r="V9" i="863"/>
  <c r="X9" i="863" s="1"/>
  <c r="U8" i="863"/>
  <c r="V8" i="863"/>
  <c r="X8" i="863" s="1"/>
  <c r="S23" i="781" l="1"/>
  <c r="T23" i="781"/>
  <c r="U23" i="781"/>
  <c r="V23" i="781"/>
  <c r="W23" i="781"/>
  <c r="X23" i="781"/>
  <c r="Y23" i="781"/>
  <c r="Z23" i="781"/>
  <c r="AA23" i="781"/>
  <c r="AB23" i="781"/>
  <c r="AC23" i="781"/>
  <c r="AD23" i="781"/>
  <c r="S27" i="781"/>
  <c r="T27" i="781"/>
  <c r="U27" i="781"/>
  <c r="V27" i="781"/>
  <c r="W27" i="781"/>
  <c r="X27" i="781"/>
  <c r="Y27" i="781"/>
  <c r="Z27" i="781"/>
  <c r="AA27" i="781"/>
  <c r="AB27" i="781"/>
  <c r="AC27" i="781"/>
  <c r="AD27" i="781"/>
  <c r="S9" i="780"/>
  <c r="T9" i="780"/>
  <c r="U9" i="780"/>
  <c r="V9" i="780"/>
  <c r="W9" i="780"/>
  <c r="X9" i="780"/>
  <c r="Y9" i="780"/>
  <c r="Z9" i="780"/>
  <c r="AA9" i="780"/>
  <c r="AB9" i="780"/>
  <c r="AC9" i="780"/>
  <c r="AD9" i="780"/>
  <c r="S10" i="780"/>
  <c r="T10" i="780"/>
  <c r="U10" i="780"/>
  <c r="V10" i="780"/>
  <c r="W10" i="780"/>
  <c r="X10" i="780"/>
  <c r="Y10" i="780"/>
  <c r="Z10" i="780"/>
  <c r="AA10" i="780"/>
  <c r="AB10" i="780"/>
  <c r="AC10" i="780"/>
  <c r="AD10" i="780"/>
  <c r="S11" i="780"/>
  <c r="T11" i="780"/>
  <c r="U11" i="780"/>
  <c r="V11" i="780"/>
  <c r="W11" i="780"/>
  <c r="X11" i="780"/>
  <c r="Y11" i="780"/>
  <c r="Z11" i="780"/>
  <c r="AA11" i="780"/>
  <c r="AB11" i="780"/>
  <c r="AC11" i="780"/>
  <c r="AD11" i="780"/>
  <c r="S12" i="780"/>
  <c r="T12" i="780"/>
  <c r="U12" i="780"/>
  <c r="V12" i="780"/>
  <c r="W12" i="780"/>
  <c r="X12" i="780"/>
  <c r="Y12" i="780"/>
  <c r="Z12" i="780"/>
  <c r="AA12" i="780"/>
  <c r="AB12" i="780"/>
  <c r="AC12" i="780"/>
  <c r="AD12" i="780"/>
  <c r="S13" i="780"/>
  <c r="T13" i="780"/>
  <c r="U13" i="780"/>
  <c r="V13" i="780"/>
  <c r="W13" i="780"/>
  <c r="X13" i="780"/>
  <c r="Y13" i="780"/>
  <c r="Z13" i="780"/>
  <c r="AA13" i="780"/>
  <c r="AB13" i="780"/>
  <c r="AC13" i="780"/>
  <c r="AD13" i="780"/>
  <c r="S14" i="780"/>
  <c r="T14" i="780"/>
  <c r="U14" i="780"/>
  <c r="V14" i="780"/>
  <c r="W14" i="780"/>
  <c r="X14" i="780"/>
  <c r="Y14" i="780"/>
  <c r="Z14" i="780"/>
  <c r="AA14" i="780"/>
  <c r="AB14" i="780"/>
  <c r="AC14" i="780"/>
  <c r="AD14" i="780"/>
  <c r="S15" i="780"/>
  <c r="T15" i="780"/>
  <c r="U15" i="780"/>
  <c r="V15" i="780"/>
  <c r="W15" i="780"/>
  <c r="X15" i="780"/>
  <c r="Y15" i="780"/>
  <c r="Z15" i="780"/>
  <c r="AA15" i="780"/>
  <c r="AB15" i="780"/>
  <c r="AC15" i="780"/>
  <c r="AD15" i="780"/>
  <c r="S16" i="780"/>
  <c r="T16" i="780"/>
  <c r="U16" i="780"/>
  <c r="V16" i="780"/>
  <c r="W16" i="780"/>
  <c r="X16" i="780"/>
  <c r="Y16" i="780"/>
  <c r="Z16" i="780"/>
  <c r="AA16" i="780"/>
  <c r="AB16" i="780"/>
  <c r="AC16" i="780"/>
  <c r="AD16" i="780"/>
  <c r="S17" i="780"/>
  <c r="T17" i="780"/>
  <c r="U17" i="780"/>
  <c r="V17" i="780"/>
  <c r="W17" i="780"/>
  <c r="X17" i="780"/>
  <c r="Y17" i="780"/>
  <c r="Z17" i="780"/>
  <c r="AA17" i="780"/>
  <c r="AB17" i="780"/>
  <c r="AC17" i="780"/>
  <c r="AD17" i="780"/>
  <c r="S18" i="780"/>
  <c r="T18" i="780"/>
  <c r="U18" i="780"/>
  <c r="V18" i="780"/>
  <c r="W18" i="780"/>
  <c r="X18" i="780"/>
  <c r="Y18" i="780"/>
  <c r="Z18" i="780"/>
  <c r="AA18" i="780"/>
  <c r="AB18" i="780"/>
  <c r="AC18" i="780"/>
  <c r="AD18" i="780"/>
  <c r="S19" i="780"/>
  <c r="T19" i="780"/>
  <c r="U19" i="780"/>
  <c r="V19" i="780"/>
  <c r="W19" i="780"/>
  <c r="X19" i="780"/>
  <c r="Y19" i="780"/>
  <c r="Z19" i="780"/>
  <c r="AA19" i="780"/>
  <c r="AB19" i="780"/>
  <c r="AC19" i="780"/>
  <c r="AD19" i="780"/>
  <c r="S20" i="780"/>
  <c r="T20" i="780"/>
  <c r="U20" i="780"/>
  <c r="V20" i="780"/>
  <c r="W20" i="780"/>
  <c r="X20" i="780"/>
  <c r="Y20" i="780"/>
  <c r="Z20" i="780"/>
  <c r="AA20" i="780"/>
  <c r="AB20" i="780"/>
  <c r="AC20" i="780"/>
  <c r="AD20" i="780"/>
  <c r="S21" i="780"/>
  <c r="T21" i="780"/>
  <c r="U21" i="780"/>
  <c r="V21" i="780"/>
  <c r="W21" i="780"/>
  <c r="X21" i="780"/>
  <c r="Y21" i="780"/>
  <c r="Z21" i="780"/>
  <c r="AA21" i="780"/>
  <c r="AB21" i="780"/>
  <c r="AC21" i="780"/>
  <c r="AD21" i="780"/>
  <c r="S22" i="780"/>
  <c r="T22" i="780"/>
  <c r="U22" i="780"/>
  <c r="V22" i="780"/>
  <c r="W22" i="780"/>
  <c r="X22" i="780"/>
  <c r="Y22" i="780"/>
  <c r="Z22" i="780"/>
  <c r="AA22" i="780"/>
  <c r="AB22" i="780"/>
  <c r="AC22" i="780"/>
  <c r="AD22" i="780"/>
  <c r="S23" i="780"/>
  <c r="T23" i="780"/>
  <c r="U23" i="780"/>
  <c r="V23" i="780"/>
  <c r="W23" i="780"/>
  <c r="X23" i="780"/>
  <c r="Y23" i="780"/>
  <c r="Z23" i="780"/>
  <c r="AA23" i="780"/>
  <c r="AB23" i="780"/>
  <c r="AC23" i="780"/>
  <c r="AD23" i="780"/>
  <c r="S24" i="780"/>
  <c r="T24" i="780"/>
  <c r="U24" i="780"/>
  <c r="V24" i="780"/>
  <c r="W24" i="780"/>
  <c r="X24" i="780"/>
  <c r="Y24" i="780"/>
  <c r="Z24" i="780"/>
  <c r="AA24" i="780"/>
  <c r="AB24" i="780"/>
  <c r="AC24" i="780"/>
  <c r="AD24" i="780"/>
  <c r="S25" i="780"/>
  <c r="T25" i="780"/>
  <c r="U25" i="780"/>
  <c r="V25" i="780"/>
  <c r="W25" i="780"/>
  <c r="X25" i="780"/>
  <c r="Y25" i="780"/>
  <c r="Z25" i="780"/>
  <c r="AA25" i="780"/>
  <c r="AB25" i="780"/>
  <c r="AC25" i="780"/>
  <c r="AD25" i="780"/>
  <c r="S26" i="780"/>
  <c r="T26" i="780"/>
  <c r="U26" i="780"/>
  <c r="V26" i="780"/>
  <c r="W26" i="780"/>
  <c r="X26" i="780"/>
  <c r="Y26" i="780"/>
  <c r="Z26" i="780"/>
  <c r="AA26" i="780"/>
  <c r="AB26" i="780"/>
  <c r="AC26" i="780"/>
  <c r="AD26" i="780"/>
  <c r="S27" i="780"/>
  <c r="T27" i="780"/>
  <c r="U27" i="780"/>
  <c r="V27" i="780"/>
  <c r="W27" i="780"/>
  <c r="X27" i="780"/>
  <c r="Y27" i="780"/>
  <c r="Z27" i="780"/>
  <c r="AA27" i="780"/>
  <c r="AB27" i="780"/>
  <c r="AC27" i="780"/>
  <c r="AD27" i="780"/>
  <c r="AD8" i="780"/>
  <c r="AC8" i="780"/>
  <c r="AB8" i="780"/>
  <c r="AA8" i="780"/>
  <c r="Z8" i="780"/>
  <c r="Y8" i="780"/>
  <c r="X8" i="780"/>
  <c r="W8" i="780"/>
  <c r="V8" i="780"/>
  <c r="U8" i="780"/>
  <c r="T8" i="780"/>
  <c r="S8" i="780"/>
  <c r="D9" i="862"/>
  <c r="D10" i="862"/>
  <c r="D11" i="862"/>
  <c r="D12" i="862"/>
  <c r="D13" i="862"/>
  <c r="D14" i="862"/>
  <c r="D15" i="862"/>
  <c r="D16" i="862"/>
  <c r="D17" i="862"/>
  <c r="D18" i="862"/>
  <c r="D19" i="862"/>
  <c r="D20" i="862"/>
  <c r="D21" i="862"/>
  <c r="D22" i="862"/>
  <c r="D23" i="862"/>
  <c r="D24" i="862"/>
  <c r="D25" i="862"/>
  <c r="D26" i="862"/>
  <c r="D8" i="862"/>
  <c r="E30" i="862" l="1"/>
  <c r="V29" i="862"/>
  <c r="X29" i="862" s="1"/>
  <c r="U29" i="862"/>
  <c r="V28" i="862"/>
  <c r="X28" i="862" s="1"/>
  <c r="U28" i="862"/>
  <c r="V27" i="862"/>
  <c r="X27" i="862" s="1"/>
  <c r="U27" i="862"/>
  <c r="U26" i="862"/>
  <c r="AD26" i="781" s="1"/>
  <c r="V26" i="862"/>
  <c r="X26" i="862" s="1"/>
  <c r="U25" i="862"/>
  <c r="AD25" i="781" s="1"/>
  <c r="V25" i="862"/>
  <c r="X25" i="862" s="1"/>
  <c r="U24" i="862"/>
  <c r="AD24" i="781" s="1"/>
  <c r="V24" i="862"/>
  <c r="X24" i="862" s="1"/>
  <c r="U23" i="862"/>
  <c r="V23" i="862"/>
  <c r="X23" i="862" s="1"/>
  <c r="U22" i="862"/>
  <c r="AD22" i="781" s="1"/>
  <c r="V22" i="862"/>
  <c r="X22" i="862" s="1"/>
  <c r="U21" i="862"/>
  <c r="AD21" i="781" s="1"/>
  <c r="V21" i="862"/>
  <c r="X21" i="862" s="1"/>
  <c r="U20" i="862"/>
  <c r="AD20" i="781" s="1"/>
  <c r="V20" i="862"/>
  <c r="X20" i="862" s="1"/>
  <c r="U19" i="862"/>
  <c r="AD19" i="781" s="1"/>
  <c r="V19" i="862"/>
  <c r="X19" i="862" s="1"/>
  <c r="U18" i="862"/>
  <c r="AD18" i="781" s="1"/>
  <c r="V18" i="862"/>
  <c r="X18" i="862" s="1"/>
  <c r="U17" i="862"/>
  <c r="AD17" i="781" s="1"/>
  <c r="V17" i="862"/>
  <c r="X17" i="862" s="1"/>
  <c r="U16" i="862"/>
  <c r="AD16" i="781" s="1"/>
  <c r="V16" i="862"/>
  <c r="X16" i="862" s="1"/>
  <c r="U15" i="862"/>
  <c r="AD15" i="781" s="1"/>
  <c r="V15" i="862"/>
  <c r="X15" i="862" s="1"/>
  <c r="U14" i="862"/>
  <c r="AD14" i="781" s="1"/>
  <c r="V14" i="862"/>
  <c r="X14" i="862" s="1"/>
  <c r="U13" i="862"/>
  <c r="AD13" i="781" s="1"/>
  <c r="V13" i="862"/>
  <c r="X13" i="862" s="1"/>
  <c r="U12" i="862"/>
  <c r="AD12" i="781" s="1"/>
  <c r="V12" i="862"/>
  <c r="X12" i="862" s="1"/>
  <c r="U11" i="862"/>
  <c r="AD11" i="781" s="1"/>
  <c r="V11" i="862"/>
  <c r="X11" i="862" s="1"/>
  <c r="U10" i="862"/>
  <c r="AD10" i="781" s="1"/>
  <c r="V10" i="862"/>
  <c r="X10" i="862" s="1"/>
  <c r="U9" i="862"/>
  <c r="AD9" i="781" s="1"/>
  <c r="V9" i="862"/>
  <c r="X9" i="862" s="1"/>
  <c r="U8" i="862"/>
  <c r="AD8" i="781" s="1"/>
  <c r="V8" i="862"/>
  <c r="X8" i="862" s="1"/>
  <c r="D5" i="862"/>
  <c r="E5" i="862" s="1"/>
  <c r="D9" i="861" l="1"/>
  <c r="D10" i="861"/>
  <c r="D11" i="861"/>
  <c r="D12" i="861"/>
  <c r="V12" i="861" s="1"/>
  <c r="X12" i="861" s="1"/>
  <c r="D13" i="861"/>
  <c r="D14" i="861"/>
  <c r="D15" i="861"/>
  <c r="V15" i="861" s="1"/>
  <c r="X15" i="861" s="1"/>
  <c r="D16" i="861"/>
  <c r="D17" i="861"/>
  <c r="V17" i="861" s="1"/>
  <c r="X17" i="861" s="1"/>
  <c r="D18" i="861"/>
  <c r="D19" i="861"/>
  <c r="V19" i="861" s="1"/>
  <c r="X19" i="861" s="1"/>
  <c r="D20" i="861"/>
  <c r="V20" i="861" s="1"/>
  <c r="X20" i="861" s="1"/>
  <c r="D21" i="861"/>
  <c r="V21" i="861" s="1"/>
  <c r="X21" i="861" s="1"/>
  <c r="D22" i="861"/>
  <c r="D23" i="861"/>
  <c r="D24" i="861"/>
  <c r="D25" i="861"/>
  <c r="V25" i="861" s="1"/>
  <c r="X25" i="861" s="1"/>
  <c r="D26" i="861"/>
  <c r="V26" i="861" s="1"/>
  <c r="X26" i="861" s="1"/>
  <c r="D8" i="861"/>
  <c r="D5" i="861"/>
  <c r="E5" i="861" s="1"/>
  <c r="E30" i="861"/>
  <c r="V29" i="861"/>
  <c r="X29" i="861" s="1"/>
  <c r="U29" i="861"/>
  <c r="V28" i="861"/>
  <c r="X28" i="861" s="1"/>
  <c r="U28" i="861"/>
  <c r="V27" i="861"/>
  <c r="X27" i="861" s="1"/>
  <c r="U27" i="861"/>
  <c r="U26" i="861"/>
  <c r="AC26" i="781" s="1"/>
  <c r="U25" i="861"/>
  <c r="AC25" i="781" s="1"/>
  <c r="U24" i="861"/>
  <c r="AC24" i="781" s="1"/>
  <c r="V24" i="861"/>
  <c r="X24" i="861" s="1"/>
  <c r="U23" i="861"/>
  <c r="V23" i="861"/>
  <c r="X23" i="861" s="1"/>
  <c r="U22" i="861"/>
  <c r="AC22" i="781" s="1"/>
  <c r="V22" i="861"/>
  <c r="X22" i="861" s="1"/>
  <c r="U21" i="861"/>
  <c r="AC21" i="781" s="1"/>
  <c r="U20" i="861"/>
  <c r="AC20" i="781" s="1"/>
  <c r="U19" i="861"/>
  <c r="AC19" i="781" s="1"/>
  <c r="U18" i="861"/>
  <c r="AC18" i="781" s="1"/>
  <c r="V18" i="861"/>
  <c r="X18" i="861" s="1"/>
  <c r="U17" i="861"/>
  <c r="AC17" i="781" s="1"/>
  <c r="U16" i="861"/>
  <c r="AC16" i="781" s="1"/>
  <c r="V16" i="861"/>
  <c r="X16" i="861" s="1"/>
  <c r="U15" i="861"/>
  <c r="AC15" i="781" s="1"/>
  <c r="U14" i="861"/>
  <c r="AC14" i="781" s="1"/>
  <c r="V14" i="861"/>
  <c r="X14" i="861" s="1"/>
  <c r="U13" i="861"/>
  <c r="AC13" i="781" s="1"/>
  <c r="V13" i="861"/>
  <c r="X13" i="861" s="1"/>
  <c r="U12" i="861"/>
  <c r="AC12" i="781" s="1"/>
  <c r="U11" i="861"/>
  <c r="AC11" i="781" s="1"/>
  <c r="V11" i="861"/>
  <c r="X11" i="861" s="1"/>
  <c r="U10" i="861"/>
  <c r="AC10" i="781" s="1"/>
  <c r="V10" i="861"/>
  <c r="X10" i="861" s="1"/>
  <c r="U9" i="861"/>
  <c r="AC9" i="781" s="1"/>
  <c r="V9" i="861"/>
  <c r="X9" i="861" s="1"/>
  <c r="U8" i="861"/>
  <c r="AC8" i="781" s="1"/>
  <c r="V8" i="861"/>
  <c r="X8" i="861" s="1"/>
  <c r="D9" i="860"/>
  <c r="V9" i="860" s="1"/>
  <c r="X9" i="860" s="1"/>
  <c r="D10" i="860"/>
  <c r="D11" i="860"/>
  <c r="D12" i="860"/>
  <c r="V12" i="860" s="1"/>
  <c r="X12" i="860" s="1"/>
  <c r="D13" i="860"/>
  <c r="D14" i="860"/>
  <c r="V14" i="860" s="1"/>
  <c r="X14" i="860" s="1"/>
  <c r="D15" i="860"/>
  <c r="D16" i="860"/>
  <c r="D17" i="860"/>
  <c r="V17" i="860" s="1"/>
  <c r="X17" i="860" s="1"/>
  <c r="D18" i="860"/>
  <c r="V18" i="860" s="1"/>
  <c r="X18" i="860" s="1"/>
  <c r="D19" i="860"/>
  <c r="D20" i="860"/>
  <c r="V20" i="860" s="1"/>
  <c r="X20" i="860" s="1"/>
  <c r="D21" i="860"/>
  <c r="V21" i="860" s="1"/>
  <c r="X21" i="860" s="1"/>
  <c r="D22" i="860"/>
  <c r="V22" i="860" s="1"/>
  <c r="X22" i="860" s="1"/>
  <c r="D23" i="860"/>
  <c r="D24" i="860"/>
  <c r="V24" i="860" s="1"/>
  <c r="X24" i="860" s="1"/>
  <c r="D25" i="860"/>
  <c r="D26" i="860"/>
  <c r="V26" i="860" s="1"/>
  <c r="X26" i="860" s="1"/>
  <c r="D8" i="860"/>
  <c r="D5" i="860"/>
  <c r="E30" i="860"/>
  <c r="V29" i="860"/>
  <c r="X29" i="860" s="1"/>
  <c r="U29" i="860"/>
  <c r="V28" i="860"/>
  <c r="X28" i="860" s="1"/>
  <c r="U28" i="860"/>
  <c r="V27" i="860"/>
  <c r="X27" i="860" s="1"/>
  <c r="U27" i="860"/>
  <c r="U26" i="860"/>
  <c r="AB26" i="781" s="1"/>
  <c r="U25" i="860"/>
  <c r="AB25" i="781" s="1"/>
  <c r="V25" i="860"/>
  <c r="X25" i="860" s="1"/>
  <c r="U24" i="860"/>
  <c r="AB24" i="781" s="1"/>
  <c r="U23" i="860"/>
  <c r="V23" i="860"/>
  <c r="X23" i="860" s="1"/>
  <c r="U22" i="860"/>
  <c r="AB22" i="781" s="1"/>
  <c r="U21" i="860"/>
  <c r="AB21" i="781" s="1"/>
  <c r="U20" i="860"/>
  <c r="AB20" i="781" s="1"/>
  <c r="U19" i="860"/>
  <c r="AB19" i="781" s="1"/>
  <c r="V19" i="860"/>
  <c r="X19" i="860" s="1"/>
  <c r="U18" i="860"/>
  <c r="AB18" i="781" s="1"/>
  <c r="U17" i="860"/>
  <c r="AB17" i="781" s="1"/>
  <c r="U16" i="860"/>
  <c r="AB16" i="781" s="1"/>
  <c r="V16" i="860"/>
  <c r="X16" i="860" s="1"/>
  <c r="U15" i="860"/>
  <c r="AB15" i="781" s="1"/>
  <c r="V15" i="860"/>
  <c r="X15" i="860" s="1"/>
  <c r="U14" i="860"/>
  <c r="AB14" i="781" s="1"/>
  <c r="U13" i="860"/>
  <c r="AB13" i="781" s="1"/>
  <c r="V13" i="860"/>
  <c r="X13" i="860" s="1"/>
  <c r="U12" i="860"/>
  <c r="AB12" i="781" s="1"/>
  <c r="U11" i="860"/>
  <c r="AB11" i="781" s="1"/>
  <c r="V11" i="860"/>
  <c r="X11" i="860" s="1"/>
  <c r="U10" i="860"/>
  <c r="AB10" i="781" s="1"/>
  <c r="V10" i="860"/>
  <c r="X10" i="860" s="1"/>
  <c r="U9" i="860"/>
  <c r="AB9" i="781" s="1"/>
  <c r="U8" i="860"/>
  <c r="AB8" i="781" s="1"/>
  <c r="V8" i="860"/>
  <c r="X8" i="860" s="1"/>
  <c r="E5" i="860"/>
  <c r="D9" i="859"/>
  <c r="D10" i="859"/>
  <c r="V10" i="859" s="1"/>
  <c r="X10" i="859" s="1"/>
  <c r="D11" i="859"/>
  <c r="V11" i="859" s="1"/>
  <c r="X11" i="859" s="1"/>
  <c r="D12" i="859"/>
  <c r="V12" i="859" s="1"/>
  <c r="X12" i="859" s="1"/>
  <c r="D13" i="859"/>
  <c r="V13" i="859" s="1"/>
  <c r="X13" i="859" s="1"/>
  <c r="D14" i="859"/>
  <c r="V14" i="859" s="1"/>
  <c r="X14" i="859" s="1"/>
  <c r="D15" i="859"/>
  <c r="V15" i="859" s="1"/>
  <c r="X15" i="859" s="1"/>
  <c r="D16" i="859"/>
  <c r="V16" i="859" s="1"/>
  <c r="X16" i="859" s="1"/>
  <c r="D17" i="859"/>
  <c r="V17" i="859" s="1"/>
  <c r="X17" i="859" s="1"/>
  <c r="D18" i="859"/>
  <c r="V18" i="859" s="1"/>
  <c r="X18" i="859" s="1"/>
  <c r="D19" i="859"/>
  <c r="V19" i="859" s="1"/>
  <c r="X19" i="859" s="1"/>
  <c r="D20" i="859"/>
  <c r="V20" i="859" s="1"/>
  <c r="X20" i="859" s="1"/>
  <c r="D21" i="859"/>
  <c r="V21" i="859" s="1"/>
  <c r="X21" i="859" s="1"/>
  <c r="D22" i="859"/>
  <c r="V22" i="859" s="1"/>
  <c r="X22" i="859" s="1"/>
  <c r="D23" i="859"/>
  <c r="V23" i="859" s="1"/>
  <c r="X23" i="859" s="1"/>
  <c r="D24" i="859"/>
  <c r="V24" i="859" s="1"/>
  <c r="X24" i="859" s="1"/>
  <c r="D25" i="859"/>
  <c r="V25" i="859" s="1"/>
  <c r="X25" i="859" s="1"/>
  <c r="D26" i="859"/>
  <c r="V26" i="859" s="1"/>
  <c r="X26" i="859" s="1"/>
  <c r="D8" i="859"/>
  <c r="V8" i="859" s="1"/>
  <c r="X8" i="859" s="1"/>
  <c r="D5" i="859"/>
  <c r="E5" i="859" s="1"/>
  <c r="E30" i="859"/>
  <c r="V29" i="859"/>
  <c r="X29" i="859" s="1"/>
  <c r="U29" i="859"/>
  <c r="V28" i="859"/>
  <c r="X28" i="859" s="1"/>
  <c r="U28" i="859"/>
  <c r="V27" i="859"/>
  <c r="X27" i="859" s="1"/>
  <c r="U27" i="859"/>
  <c r="U26" i="859"/>
  <c r="AA26" i="781" s="1"/>
  <c r="U25" i="859"/>
  <c r="AA25" i="781" s="1"/>
  <c r="U24" i="859"/>
  <c r="AA24" i="781" s="1"/>
  <c r="U23" i="859"/>
  <c r="U22" i="859"/>
  <c r="AA22" i="781" s="1"/>
  <c r="U21" i="859"/>
  <c r="AA21" i="781" s="1"/>
  <c r="U20" i="859"/>
  <c r="AA20" i="781" s="1"/>
  <c r="U19" i="859"/>
  <c r="AA19" i="781" s="1"/>
  <c r="U18" i="859"/>
  <c r="AA18" i="781" s="1"/>
  <c r="U17" i="859"/>
  <c r="AA17" i="781" s="1"/>
  <c r="U16" i="859"/>
  <c r="AA16" i="781" s="1"/>
  <c r="U15" i="859"/>
  <c r="AA15" i="781" s="1"/>
  <c r="U14" i="859"/>
  <c r="AA14" i="781" s="1"/>
  <c r="U13" i="859"/>
  <c r="AA13" i="781" s="1"/>
  <c r="U12" i="859"/>
  <c r="AA12" i="781" s="1"/>
  <c r="U11" i="859"/>
  <c r="AA11" i="781" s="1"/>
  <c r="U10" i="859"/>
  <c r="AA10" i="781" s="1"/>
  <c r="U9" i="859"/>
  <c r="AA9" i="781" s="1"/>
  <c r="V9" i="859"/>
  <c r="X9" i="859" s="1"/>
  <c r="U8" i="859"/>
  <c r="AA8" i="781" s="1"/>
  <c r="D9" i="858" l="1"/>
  <c r="D10" i="858"/>
  <c r="V10" i="858" s="1"/>
  <c r="X10" i="858" s="1"/>
  <c r="D11" i="858"/>
  <c r="D12" i="858"/>
  <c r="V12" i="858" s="1"/>
  <c r="X12" i="858" s="1"/>
  <c r="D13" i="858"/>
  <c r="D14" i="858"/>
  <c r="D15" i="858"/>
  <c r="D16" i="858"/>
  <c r="V16" i="858" s="1"/>
  <c r="X16" i="858" s="1"/>
  <c r="D17" i="858"/>
  <c r="D18" i="858"/>
  <c r="D19" i="858"/>
  <c r="D20" i="858"/>
  <c r="V20" i="858" s="1"/>
  <c r="X20" i="858" s="1"/>
  <c r="D21" i="858"/>
  <c r="D22" i="858"/>
  <c r="D23" i="858"/>
  <c r="D24" i="858"/>
  <c r="V24" i="858" s="1"/>
  <c r="X24" i="858" s="1"/>
  <c r="D25" i="858"/>
  <c r="D26" i="858"/>
  <c r="V26" i="858" s="1"/>
  <c r="X26" i="858" s="1"/>
  <c r="D8" i="858"/>
  <c r="V8" i="858" s="1"/>
  <c r="X8" i="858" s="1"/>
  <c r="D5" i="858"/>
  <c r="E5" i="858" s="1"/>
  <c r="E30" i="858"/>
  <c r="V29" i="858"/>
  <c r="X29" i="858" s="1"/>
  <c r="U29" i="858"/>
  <c r="V28" i="858"/>
  <c r="X28" i="858" s="1"/>
  <c r="U28" i="858"/>
  <c r="V27" i="858"/>
  <c r="X27" i="858" s="1"/>
  <c r="U27" i="858"/>
  <c r="U26" i="858"/>
  <c r="Z26" i="781" s="1"/>
  <c r="U25" i="858"/>
  <c r="Z25" i="781" s="1"/>
  <c r="V25" i="858"/>
  <c r="X25" i="858" s="1"/>
  <c r="U24" i="858"/>
  <c r="Z24" i="781" s="1"/>
  <c r="U23" i="858"/>
  <c r="V23" i="858"/>
  <c r="X23" i="858" s="1"/>
  <c r="U22" i="858"/>
  <c r="Z22" i="781" s="1"/>
  <c r="V22" i="858"/>
  <c r="X22" i="858" s="1"/>
  <c r="U21" i="858"/>
  <c r="Z21" i="781" s="1"/>
  <c r="V21" i="858"/>
  <c r="X21" i="858" s="1"/>
  <c r="U20" i="858"/>
  <c r="Z20" i="781" s="1"/>
  <c r="U19" i="858"/>
  <c r="Z19" i="781" s="1"/>
  <c r="V19" i="858"/>
  <c r="X19" i="858" s="1"/>
  <c r="U18" i="858"/>
  <c r="Z18" i="781" s="1"/>
  <c r="V18" i="858"/>
  <c r="X18" i="858" s="1"/>
  <c r="U17" i="858"/>
  <c r="Z17" i="781" s="1"/>
  <c r="V17" i="858"/>
  <c r="X17" i="858" s="1"/>
  <c r="U16" i="858"/>
  <c r="Z16" i="781" s="1"/>
  <c r="U15" i="858"/>
  <c r="Z15" i="781" s="1"/>
  <c r="V15" i="858"/>
  <c r="X15" i="858" s="1"/>
  <c r="U14" i="858"/>
  <c r="Z14" i="781" s="1"/>
  <c r="V14" i="858"/>
  <c r="X14" i="858" s="1"/>
  <c r="U13" i="858"/>
  <c r="Z13" i="781" s="1"/>
  <c r="V13" i="858"/>
  <c r="X13" i="858" s="1"/>
  <c r="U12" i="858"/>
  <c r="Z12" i="781" s="1"/>
  <c r="U11" i="858"/>
  <c r="Z11" i="781" s="1"/>
  <c r="V11" i="858"/>
  <c r="X11" i="858" s="1"/>
  <c r="U10" i="858"/>
  <c r="Z10" i="781" s="1"/>
  <c r="U9" i="858"/>
  <c r="Z9" i="781" s="1"/>
  <c r="V9" i="858"/>
  <c r="X9" i="858" s="1"/>
  <c r="U8" i="858"/>
  <c r="Z8" i="781" s="1"/>
  <c r="D9" i="857" l="1"/>
  <c r="D10" i="857"/>
  <c r="V10" i="857" s="1"/>
  <c r="X10" i="857" s="1"/>
  <c r="D11" i="857"/>
  <c r="D12" i="857"/>
  <c r="V12" i="857" s="1"/>
  <c r="X12" i="857" s="1"/>
  <c r="D13" i="857"/>
  <c r="D14" i="857"/>
  <c r="V14" i="857" s="1"/>
  <c r="X14" i="857" s="1"/>
  <c r="D15" i="857"/>
  <c r="D16" i="857"/>
  <c r="V16" i="857" s="1"/>
  <c r="X16" i="857" s="1"/>
  <c r="D17" i="857"/>
  <c r="D18" i="857"/>
  <c r="D19" i="857"/>
  <c r="D20" i="857"/>
  <c r="V20" i="857" s="1"/>
  <c r="X20" i="857" s="1"/>
  <c r="D21" i="857"/>
  <c r="D22" i="857"/>
  <c r="D23" i="857"/>
  <c r="D24" i="857"/>
  <c r="V24" i="857" s="1"/>
  <c r="X24" i="857" s="1"/>
  <c r="D25" i="857"/>
  <c r="D26" i="857"/>
  <c r="V26" i="857" s="1"/>
  <c r="X26" i="857" s="1"/>
  <c r="D8" i="857"/>
  <c r="V8" i="857" s="1"/>
  <c r="X8" i="857" s="1"/>
  <c r="D5" i="857"/>
  <c r="E5" i="857" s="1"/>
  <c r="E30" i="857"/>
  <c r="V29" i="857"/>
  <c r="X29" i="857" s="1"/>
  <c r="U29" i="857"/>
  <c r="V28" i="857"/>
  <c r="X28" i="857" s="1"/>
  <c r="U28" i="857"/>
  <c r="V27" i="857"/>
  <c r="X27" i="857" s="1"/>
  <c r="U27" i="857"/>
  <c r="U26" i="857"/>
  <c r="Y26" i="781" s="1"/>
  <c r="U25" i="857"/>
  <c r="Y25" i="781" s="1"/>
  <c r="V25" i="857"/>
  <c r="X25" i="857" s="1"/>
  <c r="U24" i="857"/>
  <c r="Y24" i="781" s="1"/>
  <c r="U23" i="857"/>
  <c r="V23" i="857"/>
  <c r="X23" i="857" s="1"/>
  <c r="U22" i="857"/>
  <c r="Y22" i="781" s="1"/>
  <c r="V22" i="857"/>
  <c r="X22" i="857" s="1"/>
  <c r="U21" i="857"/>
  <c r="Y21" i="781" s="1"/>
  <c r="V21" i="857"/>
  <c r="X21" i="857" s="1"/>
  <c r="U20" i="857"/>
  <c r="Y20" i="781" s="1"/>
  <c r="U19" i="857"/>
  <c r="Y19" i="781" s="1"/>
  <c r="V19" i="857"/>
  <c r="X19" i="857" s="1"/>
  <c r="U18" i="857"/>
  <c r="Y18" i="781" s="1"/>
  <c r="V18" i="857"/>
  <c r="X18" i="857" s="1"/>
  <c r="U17" i="857"/>
  <c r="Y17" i="781" s="1"/>
  <c r="V17" i="857"/>
  <c r="X17" i="857" s="1"/>
  <c r="U16" i="857"/>
  <c r="Y16" i="781" s="1"/>
  <c r="U15" i="857"/>
  <c r="Y15" i="781" s="1"/>
  <c r="V15" i="857"/>
  <c r="X15" i="857" s="1"/>
  <c r="U14" i="857"/>
  <c r="Y14" i="781" s="1"/>
  <c r="U13" i="857"/>
  <c r="Y13" i="781" s="1"/>
  <c r="V13" i="857"/>
  <c r="X13" i="857" s="1"/>
  <c r="U12" i="857"/>
  <c r="Y12" i="781" s="1"/>
  <c r="U11" i="857"/>
  <c r="Y11" i="781" s="1"/>
  <c r="V11" i="857"/>
  <c r="X11" i="857" s="1"/>
  <c r="U10" i="857"/>
  <c r="Y10" i="781" s="1"/>
  <c r="U9" i="857"/>
  <c r="Y9" i="781" s="1"/>
  <c r="V9" i="857"/>
  <c r="X9" i="857" s="1"/>
  <c r="U8" i="857"/>
  <c r="Y8" i="781" s="1"/>
  <c r="D9" i="856" l="1"/>
  <c r="D10" i="856"/>
  <c r="D11" i="856"/>
  <c r="D12" i="856"/>
  <c r="V12" i="856" s="1"/>
  <c r="X12" i="856" s="1"/>
  <c r="D13" i="856"/>
  <c r="D14" i="856"/>
  <c r="D15" i="856"/>
  <c r="D16" i="856"/>
  <c r="V16" i="856" s="1"/>
  <c r="X16" i="856" s="1"/>
  <c r="D17" i="856"/>
  <c r="V17" i="856" s="1"/>
  <c r="X17" i="856" s="1"/>
  <c r="D18" i="856"/>
  <c r="D19" i="856"/>
  <c r="D20" i="856"/>
  <c r="V20" i="856" s="1"/>
  <c r="X20" i="856" s="1"/>
  <c r="D21" i="856"/>
  <c r="D22" i="856"/>
  <c r="D23" i="856"/>
  <c r="D24" i="856"/>
  <c r="V24" i="856" s="1"/>
  <c r="X24" i="856" s="1"/>
  <c r="D25" i="856"/>
  <c r="D26" i="856"/>
  <c r="D8" i="856"/>
  <c r="D5" i="856"/>
  <c r="E5" i="856" s="1"/>
  <c r="E30" i="856"/>
  <c r="V29" i="856"/>
  <c r="X29" i="856" s="1"/>
  <c r="U29" i="856"/>
  <c r="V28" i="856"/>
  <c r="X28" i="856" s="1"/>
  <c r="U28" i="856"/>
  <c r="V27" i="856"/>
  <c r="X27" i="856" s="1"/>
  <c r="U27" i="856"/>
  <c r="U26" i="856"/>
  <c r="X26" i="781" s="1"/>
  <c r="V26" i="856"/>
  <c r="X26" i="856" s="1"/>
  <c r="U25" i="856"/>
  <c r="X25" i="781" s="1"/>
  <c r="V25" i="856"/>
  <c r="X25" i="856" s="1"/>
  <c r="U24" i="856"/>
  <c r="X24" i="781" s="1"/>
  <c r="U23" i="856"/>
  <c r="V23" i="856"/>
  <c r="X23" i="856" s="1"/>
  <c r="U22" i="856"/>
  <c r="X22" i="781" s="1"/>
  <c r="V22" i="856"/>
  <c r="X22" i="856" s="1"/>
  <c r="U21" i="856"/>
  <c r="X21" i="781" s="1"/>
  <c r="V21" i="856"/>
  <c r="X21" i="856" s="1"/>
  <c r="U20" i="856"/>
  <c r="X20" i="781" s="1"/>
  <c r="U19" i="856"/>
  <c r="X19" i="781" s="1"/>
  <c r="V19" i="856"/>
  <c r="X19" i="856" s="1"/>
  <c r="U18" i="856"/>
  <c r="X18" i="781" s="1"/>
  <c r="V18" i="856"/>
  <c r="X18" i="856" s="1"/>
  <c r="U17" i="856"/>
  <c r="X17" i="781" s="1"/>
  <c r="U16" i="856"/>
  <c r="X16" i="781" s="1"/>
  <c r="U15" i="856"/>
  <c r="X15" i="781" s="1"/>
  <c r="V15" i="856"/>
  <c r="X15" i="856" s="1"/>
  <c r="U14" i="856"/>
  <c r="X14" i="781" s="1"/>
  <c r="V14" i="856"/>
  <c r="X14" i="856" s="1"/>
  <c r="U13" i="856"/>
  <c r="X13" i="781" s="1"/>
  <c r="V13" i="856"/>
  <c r="X13" i="856" s="1"/>
  <c r="U12" i="856"/>
  <c r="X12" i="781" s="1"/>
  <c r="U11" i="856"/>
  <c r="X11" i="781" s="1"/>
  <c r="V11" i="856"/>
  <c r="X11" i="856" s="1"/>
  <c r="U10" i="856"/>
  <c r="X10" i="781" s="1"/>
  <c r="V10" i="856"/>
  <c r="X10" i="856" s="1"/>
  <c r="U9" i="856"/>
  <c r="X9" i="781" s="1"/>
  <c r="V9" i="856"/>
  <c r="X9" i="856" s="1"/>
  <c r="U8" i="856"/>
  <c r="X8" i="781" s="1"/>
  <c r="V8" i="856"/>
  <c r="X8" i="856" s="1"/>
  <c r="D9" i="855" l="1"/>
  <c r="D10" i="855"/>
  <c r="D11" i="855"/>
  <c r="D12" i="855"/>
  <c r="D13" i="855"/>
  <c r="D14" i="855"/>
  <c r="D15" i="855"/>
  <c r="D16" i="855"/>
  <c r="D17" i="855"/>
  <c r="D18" i="855"/>
  <c r="D19" i="855"/>
  <c r="D20" i="855"/>
  <c r="D21" i="855"/>
  <c r="D22" i="855"/>
  <c r="D23" i="855"/>
  <c r="D24" i="855"/>
  <c r="D25" i="855"/>
  <c r="D26" i="855"/>
  <c r="V26" i="855" s="1"/>
  <c r="X26" i="855" s="1"/>
  <c r="D8" i="855"/>
  <c r="D5" i="855"/>
  <c r="E5" i="855" s="1"/>
  <c r="E30" i="855"/>
  <c r="V29" i="855"/>
  <c r="X29" i="855" s="1"/>
  <c r="U29" i="855"/>
  <c r="V28" i="855"/>
  <c r="X28" i="855" s="1"/>
  <c r="U28" i="855"/>
  <c r="V27" i="855"/>
  <c r="X27" i="855" s="1"/>
  <c r="U27" i="855"/>
  <c r="U26" i="855"/>
  <c r="W26" i="781" s="1"/>
  <c r="U25" i="855"/>
  <c r="W25" i="781" s="1"/>
  <c r="V25" i="855"/>
  <c r="X25" i="855" s="1"/>
  <c r="U24" i="855"/>
  <c r="W24" i="781" s="1"/>
  <c r="V24" i="855"/>
  <c r="X24" i="855" s="1"/>
  <c r="U23" i="855"/>
  <c r="V23" i="855"/>
  <c r="X23" i="855" s="1"/>
  <c r="U22" i="855"/>
  <c r="W22" i="781" s="1"/>
  <c r="V22" i="855"/>
  <c r="X22" i="855" s="1"/>
  <c r="U21" i="855"/>
  <c r="W21" i="781" s="1"/>
  <c r="V21" i="855"/>
  <c r="X21" i="855" s="1"/>
  <c r="U20" i="855"/>
  <c r="W20" i="781" s="1"/>
  <c r="V20" i="855"/>
  <c r="X20" i="855" s="1"/>
  <c r="U19" i="855"/>
  <c r="W19" i="781" s="1"/>
  <c r="V19" i="855"/>
  <c r="X19" i="855" s="1"/>
  <c r="U18" i="855"/>
  <c r="W18" i="781" s="1"/>
  <c r="V18" i="855"/>
  <c r="X18" i="855" s="1"/>
  <c r="U17" i="855"/>
  <c r="W17" i="781" s="1"/>
  <c r="V17" i="855"/>
  <c r="X17" i="855" s="1"/>
  <c r="U16" i="855"/>
  <c r="W16" i="781" s="1"/>
  <c r="V16" i="855"/>
  <c r="X16" i="855" s="1"/>
  <c r="U15" i="855"/>
  <c r="W15" i="781" s="1"/>
  <c r="V15" i="855"/>
  <c r="X15" i="855" s="1"/>
  <c r="U14" i="855"/>
  <c r="W14" i="781" s="1"/>
  <c r="V14" i="855"/>
  <c r="X14" i="855" s="1"/>
  <c r="U13" i="855"/>
  <c r="W13" i="781" s="1"/>
  <c r="V13" i="855"/>
  <c r="X13" i="855" s="1"/>
  <c r="U12" i="855"/>
  <c r="W12" i="781" s="1"/>
  <c r="V12" i="855"/>
  <c r="X12" i="855" s="1"/>
  <c r="U11" i="855"/>
  <c r="W11" i="781" s="1"/>
  <c r="V11" i="855"/>
  <c r="X11" i="855" s="1"/>
  <c r="U10" i="855"/>
  <c r="W10" i="781" s="1"/>
  <c r="V10" i="855"/>
  <c r="X10" i="855" s="1"/>
  <c r="U9" i="855"/>
  <c r="W9" i="781" s="1"/>
  <c r="V9" i="855"/>
  <c r="X9" i="855" s="1"/>
  <c r="U8" i="855"/>
  <c r="W8" i="781" s="1"/>
  <c r="V8" i="855"/>
  <c r="X8" i="855" s="1"/>
  <c r="D9" i="854"/>
  <c r="D10" i="854"/>
  <c r="V10" i="854" s="1"/>
  <c r="X10" i="854" s="1"/>
  <c r="D11" i="854"/>
  <c r="D12" i="854"/>
  <c r="V12" i="854" s="1"/>
  <c r="X12" i="854" s="1"/>
  <c r="D13" i="854"/>
  <c r="D14" i="854"/>
  <c r="V14" i="854" s="1"/>
  <c r="X14" i="854" s="1"/>
  <c r="D15" i="854"/>
  <c r="V15" i="854" s="1"/>
  <c r="X15" i="854" s="1"/>
  <c r="D16" i="854"/>
  <c r="V16" i="854" s="1"/>
  <c r="X16" i="854" s="1"/>
  <c r="D17" i="854"/>
  <c r="D18" i="854"/>
  <c r="V18" i="854" s="1"/>
  <c r="X18" i="854" s="1"/>
  <c r="D19" i="854"/>
  <c r="D20" i="854"/>
  <c r="V20" i="854" s="1"/>
  <c r="X20" i="854" s="1"/>
  <c r="D21" i="854"/>
  <c r="D22" i="854"/>
  <c r="V22" i="854" s="1"/>
  <c r="X22" i="854" s="1"/>
  <c r="D23" i="854"/>
  <c r="V23" i="854" s="1"/>
  <c r="X23" i="854" s="1"/>
  <c r="D24" i="854"/>
  <c r="V24" i="854" s="1"/>
  <c r="X24" i="854" s="1"/>
  <c r="D25" i="854"/>
  <c r="D26" i="854"/>
  <c r="V26" i="854" s="1"/>
  <c r="X26" i="854" s="1"/>
  <c r="D8" i="854"/>
  <c r="V8" i="854" s="1"/>
  <c r="X8" i="854" s="1"/>
  <c r="D5" i="854"/>
  <c r="E5" i="854" s="1"/>
  <c r="E30" i="854"/>
  <c r="V29" i="854"/>
  <c r="X29" i="854" s="1"/>
  <c r="U29" i="854"/>
  <c r="V28" i="854"/>
  <c r="X28" i="854" s="1"/>
  <c r="U28" i="854"/>
  <c r="V27" i="854"/>
  <c r="X27" i="854" s="1"/>
  <c r="U27" i="854"/>
  <c r="U26" i="854"/>
  <c r="V26" i="781" s="1"/>
  <c r="U25" i="854"/>
  <c r="V25" i="781" s="1"/>
  <c r="V25" i="854"/>
  <c r="X25" i="854" s="1"/>
  <c r="U24" i="854"/>
  <c r="V24" i="781" s="1"/>
  <c r="U23" i="854"/>
  <c r="U22" i="854"/>
  <c r="V22" i="781" s="1"/>
  <c r="U21" i="854"/>
  <c r="V21" i="781" s="1"/>
  <c r="V21" i="854"/>
  <c r="X21" i="854" s="1"/>
  <c r="U20" i="854"/>
  <c r="V20" i="781" s="1"/>
  <c r="U19" i="854"/>
  <c r="V19" i="781" s="1"/>
  <c r="V19" i="854"/>
  <c r="X19" i="854" s="1"/>
  <c r="U18" i="854"/>
  <c r="V18" i="781" s="1"/>
  <c r="U17" i="854"/>
  <c r="V17" i="781" s="1"/>
  <c r="V17" i="854"/>
  <c r="X17" i="854" s="1"/>
  <c r="U16" i="854"/>
  <c r="V16" i="781" s="1"/>
  <c r="U15" i="854"/>
  <c r="V15" i="781" s="1"/>
  <c r="U14" i="854"/>
  <c r="V14" i="781" s="1"/>
  <c r="U13" i="854"/>
  <c r="V13" i="781" s="1"/>
  <c r="V13" i="854"/>
  <c r="X13" i="854" s="1"/>
  <c r="U12" i="854"/>
  <c r="V12" i="781" s="1"/>
  <c r="U11" i="854"/>
  <c r="V11" i="781" s="1"/>
  <c r="V11" i="854"/>
  <c r="X11" i="854" s="1"/>
  <c r="U10" i="854"/>
  <c r="V10" i="781" s="1"/>
  <c r="U9" i="854"/>
  <c r="V9" i="781" s="1"/>
  <c r="V9" i="854"/>
  <c r="X9" i="854" s="1"/>
  <c r="U8" i="854"/>
  <c r="V8" i="781" s="1"/>
  <c r="D9" i="853" l="1"/>
  <c r="D10" i="853"/>
  <c r="D11" i="853"/>
  <c r="D12" i="853"/>
  <c r="V12" i="853" s="1"/>
  <c r="X12" i="853" s="1"/>
  <c r="D13" i="853"/>
  <c r="D14" i="853"/>
  <c r="D15" i="853"/>
  <c r="D16" i="853"/>
  <c r="V16" i="853" s="1"/>
  <c r="X16" i="853" s="1"/>
  <c r="D17" i="853"/>
  <c r="D18" i="853"/>
  <c r="D19" i="853"/>
  <c r="D20" i="853"/>
  <c r="V20" i="853" s="1"/>
  <c r="X20" i="853" s="1"/>
  <c r="D21" i="853"/>
  <c r="D22" i="853"/>
  <c r="D23" i="853"/>
  <c r="D24" i="853"/>
  <c r="V24" i="853" s="1"/>
  <c r="X24" i="853" s="1"/>
  <c r="D25" i="853"/>
  <c r="D26" i="853"/>
  <c r="D8" i="853"/>
  <c r="D5" i="853"/>
  <c r="E5" i="853" s="1"/>
  <c r="E30" i="853"/>
  <c r="V29" i="853"/>
  <c r="X29" i="853" s="1"/>
  <c r="U29" i="853"/>
  <c r="V28" i="853"/>
  <c r="X28" i="853" s="1"/>
  <c r="U28" i="853"/>
  <c r="V27" i="853"/>
  <c r="X27" i="853" s="1"/>
  <c r="U27" i="853"/>
  <c r="U26" i="853"/>
  <c r="U26" i="781" s="1"/>
  <c r="V26" i="853"/>
  <c r="X26" i="853" s="1"/>
  <c r="U25" i="853"/>
  <c r="U25" i="781" s="1"/>
  <c r="V25" i="853"/>
  <c r="X25" i="853" s="1"/>
  <c r="U24" i="853"/>
  <c r="U24" i="781" s="1"/>
  <c r="U23" i="853"/>
  <c r="V23" i="853"/>
  <c r="X23" i="853" s="1"/>
  <c r="U22" i="853"/>
  <c r="U22" i="781" s="1"/>
  <c r="V22" i="853"/>
  <c r="X22" i="853" s="1"/>
  <c r="U21" i="853"/>
  <c r="U21" i="781" s="1"/>
  <c r="V21" i="853"/>
  <c r="X21" i="853" s="1"/>
  <c r="U20" i="853"/>
  <c r="U20" i="781" s="1"/>
  <c r="U19" i="853"/>
  <c r="U19" i="781" s="1"/>
  <c r="V19" i="853"/>
  <c r="X19" i="853" s="1"/>
  <c r="U18" i="853"/>
  <c r="U18" i="781" s="1"/>
  <c r="V18" i="853"/>
  <c r="X18" i="853" s="1"/>
  <c r="U17" i="853"/>
  <c r="U17" i="781" s="1"/>
  <c r="V17" i="853"/>
  <c r="X17" i="853" s="1"/>
  <c r="U16" i="853"/>
  <c r="U16" i="781" s="1"/>
  <c r="U15" i="853"/>
  <c r="U15" i="781" s="1"/>
  <c r="V15" i="853"/>
  <c r="X15" i="853" s="1"/>
  <c r="U14" i="853"/>
  <c r="U14" i="781" s="1"/>
  <c r="V14" i="853"/>
  <c r="X14" i="853" s="1"/>
  <c r="U13" i="853"/>
  <c r="U13" i="781" s="1"/>
  <c r="V13" i="853"/>
  <c r="X13" i="853" s="1"/>
  <c r="U12" i="853"/>
  <c r="U12" i="781" s="1"/>
  <c r="U11" i="853"/>
  <c r="U11" i="781" s="1"/>
  <c r="V11" i="853"/>
  <c r="X11" i="853" s="1"/>
  <c r="U10" i="853"/>
  <c r="U10" i="781" s="1"/>
  <c r="V10" i="853"/>
  <c r="X10" i="853" s="1"/>
  <c r="U9" i="853"/>
  <c r="U9" i="781" s="1"/>
  <c r="V9" i="853"/>
  <c r="X9" i="853" s="1"/>
  <c r="U8" i="853"/>
  <c r="U8" i="781" s="1"/>
  <c r="V8" i="853"/>
  <c r="X8" i="853" s="1"/>
  <c r="D9" i="852"/>
  <c r="V9" i="852" s="1"/>
  <c r="X9" i="852" s="1"/>
  <c r="D10" i="852"/>
  <c r="D11" i="852"/>
  <c r="V11" i="852" s="1"/>
  <c r="X11" i="852" s="1"/>
  <c r="D12" i="852"/>
  <c r="V12" i="852" s="1"/>
  <c r="X12" i="852" s="1"/>
  <c r="D13" i="852"/>
  <c r="V13" i="852" s="1"/>
  <c r="X13" i="852" s="1"/>
  <c r="D14" i="852"/>
  <c r="D15" i="852"/>
  <c r="V15" i="852" s="1"/>
  <c r="X15" i="852" s="1"/>
  <c r="D16" i="852"/>
  <c r="D17" i="852"/>
  <c r="V17" i="852" s="1"/>
  <c r="X17" i="852" s="1"/>
  <c r="D18" i="852"/>
  <c r="D19" i="852"/>
  <c r="V19" i="852" s="1"/>
  <c r="X19" i="852" s="1"/>
  <c r="D20" i="852"/>
  <c r="D21" i="852"/>
  <c r="V21" i="852" s="1"/>
  <c r="X21" i="852" s="1"/>
  <c r="D22" i="852"/>
  <c r="D23" i="852"/>
  <c r="V23" i="852" s="1"/>
  <c r="X23" i="852" s="1"/>
  <c r="D24" i="852"/>
  <c r="D25" i="852"/>
  <c r="V25" i="852" s="1"/>
  <c r="X25" i="852" s="1"/>
  <c r="D26" i="852"/>
  <c r="V26" i="852" s="1"/>
  <c r="X26" i="852" s="1"/>
  <c r="D8" i="852"/>
  <c r="V8" i="852" s="1"/>
  <c r="X8" i="852" s="1"/>
  <c r="D5" i="852"/>
  <c r="E5" i="852" s="1"/>
  <c r="E30" i="852"/>
  <c r="V29" i="852"/>
  <c r="X29" i="852" s="1"/>
  <c r="U29" i="852"/>
  <c r="V28" i="852"/>
  <c r="X28" i="852" s="1"/>
  <c r="U28" i="852"/>
  <c r="V27" i="852"/>
  <c r="X27" i="852" s="1"/>
  <c r="U27" i="852"/>
  <c r="U26" i="852"/>
  <c r="T26" i="781" s="1"/>
  <c r="U25" i="852"/>
  <c r="T25" i="781" s="1"/>
  <c r="U24" i="852"/>
  <c r="T24" i="781" s="1"/>
  <c r="V24" i="852"/>
  <c r="X24" i="852" s="1"/>
  <c r="U23" i="852"/>
  <c r="U22" i="852"/>
  <c r="T22" i="781" s="1"/>
  <c r="V22" i="852"/>
  <c r="X22" i="852" s="1"/>
  <c r="U21" i="852"/>
  <c r="T21" i="781" s="1"/>
  <c r="U20" i="852"/>
  <c r="T20" i="781" s="1"/>
  <c r="V20" i="852"/>
  <c r="X20" i="852" s="1"/>
  <c r="U19" i="852"/>
  <c r="T19" i="781" s="1"/>
  <c r="U18" i="852"/>
  <c r="T18" i="781" s="1"/>
  <c r="V18" i="852"/>
  <c r="X18" i="852" s="1"/>
  <c r="U17" i="852"/>
  <c r="T17" i="781" s="1"/>
  <c r="U16" i="852"/>
  <c r="T16" i="781" s="1"/>
  <c r="V16" i="852"/>
  <c r="X16" i="852" s="1"/>
  <c r="U15" i="852"/>
  <c r="T15" i="781" s="1"/>
  <c r="U14" i="852"/>
  <c r="T14" i="781" s="1"/>
  <c r="V14" i="852"/>
  <c r="X14" i="852" s="1"/>
  <c r="U13" i="852"/>
  <c r="T13" i="781" s="1"/>
  <c r="U12" i="852"/>
  <c r="T12" i="781" s="1"/>
  <c r="U11" i="852"/>
  <c r="T11" i="781" s="1"/>
  <c r="U10" i="852"/>
  <c r="T10" i="781" s="1"/>
  <c r="V10" i="852"/>
  <c r="X10" i="852" s="1"/>
  <c r="U9" i="852"/>
  <c r="T9" i="781" s="1"/>
  <c r="U8" i="852"/>
  <c r="T8" i="781" s="1"/>
  <c r="D9" i="851" l="1"/>
  <c r="D10" i="851"/>
  <c r="D11" i="851"/>
  <c r="D12" i="851"/>
  <c r="D13" i="851"/>
  <c r="D14" i="851"/>
  <c r="D15" i="851"/>
  <c r="D16" i="851"/>
  <c r="D17" i="851"/>
  <c r="D18" i="851"/>
  <c r="D19" i="851"/>
  <c r="D20" i="851"/>
  <c r="D21" i="851"/>
  <c r="D22" i="851"/>
  <c r="D23" i="851"/>
  <c r="D24" i="851"/>
  <c r="D25" i="851"/>
  <c r="D26" i="851"/>
  <c r="D8" i="851"/>
  <c r="D5" i="851"/>
  <c r="E5" i="851" s="1"/>
  <c r="E30" i="851"/>
  <c r="V29" i="851"/>
  <c r="X29" i="851" s="1"/>
  <c r="U29" i="851"/>
  <c r="V28" i="851"/>
  <c r="X28" i="851" s="1"/>
  <c r="U28" i="851"/>
  <c r="V27" i="851"/>
  <c r="X27" i="851" s="1"/>
  <c r="U27" i="851"/>
  <c r="U26" i="851"/>
  <c r="S26" i="781" s="1"/>
  <c r="U25" i="851"/>
  <c r="S25" i="781" s="1"/>
  <c r="U24" i="851"/>
  <c r="S24" i="781" s="1"/>
  <c r="U23" i="851"/>
  <c r="U22" i="851"/>
  <c r="S22" i="781" s="1"/>
  <c r="U21" i="851"/>
  <c r="S21" i="781" s="1"/>
  <c r="U20" i="851"/>
  <c r="S20" i="781" s="1"/>
  <c r="U19" i="851"/>
  <c r="S19" i="781" s="1"/>
  <c r="U18" i="851"/>
  <c r="S18" i="781" s="1"/>
  <c r="U17" i="851"/>
  <c r="S17" i="781" s="1"/>
  <c r="U16" i="851"/>
  <c r="S16" i="781" s="1"/>
  <c r="U15" i="851"/>
  <c r="S15" i="781" s="1"/>
  <c r="U14" i="851"/>
  <c r="S14" i="781" s="1"/>
  <c r="U13" i="851"/>
  <c r="S13" i="781" s="1"/>
  <c r="U12" i="851"/>
  <c r="S12" i="781" s="1"/>
  <c r="U11" i="851"/>
  <c r="S11" i="781" s="1"/>
  <c r="U10" i="851"/>
  <c r="S10" i="781" s="1"/>
  <c r="U9" i="851"/>
  <c r="S9" i="781" s="1"/>
  <c r="U8" i="851"/>
  <c r="S8" i="781" s="1"/>
  <c r="O23" i="781" l="1"/>
  <c r="P23" i="781"/>
  <c r="Q23" i="781"/>
  <c r="R23" i="781"/>
  <c r="O27" i="781"/>
  <c r="P27" i="781"/>
  <c r="Q27" i="781"/>
  <c r="R27" i="781"/>
  <c r="N23" i="781"/>
  <c r="N27" i="781"/>
  <c r="F23" i="781"/>
  <c r="G23" i="781"/>
  <c r="H23" i="781"/>
  <c r="I23" i="781"/>
  <c r="J23" i="781"/>
  <c r="K23" i="781"/>
  <c r="L23" i="781"/>
  <c r="M23" i="781"/>
  <c r="F27" i="781"/>
  <c r="G27" i="781"/>
  <c r="H27" i="781"/>
  <c r="I27" i="781"/>
  <c r="J27" i="781"/>
  <c r="K27" i="781"/>
  <c r="L27" i="781"/>
  <c r="M27" i="781"/>
  <c r="E23" i="781"/>
  <c r="E27" i="781"/>
  <c r="O9" i="780"/>
  <c r="P9" i="780"/>
  <c r="Q9" i="780"/>
  <c r="R9" i="780"/>
  <c r="O10" i="780"/>
  <c r="P10" i="780"/>
  <c r="Q10" i="780"/>
  <c r="R10" i="780"/>
  <c r="O11" i="780"/>
  <c r="P11" i="780"/>
  <c r="Q11" i="780"/>
  <c r="R11" i="780"/>
  <c r="O12" i="780"/>
  <c r="P12" i="780"/>
  <c r="Q12" i="780"/>
  <c r="R12" i="780"/>
  <c r="O13" i="780"/>
  <c r="P13" i="780"/>
  <c r="Q13" i="780"/>
  <c r="R13" i="780"/>
  <c r="O14" i="780"/>
  <c r="P14" i="780"/>
  <c r="Q14" i="780"/>
  <c r="R14" i="780"/>
  <c r="O15" i="780"/>
  <c r="P15" i="780"/>
  <c r="Q15" i="780"/>
  <c r="R15" i="780"/>
  <c r="O16" i="780"/>
  <c r="P16" i="780"/>
  <c r="Q16" i="780"/>
  <c r="R16" i="780"/>
  <c r="O17" i="780"/>
  <c r="P17" i="780"/>
  <c r="Q17" i="780"/>
  <c r="R17" i="780"/>
  <c r="O18" i="780"/>
  <c r="P18" i="780"/>
  <c r="Q18" i="780"/>
  <c r="R18" i="780"/>
  <c r="O19" i="780"/>
  <c r="P19" i="780"/>
  <c r="Q19" i="780"/>
  <c r="R19" i="780"/>
  <c r="O20" i="780"/>
  <c r="P20" i="780"/>
  <c r="Q20" i="780"/>
  <c r="R20" i="780"/>
  <c r="O21" i="780"/>
  <c r="P21" i="780"/>
  <c r="Q21" i="780"/>
  <c r="R21" i="780"/>
  <c r="O22" i="780"/>
  <c r="P22" i="780"/>
  <c r="Q22" i="780"/>
  <c r="R22" i="780"/>
  <c r="O23" i="780"/>
  <c r="P23" i="780"/>
  <c r="Q23" i="780"/>
  <c r="R23" i="780"/>
  <c r="O24" i="780"/>
  <c r="P24" i="780"/>
  <c r="Q24" i="780"/>
  <c r="R24" i="780"/>
  <c r="O25" i="780"/>
  <c r="P25" i="780"/>
  <c r="Q25" i="780"/>
  <c r="R25" i="780"/>
  <c r="O26" i="780"/>
  <c r="P26" i="780"/>
  <c r="Q26" i="780"/>
  <c r="R26" i="780"/>
  <c r="O27" i="780"/>
  <c r="P27" i="780"/>
  <c r="Q27" i="780"/>
  <c r="R27" i="780"/>
  <c r="R8" i="780"/>
  <c r="Q8" i="780"/>
  <c r="P8" i="780"/>
  <c r="O8" i="780"/>
  <c r="N9" i="780"/>
  <c r="N10" i="780"/>
  <c r="N11" i="780"/>
  <c r="N12" i="780"/>
  <c r="N13" i="780"/>
  <c r="N14" i="780"/>
  <c r="N15" i="780"/>
  <c r="N16" i="780"/>
  <c r="N17" i="780"/>
  <c r="N18" i="780"/>
  <c r="N19" i="780"/>
  <c r="N20" i="780"/>
  <c r="N21" i="780"/>
  <c r="N22" i="780"/>
  <c r="N23" i="780"/>
  <c r="N24" i="780"/>
  <c r="N25" i="780"/>
  <c r="N26" i="780"/>
  <c r="N27" i="780"/>
  <c r="N8" i="780"/>
  <c r="F9" i="780"/>
  <c r="G9" i="780"/>
  <c r="H9" i="780"/>
  <c r="I9" i="780"/>
  <c r="J9" i="780"/>
  <c r="K9" i="780"/>
  <c r="L9" i="780"/>
  <c r="M9" i="780"/>
  <c r="F10" i="780"/>
  <c r="G10" i="780"/>
  <c r="H10" i="780"/>
  <c r="I10" i="780"/>
  <c r="J10" i="780"/>
  <c r="K10" i="780"/>
  <c r="L10" i="780"/>
  <c r="M10" i="780"/>
  <c r="F11" i="780"/>
  <c r="G11" i="780"/>
  <c r="H11" i="780"/>
  <c r="I11" i="780"/>
  <c r="J11" i="780"/>
  <c r="K11" i="780"/>
  <c r="L11" i="780"/>
  <c r="M11" i="780"/>
  <c r="F12" i="780"/>
  <c r="G12" i="780"/>
  <c r="H12" i="780"/>
  <c r="I12" i="780"/>
  <c r="J12" i="780"/>
  <c r="K12" i="780"/>
  <c r="L12" i="780"/>
  <c r="M12" i="780"/>
  <c r="F13" i="780"/>
  <c r="G13" i="780"/>
  <c r="H13" i="780"/>
  <c r="I13" i="780"/>
  <c r="J13" i="780"/>
  <c r="K13" i="780"/>
  <c r="L13" i="780"/>
  <c r="M13" i="780"/>
  <c r="F14" i="780"/>
  <c r="G14" i="780"/>
  <c r="H14" i="780"/>
  <c r="I14" i="780"/>
  <c r="J14" i="780"/>
  <c r="K14" i="780"/>
  <c r="L14" i="780"/>
  <c r="M14" i="780"/>
  <c r="F15" i="780"/>
  <c r="G15" i="780"/>
  <c r="H15" i="780"/>
  <c r="I15" i="780"/>
  <c r="J15" i="780"/>
  <c r="K15" i="780"/>
  <c r="L15" i="780"/>
  <c r="M15" i="780"/>
  <c r="F16" i="780"/>
  <c r="G16" i="780"/>
  <c r="H16" i="780"/>
  <c r="I16" i="780"/>
  <c r="J16" i="780"/>
  <c r="K16" i="780"/>
  <c r="L16" i="780"/>
  <c r="M16" i="780"/>
  <c r="F17" i="780"/>
  <c r="G17" i="780"/>
  <c r="H17" i="780"/>
  <c r="I17" i="780"/>
  <c r="J17" i="780"/>
  <c r="K17" i="780"/>
  <c r="L17" i="780"/>
  <c r="M17" i="780"/>
  <c r="F18" i="780"/>
  <c r="G18" i="780"/>
  <c r="H18" i="780"/>
  <c r="I18" i="780"/>
  <c r="J18" i="780"/>
  <c r="K18" i="780"/>
  <c r="L18" i="780"/>
  <c r="M18" i="780"/>
  <c r="F19" i="780"/>
  <c r="G19" i="780"/>
  <c r="H19" i="780"/>
  <c r="I19" i="780"/>
  <c r="J19" i="780"/>
  <c r="K19" i="780"/>
  <c r="L19" i="780"/>
  <c r="M19" i="780"/>
  <c r="F20" i="780"/>
  <c r="G20" i="780"/>
  <c r="H20" i="780"/>
  <c r="I20" i="780"/>
  <c r="J20" i="780"/>
  <c r="K20" i="780"/>
  <c r="L20" i="780"/>
  <c r="M20" i="780"/>
  <c r="F21" i="780"/>
  <c r="G21" i="780"/>
  <c r="H21" i="780"/>
  <c r="I21" i="780"/>
  <c r="J21" i="780"/>
  <c r="K21" i="780"/>
  <c r="L21" i="780"/>
  <c r="M21" i="780"/>
  <c r="F22" i="780"/>
  <c r="G22" i="780"/>
  <c r="H22" i="780"/>
  <c r="I22" i="780"/>
  <c r="J22" i="780"/>
  <c r="K22" i="780"/>
  <c r="L22" i="780"/>
  <c r="M22" i="780"/>
  <c r="F23" i="780"/>
  <c r="G23" i="780"/>
  <c r="H23" i="780"/>
  <c r="I23" i="780"/>
  <c r="J23" i="780"/>
  <c r="K23" i="780"/>
  <c r="L23" i="780"/>
  <c r="M23" i="780"/>
  <c r="F24" i="780"/>
  <c r="G24" i="780"/>
  <c r="H24" i="780"/>
  <c r="I24" i="780"/>
  <c r="J24" i="780"/>
  <c r="K24" i="780"/>
  <c r="L24" i="780"/>
  <c r="M24" i="780"/>
  <c r="F25" i="780"/>
  <c r="G25" i="780"/>
  <c r="H25" i="780"/>
  <c r="I25" i="780"/>
  <c r="J25" i="780"/>
  <c r="K25" i="780"/>
  <c r="L25" i="780"/>
  <c r="M25" i="780"/>
  <c r="F26" i="780"/>
  <c r="G26" i="780"/>
  <c r="H26" i="780"/>
  <c r="I26" i="780"/>
  <c r="J26" i="780"/>
  <c r="K26" i="780"/>
  <c r="L26" i="780"/>
  <c r="M26" i="780"/>
  <c r="M8" i="780"/>
  <c r="L8" i="780"/>
  <c r="K8" i="780"/>
  <c r="J8" i="780"/>
  <c r="I8" i="780"/>
  <c r="H8" i="780"/>
  <c r="G8" i="780"/>
  <c r="F8" i="780"/>
  <c r="E9" i="780"/>
  <c r="E10" i="780"/>
  <c r="E11" i="780"/>
  <c r="E12" i="780"/>
  <c r="E13" i="780"/>
  <c r="E14" i="780"/>
  <c r="E15" i="780"/>
  <c r="E16" i="780"/>
  <c r="E17" i="780"/>
  <c r="E18" i="780"/>
  <c r="E19" i="780"/>
  <c r="E20" i="780"/>
  <c r="E21" i="780"/>
  <c r="E22" i="780"/>
  <c r="E23" i="780"/>
  <c r="E24" i="780"/>
  <c r="E25" i="780"/>
  <c r="E26" i="780"/>
  <c r="E27" i="780"/>
  <c r="E8" i="780"/>
  <c r="D5" i="850"/>
  <c r="E30" i="850" l="1"/>
  <c r="V29" i="850"/>
  <c r="X29" i="850" s="1"/>
  <c r="U29" i="850"/>
  <c r="V28" i="850"/>
  <c r="X28" i="850" s="1"/>
  <c r="U28" i="850"/>
  <c r="V27" i="850"/>
  <c r="X27" i="850" s="1"/>
  <c r="U27" i="850"/>
  <c r="U26" i="850"/>
  <c r="R26" i="781" s="1"/>
  <c r="U25" i="850"/>
  <c r="R25" i="781" s="1"/>
  <c r="U24" i="850"/>
  <c r="R24" i="781" s="1"/>
  <c r="U23" i="850"/>
  <c r="U22" i="850"/>
  <c r="R22" i="781" s="1"/>
  <c r="U21" i="850"/>
  <c r="R21" i="781" s="1"/>
  <c r="U20" i="850"/>
  <c r="R20" i="781" s="1"/>
  <c r="U19" i="850"/>
  <c r="R19" i="781" s="1"/>
  <c r="U18" i="850"/>
  <c r="R18" i="781" s="1"/>
  <c r="U17" i="850"/>
  <c r="R17" i="781" s="1"/>
  <c r="U16" i="850"/>
  <c r="R16" i="781" s="1"/>
  <c r="U15" i="850"/>
  <c r="R15" i="781" s="1"/>
  <c r="U14" i="850"/>
  <c r="R14" i="781" s="1"/>
  <c r="U13" i="850"/>
  <c r="R13" i="781" s="1"/>
  <c r="U12" i="850"/>
  <c r="R12" i="781" s="1"/>
  <c r="U11" i="850"/>
  <c r="R11" i="781" s="1"/>
  <c r="U10" i="850"/>
  <c r="R10" i="781" s="1"/>
  <c r="U9" i="850"/>
  <c r="R9" i="781" s="1"/>
  <c r="U8" i="850"/>
  <c r="R8" i="781" s="1"/>
  <c r="E5" i="850"/>
  <c r="D5" i="849" l="1"/>
  <c r="E5" i="849" s="1"/>
  <c r="E30" i="849"/>
  <c r="V29" i="849"/>
  <c r="X29" i="849" s="1"/>
  <c r="U29" i="849"/>
  <c r="V28" i="849"/>
  <c r="X28" i="849" s="1"/>
  <c r="U28" i="849"/>
  <c r="V27" i="849"/>
  <c r="X27" i="849" s="1"/>
  <c r="U27" i="849"/>
  <c r="U26" i="849"/>
  <c r="Q26" i="781" s="1"/>
  <c r="U25" i="849"/>
  <c r="Q25" i="781" s="1"/>
  <c r="U24" i="849"/>
  <c r="Q24" i="781" s="1"/>
  <c r="U23" i="849"/>
  <c r="U22" i="849"/>
  <c r="Q22" i="781" s="1"/>
  <c r="U21" i="849"/>
  <c r="Q21" i="781" s="1"/>
  <c r="U20" i="849"/>
  <c r="Q20" i="781" s="1"/>
  <c r="U19" i="849"/>
  <c r="Q19" i="781" s="1"/>
  <c r="U18" i="849"/>
  <c r="Q18" i="781" s="1"/>
  <c r="U17" i="849"/>
  <c r="Q17" i="781" s="1"/>
  <c r="U16" i="849"/>
  <c r="Q16" i="781" s="1"/>
  <c r="U15" i="849"/>
  <c r="Q15" i="781" s="1"/>
  <c r="U14" i="849"/>
  <c r="Q14" i="781" s="1"/>
  <c r="U13" i="849"/>
  <c r="Q13" i="781" s="1"/>
  <c r="U12" i="849"/>
  <c r="Q12" i="781" s="1"/>
  <c r="U11" i="849"/>
  <c r="Q11" i="781" s="1"/>
  <c r="U10" i="849"/>
  <c r="Q10" i="781" s="1"/>
  <c r="U9" i="849"/>
  <c r="Q9" i="781" s="1"/>
  <c r="U8" i="849"/>
  <c r="Q8" i="781" s="1"/>
  <c r="D5" i="848" l="1"/>
  <c r="E5" i="848" s="1"/>
  <c r="E30" i="848"/>
  <c r="V29" i="848"/>
  <c r="X29" i="848" s="1"/>
  <c r="U29" i="848"/>
  <c r="V28" i="848"/>
  <c r="X28" i="848" s="1"/>
  <c r="U28" i="848"/>
  <c r="V27" i="848"/>
  <c r="X27" i="848" s="1"/>
  <c r="U27" i="848"/>
  <c r="U26" i="848"/>
  <c r="P26" i="781" s="1"/>
  <c r="U25" i="848"/>
  <c r="P25" i="781" s="1"/>
  <c r="U24" i="848"/>
  <c r="P24" i="781" s="1"/>
  <c r="U23" i="848"/>
  <c r="U22" i="848"/>
  <c r="P22" i="781" s="1"/>
  <c r="U21" i="848"/>
  <c r="P21" i="781" s="1"/>
  <c r="U20" i="848"/>
  <c r="P20" i="781" s="1"/>
  <c r="U19" i="848"/>
  <c r="P19" i="781" s="1"/>
  <c r="U18" i="848"/>
  <c r="P18" i="781" s="1"/>
  <c r="U17" i="848"/>
  <c r="P17" i="781" s="1"/>
  <c r="U16" i="848"/>
  <c r="P16" i="781" s="1"/>
  <c r="U15" i="848"/>
  <c r="P15" i="781" s="1"/>
  <c r="U14" i="848"/>
  <c r="P14" i="781" s="1"/>
  <c r="U13" i="848"/>
  <c r="P13" i="781" s="1"/>
  <c r="U12" i="848"/>
  <c r="P12" i="781" s="1"/>
  <c r="U11" i="848"/>
  <c r="P11" i="781" s="1"/>
  <c r="U10" i="848"/>
  <c r="P10" i="781" s="1"/>
  <c r="U9" i="848"/>
  <c r="P9" i="781" s="1"/>
  <c r="U8" i="848"/>
  <c r="P8" i="781" s="1"/>
  <c r="D5" i="847"/>
  <c r="E5" i="847" s="1"/>
  <c r="E30" i="847"/>
  <c r="V29" i="847"/>
  <c r="X29" i="847" s="1"/>
  <c r="U29" i="847"/>
  <c r="V28" i="847"/>
  <c r="X28" i="847" s="1"/>
  <c r="U28" i="847"/>
  <c r="V27" i="847"/>
  <c r="X27" i="847" s="1"/>
  <c r="U27" i="847"/>
  <c r="U26" i="847"/>
  <c r="O26" i="781" s="1"/>
  <c r="U25" i="847"/>
  <c r="O25" i="781" s="1"/>
  <c r="U24" i="847"/>
  <c r="O24" i="781" s="1"/>
  <c r="U23" i="847"/>
  <c r="U22" i="847"/>
  <c r="O22" i="781" s="1"/>
  <c r="U21" i="847"/>
  <c r="O21" i="781" s="1"/>
  <c r="U20" i="847"/>
  <c r="O20" i="781" s="1"/>
  <c r="U19" i="847"/>
  <c r="O19" i="781" s="1"/>
  <c r="U18" i="847"/>
  <c r="O18" i="781" s="1"/>
  <c r="U17" i="847"/>
  <c r="O17" i="781" s="1"/>
  <c r="U16" i="847"/>
  <c r="O16" i="781" s="1"/>
  <c r="U15" i="847"/>
  <c r="O15" i="781" s="1"/>
  <c r="U14" i="847"/>
  <c r="O14" i="781" s="1"/>
  <c r="U13" i="847"/>
  <c r="O13" i="781" s="1"/>
  <c r="U12" i="847"/>
  <c r="O12" i="781" s="1"/>
  <c r="U11" i="847"/>
  <c r="O11" i="781" s="1"/>
  <c r="U10" i="847"/>
  <c r="O10" i="781" s="1"/>
  <c r="U9" i="847"/>
  <c r="O9" i="781" s="1"/>
  <c r="U8" i="847"/>
  <c r="O8" i="781" s="1"/>
  <c r="D5" i="846" l="1"/>
  <c r="E5" i="846" s="1"/>
  <c r="E30" i="846"/>
  <c r="V29" i="846"/>
  <c r="X29" i="846" s="1"/>
  <c r="U29" i="846"/>
  <c r="V28" i="846"/>
  <c r="X28" i="846" s="1"/>
  <c r="U28" i="846"/>
  <c r="V27" i="846"/>
  <c r="X27" i="846" s="1"/>
  <c r="U27" i="846"/>
  <c r="U26" i="846"/>
  <c r="N26" i="781" s="1"/>
  <c r="U25" i="846"/>
  <c r="N25" i="781" s="1"/>
  <c r="U24" i="846"/>
  <c r="N24" i="781" s="1"/>
  <c r="U23" i="846"/>
  <c r="U22" i="846"/>
  <c r="N22" i="781" s="1"/>
  <c r="U21" i="846"/>
  <c r="N21" i="781" s="1"/>
  <c r="U20" i="846"/>
  <c r="N20" i="781" s="1"/>
  <c r="U19" i="846"/>
  <c r="N19" i="781" s="1"/>
  <c r="U18" i="846"/>
  <c r="N18" i="781" s="1"/>
  <c r="U17" i="846"/>
  <c r="N17" i="781" s="1"/>
  <c r="U16" i="846"/>
  <c r="N16" i="781" s="1"/>
  <c r="U15" i="846"/>
  <c r="N15" i="781" s="1"/>
  <c r="U14" i="846"/>
  <c r="N14" i="781" s="1"/>
  <c r="U13" i="846"/>
  <c r="N13" i="781" s="1"/>
  <c r="U12" i="846"/>
  <c r="N12" i="781" s="1"/>
  <c r="U11" i="846"/>
  <c r="N11" i="781" s="1"/>
  <c r="U10" i="846"/>
  <c r="N10" i="781" s="1"/>
  <c r="U9" i="846"/>
  <c r="N9" i="781" s="1"/>
  <c r="U8" i="846"/>
  <c r="N8" i="781" s="1"/>
  <c r="D5" i="845"/>
  <c r="E5" i="845" s="1"/>
  <c r="E30" i="845"/>
  <c r="V29" i="845"/>
  <c r="X29" i="845" s="1"/>
  <c r="U29" i="845"/>
  <c r="V28" i="845"/>
  <c r="X28" i="845" s="1"/>
  <c r="U28" i="845"/>
  <c r="V27" i="845"/>
  <c r="X27" i="845" s="1"/>
  <c r="U27" i="845"/>
  <c r="U26" i="845"/>
  <c r="M26" i="781" s="1"/>
  <c r="U25" i="845"/>
  <c r="M25" i="781" s="1"/>
  <c r="U24" i="845"/>
  <c r="M24" i="781" s="1"/>
  <c r="U23" i="845"/>
  <c r="U22" i="845"/>
  <c r="M22" i="781" s="1"/>
  <c r="U21" i="845"/>
  <c r="M21" i="781" s="1"/>
  <c r="U20" i="845"/>
  <c r="M20" i="781" s="1"/>
  <c r="U19" i="845"/>
  <c r="M19" i="781" s="1"/>
  <c r="U18" i="845"/>
  <c r="M18" i="781" s="1"/>
  <c r="U17" i="845"/>
  <c r="M17" i="781" s="1"/>
  <c r="U16" i="845"/>
  <c r="M16" i="781" s="1"/>
  <c r="U15" i="845"/>
  <c r="M15" i="781" s="1"/>
  <c r="U14" i="845"/>
  <c r="M14" i="781" s="1"/>
  <c r="U13" i="845"/>
  <c r="M13" i="781" s="1"/>
  <c r="U12" i="845"/>
  <c r="M12" i="781" s="1"/>
  <c r="U11" i="845"/>
  <c r="M11" i="781" s="1"/>
  <c r="U10" i="845"/>
  <c r="M10" i="781" s="1"/>
  <c r="U9" i="845"/>
  <c r="M9" i="781" s="1"/>
  <c r="U8" i="845"/>
  <c r="M8" i="781" s="1"/>
  <c r="D5" i="844"/>
  <c r="E5" i="844" s="1"/>
  <c r="E30" i="844"/>
  <c r="V29" i="844"/>
  <c r="X29" i="844" s="1"/>
  <c r="U29" i="844"/>
  <c r="V28" i="844"/>
  <c r="X28" i="844" s="1"/>
  <c r="U28" i="844"/>
  <c r="V27" i="844"/>
  <c r="X27" i="844" s="1"/>
  <c r="U27" i="844"/>
  <c r="U26" i="844"/>
  <c r="L26" i="781" s="1"/>
  <c r="U25" i="844"/>
  <c r="L25" i="781" s="1"/>
  <c r="U24" i="844"/>
  <c r="L24" i="781" s="1"/>
  <c r="U23" i="844"/>
  <c r="U22" i="844"/>
  <c r="L22" i="781" s="1"/>
  <c r="U21" i="844"/>
  <c r="L21" i="781" s="1"/>
  <c r="U20" i="844"/>
  <c r="L20" i="781" s="1"/>
  <c r="U19" i="844"/>
  <c r="L19" i="781" s="1"/>
  <c r="U18" i="844"/>
  <c r="L18" i="781" s="1"/>
  <c r="U17" i="844"/>
  <c r="L17" i="781" s="1"/>
  <c r="U16" i="844"/>
  <c r="L16" i="781" s="1"/>
  <c r="U15" i="844"/>
  <c r="L15" i="781" s="1"/>
  <c r="U14" i="844"/>
  <c r="L14" i="781" s="1"/>
  <c r="U13" i="844"/>
  <c r="L13" i="781" s="1"/>
  <c r="U12" i="844"/>
  <c r="L12" i="781" s="1"/>
  <c r="U11" i="844"/>
  <c r="L11" i="781" s="1"/>
  <c r="U10" i="844"/>
  <c r="L10" i="781" s="1"/>
  <c r="U9" i="844"/>
  <c r="L9" i="781" s="1"/>
  <c r="U8" i="844"/>
  <c r="L8" i="781" s="1"/>
  <c r="D5" i="843" l="1"/>
  <c r="E5" i="843" s="1"/>
  <c r="E30" i="843"/>
  <c r="V29" i="843"/>
  <c r="X29" i="843" s="1"/>
  <c r="U29" i="843"/>
  <c r="V28" i="843"/>
  <c r="X28" i="843" s="1"/>
  <c r="U28" i="843"/>
  <c r="V27" i="843"/>
  <c r="X27" i="843" s="1"/>
  <c r="U27" i="843"/>
  <c r="U26" i="843"/>
  <c r="K26" i="781" s="1"/>
  <c r="U25" i="843"/>
  <c r="K25" i="781" s="1"/>
  <c r="U24" i="843"/>
  <c r="K24" i="781" s="1"/>
  <c r="U23" i="843"/>
  <c r="U22" i="843"/>
  <c r="K22" i="781" s="1"/>
  <c r="U21" i="843"/>
  <c r="K21" i="781" s="1"/>
  <c r="U20" i="843"/>
  <c r="K20" i="781" s="1"/>
  <c r="U19" i="843"/>
  <c r="K19" i="781" s="1"/>
  <c r="U18" i="843"/>
  <c r="K18" i="781" s="1"/>
  <c r="U17" i="843"/>
  <c r="K17" i="781" s="1"/>
  <c r="U16" i="843"/>
  <c r="K16" i="781" s="1"/>
  <c r="U15" i="843"/>
  <c r="K15" i="781" s="1"/>
  <c r="U14" i="843"/>
  <c r="K14" i="781" s="1"/>
  <c r="U13" i="843"/>
  <c r="K13" i="781" s="1"/>
  <c r="U12" i="843"/>
  <c r="K12" i="781" s="1"/>
  <c r="U11" i="843"/>
  <c r="K11" i="781" s="1"/>
  <c r="U10" i="843"/>
  <c r="K10" i="781" s="1"/>
  <c r="U9" i="843"/>
  <c r="K9" i="781" s="1"/>
  <c r="U8" i="843"/>
  <c r="K8" i="781" s="1"/>
  <c r="W11" i="842"/>
  <c r="W10" i="842"/>
  <c r="W9" i="842"/>
  <c r="D5" i="842" l="1"/>
  <c r="E5" i="842" s="1"/>
  <c r="E30" i="842"/>
  <c r="V29" i="842"/>
  <c r="X29" i="842" s="1"/>
  <c r="U29" i="842"/>
  <c r="V28" i="842"/>
  <c r="X28" i="842" s="1"/>
  <c r="U28" i="842"/>
  <c r="V27" i="842"/>
  <c r="X27" i="842" s="1"/>
  <c r="U27" i="842"/>
  <c r="U26" i="842"/>
  <c r="J26" i="781" s="1"/>
  <c r="U25" i="842"/>
  <c r="J25" i="781" s="1"/>
  <c r="U24" i="842"/>
  <c r="J24" i="781" s="1"/>
  <c r="U23" i="842"/>
  <c r="U22" i="842"/>
  <c r="J22" i="781" s="1"/>
  <c r="U21" i="842"/>
  <c r="J21" i="781" s="1"/>
  <c r="U20" i="842"/>
  <c r="J20" i="781" s="1"/>
  <c r="U19" i="842"/>
  <c r="J19" i="781" s="1"/>
  <c r="U18" i="842"/>
  <c r="J18" i="781" s="1"/>
  <c r="U17" i="842"/>
  <c r="J17" i="781" s="1"/>
  <c r="U16" i="842"/>
  <c r="J16" i="781" s="1"/>
  <c r="U15" i="842"/>
  <c r="J15" i="781" s="1"/>
  <c r="U14" i="842"/>
  <c r="J14" i="781" s="1"/>
  <c r="U13" i="842"/>
  <c r="J13" i="781" s="1"/>
  <c r="U12" i="842"/>
  <c r="J12" i="781" s="1"/>
  <c r="U11" i="842"/>
  <c r="J11" i="781" s="1"/>
  <c r="U10" i="842"/>
  <c r="J10" i="781" s="1"/>
  <c r="U9" i="842"/>
  <c r="J9" i="781" s="1"/>
  <c r="U8" i="842"/>
  <c r="J8" i="781" s="1"/>
  <c r="E30" i="841" l="1"/>
  <c r="V29" i="841"/>
  <c r="X29" i="841" s="1"/>
  <c r="U29" i="841"/>
  <c r="V28" i="841"/>
  <c r="X28" i="841" s="1"/>
  <c r="U28" i="841"/>
  <c r="V27" i="841"/>
  <c r="X27" i="841" s="1"/>
  <c r="U27" i="841"/>
  <c r="U26" i="841"/>
  <c r="I26" i="781" s="1"/>
  <c r="U25" i="841"/>
  <c r="I25" i="781" s="1"/>
  <c r="U24" i="841"/>
  <c r="I24" i="781" s="1"/>
  <c r="U23" i="841"/>
  <c r="U22" i="841"/>
  <c r="I22" i="781" s="1"/>
  <c r="U21" i="841"/>
  <c r="I21" i="781" s="1"/>
  <c r="U20" i="841"/>
  <c r="I20" i="781" s="1"/>
  <c r="U19" i="841"/>
  <c r="I19" i="781" s="1"/>
  <c r="U18" i="841"/>
  <c r="I18" i="781" s="1"/>
  <c r="U17" i="841"/>
  <c r="I17" i="781" s="1"/>
  <c r="U16" i="841"/>
  <c r="I16" i="781" s="1"/>
  <c r="U15" i="841"/>
  <c r="I15" i="781" s="1"/>
  <c r="U14" i="841"/>
  <c r="I14" i="781" s="1"/>
  <c r="U13" i="841"/>
  <c r="I13" i="781" s="1"/>
  <c r="U12" i="841"/>
  <c r="I12" i="781" s="1"/>
  <c r="U11" i="841"/>
  <c r="I11" i="781" s="1"/>
  <c r="U10" i="841"/>
  <c r="I10" i="781" s="1"/>
  <c r="U9" i="841"/>
  <c r="I9" i="781" s="1"/>
  <c r="U8" i="841"/>
  <c r="I8" i="781" s="1"/>
  <c r="E5" i="841"/>
  <c r="D5" i="838" l="1"/>
  <c r="D5" i="840" l="1"/>
  <c r="E5" i="840" s="1"/>
  <c r="E30" i="840"/>
  <c r="V29" i="840"/>
  <c r="X29" i="840" s="1"/>
  <c r="U29" i="840"/>
  <c r="V28" i="840"/>
  <c r="X28" i="840" s="1"/>
  <c r="U28" i="840"/>
  <c r="V27" i="840"/>
  <c r="X27" i="840" s="1"/>
  <c r="U27" i="840"/>
  <c r="U26" i="840"/>
  <c r="H26" i="781" s="1"/>
  <c r="U25" i="840"/>
  <c r="H25" i="781" s="1"/>
  <c r="U24" i="840"/>
  <c r="H24" i="781" s="1"/>
  <c r="U23" i="840"/>
  <c r="U22" i="840"/>
  <c r="H22" i="781" s="1"/>
  <c r="U21" i="840"/>
  <c r="H21" i="781" s="1"/>
  <c r="U20" i="840"/>
  <c r="H20" i="781" s="1"/>
  <c r="U19" i="840"/>
  <c r="H19" i="781" s="1"/>
  <c r="U18" i="840"/>
  <c r="H18" i="781" s="1"/>
  <c r="U17" i="840"/>
  <c r="H17" i="781" s="1"/>
  <c r="U16" i="840"/>
  <c r="H16" i="781" s="1"/>
  <c r="U15" i="840"/>
  <c r="H15" i="781" s="1"/>
  <c r="U14" i="840"/>
  <c r="H14" i="781" s="1"/>
  <c r="U13" i="840"/>
  <c r="H13" i="781" s="1"/>
  <c r="U12" i="840"/>
  <c r="H12" i="781" s="1"/>
  <c r="U11" i="840"/>
  <c r="H11" i="781" s="1"/>
  <c r="U10" i="840"/>
  <c r="H10" i="781" s="1"/>
  <c r="U9" i="840"/>
  <c r="H9" i="781" s="1"/>
  <c r="U8" i="840"/>
  <c r="H8" i="781" s="1"/>
  <c r="D5" i="839" l="1"/>
  <c r="E5" i="839" s="1"/>
  <c r="E30" i="839"/>
  <c r="V29" i="839"/>
  <c r="X29" i="839" s="1"/>
  <c r="U29" i="839"/>
  <c r="V28" i="839"/>
  <c r="X28" i="839" s="1"/>
  <c r="U28" i="839"/>
  <c r="U27" i="839"/>
  <c r="U26" i="839"/>
  <c r="G26" i="781" s="1"/>
  <c r="U25" i="839"/>
  <c r="G25" i="781" s="1"/>
  <c r="U24" i="839"/>
  <c r="G24" i="781" s="1"/>
  <c r="U23" i="839"/>
  <c r="U22" i="839"/>
  <c r="G22" i="781" s="1"/>
  <c r="U21" i="839"/>
  <c r="G21" i="781" s="1"/>
  <c r="U20" i="839"/>
  <c r="G20" i="781" s="1"/>
  <c r="U19" i="839"/>
  <c r="G19" i="781" s="1"/>
  <c r="U18" i="839"/>
  <c r="G18" i="781" s="1"/>
  <c r="U17" i="839"/>
  <c r="G17" i="781" s="1"/>
  <c r="U16" i="839"/>
  <c r="G16" i="781" s="1"/>
  <c r="U15" i="839"/>
  <c r="G15" i="781" s="1"/>
  <c r="U14" i="839"/>
  <c r="G14" i="781" s="1"/>
  <c r="U13" i="839"/>
  <c r="G13" i="781" s="1"/>
  <c r="U12" i="839"/>
  <c r="G12" i="781" s="1"/>
  <c r="U11" i="839"/>
  <c r="G11" i="781" s="1"/>
  <c r="U10" i="839"/>
  <c r="G10" i="781" s="1"/>
  <c r="U9" i="839"/>
  <c r="G9" i="781" s="1"/>
  <c r="U8" i="839"/>
  <c r="G8" i="781" s="1"/>
  <c r="E30" i="838" l="1"/>
  <c r="F27" i="780" s="1"/>
  <c r="V29" i="838"/>
  <c r="X29" i="838" s="1"/>
  <c r="U29" i="838"/>
  <c r="V28" i="838"/>
  <c r="X28" i="838" s="1"/>
  <c r="U28" i="838"/>
  <c r="U27" i="838"/>
  <c r="U26" i="838"/>
  <c r="F26" i="781" s="1"/>
  <c r="U25" i="838"/>
  <c r="F25" i="781" s="1"/>
  <c r="U24" i="838"/>
  <c r="F24" i="781" s="1"/>
  <c r="U23" i="838"/>
  <c r="U22" i="838"/>
  <c r="F22" i="781" s="1"/>
  <c r="U21" i="838"/>
  <c r="F21" i="781" s="1"/>
  <c r="U20" i="838"/>
  <c r="F20" i="781" s="1"/>
  <c r="U19" i="838"/>
  <c r="F19" i="781" s="1"/>
  <c r="U18" i="838"/>
  <c r="F18" i="781" s="1"/>
  <c r="U17" i="838"/>
  <c r="F17" i="781" s="1"/>
  <c r="U16" i="838"/>
  <c r="F16" i="781" s="1"/>
  <c r="U15" i="838"/>
  <c r="F15" i="781" s="1"/>
  <c r="U14" i="838"/>
  <c r="F14" i="781" s="1"/>
  <c r="U13" i="838"/>
  <c r="F13" i="781" s="1"/>
  <c r="U12" i="838"/>
  <c r="F12" i="781" s="1"/>
  <c r="U11" i="838"/>
  <c r="F11" i="781" s="1"/>
  <c r="U10" i="838"/>
  <c r="F10" i="781" s="1"/>
  <c r="U9" i="838"/>
  <c r="F9" i="781" s="1"/>
  <c r="U8" i="838"/>
  <c r="F8" i="781" s="1"/>
  <c r="E5" i="838"/>
  <c r="D5" i="837"/>
  <c r="E5" i="837" s="1"/>
  <c r="E30" i="837"/>
  <c r="V29" i="837"/>
  <c r="X29" i="837" s="1"/>
  <c r="U29" i="837"/>
  <c r="V28" i="837"/>
  <c r="X28" i="837" s="1"/>
  <c r="U28" i="837"/>
  <c r="U27" i="837"/>
  <c r="U26" i="837"/>
  <c r="E26" i="781" s="1"/>
  <c r="U25" i="837"/>
  <c r="E25" i="781" s="1"/>
  <c r="U24" i="837"/>
  <c r="E24" i="781" s="1"/>
  <c r="U23" i="837"/>
  <c r="U22" i="837"/>
  <c r="E22" i="781" s="1"/>
  <c r="U21" i="837"/>
  <c r="E21" i="781" s="1"/>
  <c r="U20" i="837"/>
  <c r="E20" i="781" s="1"/>
  <c r="U19" i="837"/>
  <c r="E19" i="781" s="1"/>
  <c r="U18" i="837"/>
  <c r="E18" i="781" s="1"/>
  <c r="U17" i="837"/>
  <c r="E17" i="781" s="1"/>
  <c r="U16" i="837"/>
  <c r="E16" i="781" s="1"/>
  <c r="U15" i="837"/>
  <c r="E15" i="781" s="1"/>
  <c r="U14" i="837"/>
  <c r="E14" i="781" s="1"/>
  <c r="U13" i="837"/>
  <c r="E13" i="781" s="1"/>
  <c r="U12" i="837"/>
  <c r="E12" i="781" s="1"/>
  <c r="U11" i="837"/>
  <c r="E11" i="781" s="1"/>
  <c r="U10" i="837"/>
  <c r="E10" i="781" s="1"/>
  <c r="U9" i="837"/>
  <c r="E9" i="781" s="1"/>
  <c r="U8" i="837"/>
  <c r="E8" i="781" s="1"/>
  <c r="D27" i="837" l="1"/>
  <c r="V27" i="837" s="1"/>
  <c r="V25" i="837"/>
  <c r="V23" i="837"/>
  <c r="V21" i="837"/>
  <c r="V19" i="837"/>
  <c r="V17" i="837"/>
  <c r="V15" i="837"/>
  <c r="V13" i="837"/>
  <c r="V11" i="837"/>
  <c r="V9" i="837"/>
  <c r="V8" i="837"/>
  <c r="V26" i="837"/>
  <c r="V24" i="837"/>
  <c r="V22" i="837"/>
  <c r="V20" i="837"/>
  <c r="V18" i="837"/>
  <c r="V16" i="837"/>
  <c r="V14" i="837"/>
  <c r="V12" i="837"/>
  <c r="V10" i="837"/>
  <c r="X10" i="837" l="1"/>
  <c r="D10" i="838"/>
  <c r="V10" i="838" s="1"/>
  <c r="X14" i="837"/>
  <c r="D14" i="838"/>
  <c r="V14" i="838" s="1"/>
  <c r="X18" i="837"/>
  <c r="D18" i="838"/>
  <c r="V18" i="838" s="1"/>
  <c r="X22" i="837"/>
  <c r="D22" i="838"/>
  <c r="V22" i="838" s="1"/>
  <c r="X26" i="837"/>
  <c r="D26" i="838"/>
  <c r="V26" i="838" s="1"/>
  <c r="X9" i="837"/>
  <c r="D9" i="838"/>
  <c r="V9" i="838" s="1"/>
  <c r="X13" i="837"/>
  <c r="D13" i="838"/>
  <c r="V13" i="838" s="1"/>
  <c r="X17" i="837"/>
  <c r="D17" i="838"/>
  <c r="V17" i="838" s="1"/>
  <c r="X21" i="837"/>
  <c r="D21" i="838"/>
  <c r="V21" i="838" s="1"/>
  <c r="X25" i="837"/>
  <c r="D25" i="838"/>
  <c r="V25" i="838" s="1"/>
  <c r="X12" i="837"/>
  <c r="D12" i="838"/>
  <c r="V12" i="838" s="1"/>
  <c r="X16" i="837"/>
  <c r="D16" i="838"/>
  <c r="V16" i="838" s="1"/>
  <c r="X20" i="837"/>
  <c r="D20" i="838"/>
  <c r="V20" i="838" s="1"/>
  <c r="X24" i="837"/>
  <c r="D24" i="838"/>
  <c r="V24" i="838" s="1"/>
  <c r="X8" i="837"/>
  <c r="D8" i="838"/>
  <c r="V8" i="838" s="1"/>
  <c r="X11" i="837"/>
  <c r="D11" i="838"/>
  <c r="V11" i="838" s="1"/>
  <c r="X15" i="837"/>
  <c r="D15" i="838"/>
  <c r="V15" i="838" s="1"/>
  <c r="X19" i="837"/>
  <c r="D19" i="838"/>
  <c r="V19" i="838" s="1"/>
  <c r="X23" i="837"/>
  <c r="D23" i="838"/>
  <c r="V23" i="838" s="1"/>
  <c r="X27" i="837"/>
  <c r="V27" i="839"/>
  <c r="X27" i="839" s="1"/>
  <c r="D27" i="838"/>
  <c r="V27" i="838" s="1"/>
  <c r="X27" i="838" s="1"/>
  <c r="X23" i="838" l="1"/>
  <c r="D23" i="839"/>
  <c r="V23" i="839" s="1"/>
  <c r="X24" i="838"/>
  <c r="D24" i="839"/>
  <c r="V24" i="839" s="1"/>
  <c r="X25" i="838"/>
  <c r="D25" i="839"/>
  <c r="V25" i="839" s="1"/>
  <c r="X17" i="838"/>
  <c r="D17" i="839"/>
  <c r="V17" i="839" s="1"/>
  <c r="X22" i="838"/>
  <c r="D22" i="839"/>
  <c r="V22" i="839" s="1"/>
  <c r="X19" i="838"/>
  <c r="D19" i="839"/>
  <c r="V19" i="839" s="1"/>
  <c r="X20" i="838"/>
  <c r="D20" i="839"/>
  <c r="V20" i="839" s="1"/>
  <c r="X21" i="838"/>
  <c r="D21" i="839"/>
  <c r="V21" i="839" s="1"/>
  <c r="X26" i="838"/>
  <c r="D26" i="839"/>
  <c r="V26" i="839" s="1"/>
  <c r="X18" i="838"/>
  <c r="D18" i="839"/>
  <c r="V18" i="839" s="1"/>
  <c r="X11" i="838"/>
  <c r="D11" i="839"/>
  <c r="V11" i="839" s="1"/>
  <c r="X16" i="838"/>
  <c r="D16" i="839"/>
  <c r="V16" i="839" s="1"/>
  <c r="X9" i="838"/>
  <c r="D9" i="839"/>
  <c r="V9" i="839" s="1"/>
  <c r="X14" i="838"/>
  <c r="D14" i="839"/>
  <c r="V14" i="839" s="1"/>
  <c r="X15" i="838"/>
  <c r="D15" i="839"/>
  <c r="V15" i="839" s="1"/>
  <c r="X8" i="838"/>
  <c r="D8" i="839"/>
  <c r="V8" i="839" s="1"/>
  <c r="X12" i="838"/>
  <c r="D12" i="839"/>
  <c r="V12" i="839" s="1"/>
  <c r="X13" i="838"/>
  <c r="D13" i="839"/>
  <c r="V13" i="839" s="1"/>
  <c r="X10" i="838"/>
  <c r="D10" i="839"/>
  <c r="V10" i="839" s="1"/>
  <c r="X13" i="839" l="1"/>
  <c r="D13" i="840"/>
  <c r="V13" i="840" s="1"/>
  <c r="X8" i="839"/>
  <c r="X14" i="839"/>
  <c r="D14" i="840"/>
  <c r="V14" i="840" s="1"/>
  <c r="X9" i="839"/>
  <c r="D9" i="840"/>
  <c r="V9" i="840" s="1"/>
  <c r="X16" i="839"/>
  <c r="D16" i="840"/>
  <c r="V16" i="840" s="1"/>
  <c r="X11" i="839"/>
  <c r="D11" i="840"/>
  <c r="V11" i="840" s="1"/>
  <c r="X18" i="839"/>
  <c r="D18" i="840"/>
  <c r="V18" i="840" s="1"/>
  <c r="X26" i="839"/>
  <c r="D26" i="840"/>
  <c r="V26" i="840" s="1"/>
  <c r="X21" i="839"/>
  <c r="D21" i="840"/>
  <c r="V21" i="840" s="1"/>
  <c r="X20" i="839"/>
  <c r="D20" i="840"/>
  <c r="V20" i="840" s="1"/>
  <c r="X19" i="839"/>
  <c r="D19" i="840"/>
  <c r="V19" i="840" s="1"/>
  <c r="X22" i="839"/>
  <c r="D22" i="840"/>
  <c r="V22" i="840" s="1"/>
  <c r="X17" i="839"/>
  <c r="D17" i="840"/>
  <c r="V17" i="840" s="1"/>
  <c r="X25" i="839"/>
  <c r="D25" i="840"/>
  <c r="V25" i="840" s="1"/>
  <c r="X24" i="839"/>
  <c r="D24" i="840"/>
  <c r="V24" i="840" s="1"/>
  <c r="X23" i="839"/>
  <c r="D23" i="840"/>
  <c r="V23" i="840" s="1"/>
  <c r="X10" i="839"/>
  <c r="D10" i="840"/>
  <c r="V10" i="840" s="1"/>
  <c r="X12" i="839"/>
  <c r="D12" i="840"/>
  <c r="V12" i="840" s="1"/>
  <c r="X15" i="839"/>
  <c r="D15" i="840"/>
  <c r="V15" i="840" s="1"/>
  <c r="D8" i="840"/>
  <c r="V8" i="840" s="1"/>
  <c r="X15" i="840" l="1"/>
  <c r="D15" i="841"/>
  <c r="V15" i="841" s="1"/>
  <c r="X15" i="841" s="1"/>
  <c r="X10" i="840"/>
  <c r="D10" i="841"/>
  <c r="V10" i="841" s="1"/>
  <c r="X10" i="841" s="1"/>
  <c r="X24" i="840"/>
  <c r="D24" i="841"/>
  <c r="V24" i="841" s="1"/>
  <c r="D24" i="842" s="1"/>
  <c r="V24" i="842" s="1"/>
  <c r="X17" i="840"/>
  <c r="D17" i="841"/>
  <c r="V17" i="841" s="1"/>
  <c r="D17" i="842" s="1"/>
  <c r="V17" i="842" s="1"/>
  <c r="X19" i="840"/>
  <c r="D19" i="841"/>
  <c r="V19" i="841" s="1"/>
  <c r="D19" i="842" s="1"/>
  <c r="V19" i="842" s="1"/>
  <c r="X21" i="840"/>
  <c r="D21" i="841"/>
  <c r="V21" i="841" s="1"/>
  <c r="D21" i="842" s="1"/>
  <c r="V21" i="842" s="1"/>
  <c r="X18" i="840"/>
  <c r="D18" i="841"/>
  <c r="V18" i="841" s="1"/>
  <c r="D18" i="842" s="1"/>
  <c r="V18" i="842" s="1"/>
  <c r="X16" i="840"/>
  <c r="D16" i="841"/>
  <c r="V16" i="841" s="1"/>
  <c r="X14" i="840"/>
  <c r="D14" i="841"/>
  <c r="V14" i="841" s="1"/>
  <c r="D14" i="842" s="1"/>
  <c r="V14" i="842" s="1"/>
  <c r="X8" i="840"/>
  <c r="D8" i="841"/>
  <c r="V8" i="841" s="1"/>
  <c r="D8" i="842" s="1"/>
  <c r="V8" i="842" s="1"/>
  <c r="X12" i="840"/>
  <c r="D12" i="841"/>
  <c r="V12" i="841" s="1"/>
  <c r="X23" i="840"/>
  <c r="D23" i="841"/>
  <c r="V23" i="841" s="1"/>
  <c r="D23" i="842" s="1"/>
  <c r="V23" i="842" s="1"/>
  <c r="X25" i="840"/>
  <c r="D25" i="841"/>
  <c r="V25" i="841" s="1"/>
  <c r="X22" i="840"/>
  <c r="D22" i="841"/>
  <c r="V22" i="841" s="1"/>
  <c r="D22" i="842" s="1"/>
  <c r="V22" i="842" s="1"/>
  <c r="X20" i="840"/>
  <c r="D20" i="841"/>
  <c r="V20" i="841" s="1"/>
  <c r="X26" i="840"/>
  <c r="D26" i="841"/>
  <c r="V26" i="841" s="1"/>
  <c r="D26" i="842" s="1"/>
  <c r="V26" i="842" s="1"/>
  <c r="X11" i="840"/>
  <c r="D11" i="841"/>
  <c r="V11" i="841" s="1"/>
  <c r="X9" i="840"/>
  <c r="D9" i="841"/>
  <c r="V9" i="841" s="1"/>
  <c r="D9" i="842" s="1"/>
  <c r="V9" i="842" s="1"/>
  <c r="X13" i="840"/>
  <c r="D13" i="841"/>
  <c r="V13" i="841" s="1"/>
  <c r="D15" i="842"/>
  <c r="V15" i="842" s="1"/>
  <c r="D10" i="842"/>
  <c r="V10" i="842" s="1"/>
  <c r="X17" i="841" l="1"/>
  <c r="X17" i="842"/>
  <c r="D17" i="843"/>
  <c r="V17" i="843" s="1"/>
  <c r="X9" i="842"/>
  <c r="D9" i="843"/>
  <c r="X22" i="842"/>
  <c r="D22" i="843"/>
  <c r="X14" i="842"/>
  <c r="D14" i="843"/>
  <c r="X19" i="842"/>
  <c r="D19" i="843"/>
  <c r="V19" i="843" s="1"/>
  <c r="X15" i="842"/>
  <c r="D15" i="843"/>
  <c r="V9" i="843"/>
  <c r="V22" i="843"/>
  <c r="V14" i="843"/>
  <c r="V15" i="843"/>
  <c r="X8" i="842"/>
  <c r="D8" i="843"/>
  <c r="V8" i="843" s="1"/>
  <c r="X26" i="842"/>
  <c r="D26" i="843"/>
  <c r="V26" i="843" s="1"/>
  <c r="X23" i="842"/>
  <c r="D23" i="843"/>
  <c r="V23" i="843" s="1"/>
  <c r="X18" i="842"/>
  <c r="D18" i="843"/>
  <c r="V18" i="843" s="1"/>
  <c r="X10" i="842"/>
  <c r="D10" i="843"/>
  <c r="V10" i="843" s="1"/>
  <c r="D13" i="842"/>
  <c r="V13" i="842" s="1"/>
  <c r="D11" i="842"/>
  <c r="V11" i="842" s="1"/>
  <c r="D20" i="842"/>
  <c r="V20" i="842" s="1"/>
  <c r="D25" i="842"/>
  <c r="V25" i="842" s="1"/>
  <c r="D12" i="842"/>
  <c r="V12" i="842" s="1"/>
  <c r="D16" i="842"/>
  <c r="V16" i="842" s="1"/>
  <c r="X21" i="842"/>
  <c r="D21" i="843"/>
  <c r="V21" i="843" s="1"/>
  <c r="X24" i="842"/>
  <c r="D24" i="843"/>
  <c r="V24" i="843" s="1"/>
  <c r="X8" i="841"/>
  <c r="X13" i="841"/>
  <c r="X9" i="841"/>
  <c r="X11" i="841"/>
  <c r="X26" i="841"/>
  <c r="X20" i="841"/>
  <c r="X22" i="841"/>
  <c r="X25" i="841"/>
  <c r="X23" i="841"/>
  <c r="X12" i="841"/>
  <c r="X14" i="841"/>
  <c r="X16" i="841"/>
  <c r="X18" i="841"/>
  <c r="X21" i="841"/>
  <c r="X19" i="841"/>
  <c r="X24" i="841"/>
  <c r="X24" i="843" l="1"/>
  <c r="D24" i="844"/>
  <c r="V24" i="844" s="1"/>
  <c r="X18" i="843"/>
  <c r="D18" i="844"/>
  <c r="V18" i="844" s="1"/>
  <c r="X26" i="843"/>
  <c r="D26" i="844"/>
  <c r="V26" i="844" s="1"/>
  <c r="X17" i="843"/>
  <c r="D17" i="844"/>
  <c r="V17" i="844" s="1"/>
  <c r="X21" i="843"/>
  <c r="D21" i="844"/>
  <c r="V21" i="844" s="1"/>
  <c r="X23" i="843"/>
  <c r="D23" i="844"/>
  <c r="V23" i="844" s="1"/>
  <c r="X19" i="843"/>
  <c r="D19" i="844"/>
  <c r="V19" i="844" s="1"/>
  <c r="X22" i="843"/>
  <c r="D22" i="844"/>
  <c r="V22" i="844" s="1"/>
  <c r="X15" i="843"/>
  <c r="D15" i="844"/>
  <c r="V15" i="844" s="1"/>
  <c r="X10" i="843"/>
  <c r="D10" i="844"/>
  <c r="V10" i="844" s="1"/>
  <c r="X8" i="843"/>
  <c r="D8" i="844"/>
  <c r="V8" i="844" s="1"/>
  <c r="X14" i="843"/>
  <c r="D14" i="844"/>
  <c r="V14" i="844" s="1"/>
  <c r="X9" i="843"/>
  <c r="D9" i="844"/>
  <c r="V9" i="844" s="1"/>
  <c r="X16" i="842"/>
  <c r="D16" i="843"/>
  <c r="V16" i="843" s="1"/>
  <c r="X25" i="842"/>
  <c r="D25" i="843"/>
  <c r="V25" i="843" s="1"/>
  <c r="X11" i="842"/>
  <c r="D11" i="843"/>
  <c r="V11" i="843" s="1"/>
  <c r="X12" i="842"/>
  <c r="D12" i="843"/>
  <c r="V12" i="843" s="1"/>
  <c r="X20" i="842"/>
  <c r="D20" i="843"/>
  <c r="V20" i="843" s="1"/>
  <c r="X13" i="842"/>
  <c r="D13" i="843"/>
  <c r="V13" i="843" s="1"/>
  <c r="X22" i="844" l="1"/>
  <c r="D22" i="845"/>
  <c r="V22" i="845" s="1"/>
  <c r="X19" i="844"/>
  <c r="D19" i="845"/>
  <c r="V19" i="845" s="1"/>
  <c r="X21" i="844"/>
  <c r="D21" i="845"/>
  <c r="V21" i="845" s="1"/>
  <c r="X18" i="844"/>
  <c r="D18" i="845"/>
  <c r="V18" i="845" s="1"/>
  <c r="X9" i="844"/>
  <c r="D9" i="845"/>
  <c r="V9" i="845" s="1"/>
  <c r="X14" i="844"/>
  <c r="D14" i="845"/>
  <c r="V14" i="845" s="1"/>
  <c r="X8" i="844"/>
  <c r="D8" i="845"/>
  <c r="V8" i="845" s="1"/>
  <c r="X10" i="844"/>
  <c r="D10" i="845"/>
  <c r="V10" i="845" s="1"/>
  <c r="X15" i="844"/>
  <c r="D15" i="845"/>
  <c r="V15" i="845" s="1"/>
  <c r="X23" i="844"/>
  <c r="D23" i="845"/>
  <c r="V23" i="845" s="1"/>
  <c r="X17" i="844"/>
  <c r="D17" i="845"/>
  <c r="V17" i="845" s="1"/>
  <c r="X26" i="844"/>
  <c r="D26" i="845"/>
  <c r="V26" i="845" s="1"/>
  <c r="X24" i="844"/>
  <c r="D24" i="845"/>
  <c r="V24" i="845" s="1"/>
  <c r="X25" i="843"/>
  <c r="D25" i="844"/>
  <c r="V25" i="844" s="1"/>
  <c r="X20" i="843"/>
  <c r="D20" i="844"/>
  <c r="V20" i="844" s="1"/>
  <c r="X16" i="843"/>
  <c r="D16" i="844"/>
  <c r="V16" i="844" s="1"/>
  <c r="X12" i="843"/>
  <c r="D12" i="844"/>
  <c r="V12" i="844" s="1"/>
  <c r="X13" i="843"/>
  <c r="D13" i="844"/>
  <c r="V13" i="844" s="1"/>
  <c r="X11" i="843"/>
  <c r="D11" i="844"/>
  <c r="V11" i="844" s="1"/>
  <c r="X26" i="845" l="1"/>
  <c r="D26" i="846"/>
  <c r="V26" i="846" s="1"/>
  <c r="X17" i="845"/>
  <c r="D17" i="846"/>
  <c r="V17" i="846" s="1"/>
  <c r="X15" i="845"/>
  <c r="D15" i="846"/>
  <c r="V15" i="846" s="1"/>
  <c r="X10" i="845"/>
  <c r="D10" i="846"/>
  <c r="V10" i="846" s="1"/>
  <c r="X8" i="845"/>
  <c r="D8" i="846"/>
  <c r="V8" i="846" s="1"/>
  <c r="X14" i="845"/>
  <c r="D14" i="846"/>
  <c r="V14" i="846" s="1"/>
  <c r="X9" i="845"/>
  <c r="D9" i="846"/>
  <c r="V9" i="846" s="1"/>
  <c r="X18" i="845"/>
  <c r="D18" i="846"/>
  <c r="V18" i="846" s="1"/>
  <c r="X21" i="845"/>
  <c r="D21" i="846"/>
  <c r="V21" i="846" s="1"/>
  <c r="X24" i="845"/>
  <c r="D24" i="846"/>
  <c r="V24" i="846" s="1"/>
  <c r="X23" i="845"/>
  <c r="D23" i="846"/>
  <c r="V23" i="846" s="1"/>
  <c r="X19" i="845"/>
  <c r="D19" i="846"/>
  <c r="V19" i="846" s="1"/>
  <c r="X22" i="845"/>
  <c r="D22" i="846"/>
  <c r="V22" i="846" s="1"/>
  <c r="X16" i="844"/>
  <c r="D16" i="845"/>
  <c r="V16" i="845" s="1"/>
  <c r="X11" i="844"/>
  <c r="D11" i="845"/>
  <c r="V11" i="845" s="1"/>
  <c r="X13" i="844"/>
  <c r="D13" i="845"/>
  <c r="V13" i="845" s="1"/>
  <c r="X12" i="844"/>
  <c r="D12" i="845"/>
  <c r="V12" i="845" s="1"/>
  <c r="X20" i="844"/>
  <c r="D20" i="845"/>
  <c r="V20" i="845" s="1"/>
  <c r="X25" i="844"/>
  <c r="D25" i="845"/>
  <c r="V25" i="845" s="1"/>
  <c r="X19" i="846" l="1"/>
  <c r="D19" i="847"/>
  <c r="V19" i="847" s="1"/>
  <c r="X24" i="846"/>
  <c r="D24" i="847"/>
  <c r="V24" i="847" s="1"/>
  <c r="X18" i="846"/>
  <c r="D18" i="847"/>
  <c r="V18" i="847" s="1"/>
  <c r="X14" i="846"/>
  <c r="D14" i="847"/>
  <c r="V14" i="847" s="1"/>
  <c r="X10" i="846"/>
  <c r="D10" i="847"/>
  <c r="V10" i="847" s="1"/>
  <c r="X17" i="846"/>
  <c r="D17" i="847"/>
  <c r="V17" i="847" s="1"/>
  <c r="X22" i="846"/>
  <c r="D22" i="847"/>
  <c r="V22" i="847" s="1"/>
  <c r="X23" i="846"/>
  <c r="D23" i="847"/>
  <c r="V23" i="847" s="1"/>
  <c r="X21" i="846"/>
  <c r="D21" i="847"/>
  <c r="V21" i="847" s="1"/>
  <c r="X9" i="846"/>
  <c r="D9" i="847"/>
  <c r="V9" i="847" s="1"/>
  <c r="X8" i="846"/>
  <c r="D8" i="847"/>
  <c r="V8" i="847" s="1"/>
  <c r="X15" i="846"/>
  <c r="D15" i="847"/>
  <c r="V15" i="847" s="1"/>
  <c r="X26" i="846"/>
  <c r="D26" i="847"/>
  <c r="V26" i="847" s="1"/>
  <c r="X12" i="845"/>
  <c r="D12" i="846"/>
  <c r="V12" i="846" s="1"/>
  <c r="X11" i="845"/>
  <c r="D11" i="846"/>
  <c r="V11" i="846" s="1"/>
  <c r="X16" i="845"/>
  <c r="D16" i="846"/>
  <c r="V16" i="846" s="1"/>
  <c r="X25" i="845"/>
  <c r="D25" i="846"/>
  <c r="V25" i="846" s="1"/>
  <c r="X20" i="845"/>
  <c r="D20" i="846"/>
  <c r="V20" i="846" s="1"/>
  <c r="X13" i="845"/>
  <c r="D13" i="846"/>
  <c r="V13" i="846" s="1"/>
  <c r="X8" i="847" l="1"/>
  <c r="D8" i="848"/>
  <c r="V8" i="848" s="1"/>
  <c r="X21" i="847"/>
  <c r="D21" i="848"/>
  <c r="V21" i="848" s="1"/>
  <c r="X14" i="847"/>
  <c r="D14" i="848"/>
  <c r="V14" i="848" s="1"/>
  <c r="X24" i="847"/>
  <c r="D24" i="848"/>
  <c r="V24" i="848" s="1"/>
  <c r="X19" i="847"/>
  <c r="D19" i="848"/>
  <c r="V19" i="848" s="1"/>
  <c r="X26" i="847"/>
  <c r="D26" i="848"/>
  <c r="V26" i="848" s="1"/>
  <c r="X15" i="847"/>
  <c r="D15" i="848"/>
  <c r="V15" i="848" s="1"/>
  <c r="X9" i="847"/>
  <c r="D9" i="848"/>
  <c r="V9" i="848" s="1"/>
  <c r="X23" i="847"/>
  <c r="D23" i="848"/>
  <c r="V23" i="848" s="1"/>
  <c r="X22" i="847"/>
  <c r="D22" i="848"/>
  <c r="V22" i="848" s="1"/>
  <c r="X17" i="847"/>
  <c r="D17" i="848"/>
  <c r="V17" i="848" s="1"/>
  <c r="X10" i="847"/>
  <c r="D10" i="848"/>
  <c r="V10" i="848" s="1"/>
  <c r="X18" i="847"/>
  <c r="D18" i="848"/>
  <c r="V18" i="848" s="1"/>
  <c r="X25" i="846"/>
  <c r="D25" i="847"/>
  <c r="V25" i="847" s="1"/>
  <c r="X11" i="846"/>
  <c r="D11" i="847"/>
  <c r="V11" i="847" s="1"/>
  <c r="X13" i="846"/>
  <c r="D13" i="847"/>
  <c r="V13" i="847" s="1"/>
  <c r="X20" i="846"/>
  <c r="D20" i="847"/>
  <c r="V20" i="847" s="1"/>
  <c r="X16" i="846"/>
  <c r="D16" i="847"/>
  <c r="V16" i="847" s="1"/>
  <c r="X12" i="846"/>
  <c r="D12" i="847"/>
  <c r="V12" i="847" s="1"/>
  <c r="X10" i="848" l="1"/>
  <c r="D10" i="849"/>
  <c r="V10" i="849" s="1"/>
  <c r="V10" i="851" s="1"/>
  <c r="X10" i="851" s="1"/>
  <c r="X22" i="848"/>
  <c r="D22" i="849"/>
  <c r="V22" i="849" s="1"/>
  <c r="V22" i="851" s="1"/>
  <c r="X22" i="851" s="1"/>
  <c r="X9" i="848"/>
  <c r="D9" i="849"/>
  <c r="V9" i="849" s="1"/>
  <c r="V9" i="851" s="1"/>
  <c r="X9" i="851" s="1"/>
  <c r="X26" i="848"/>
  <c r="D26" i="849"/>
  <c r="V26" i="849" s="1"/>
  <c r="V26" i="851" s="1"/>
  <c r="X26" i="851" s="1"/>
  <c r="X24" i="848"/>
  <c r="D24" i="849"/>
  <c r="V24" i="849" s="1"/>
  <c r="V24" i="851" s="1"/>
  <c r="X24" i="851" s="1"/>
  <c r="X21" i="848"/>
  <c r="D21" i="849"/>
  <c r="V21" i="849" s="1"/>
  <c r="V21" i="851" s="1"/>
  <c r="X21" i="851" s="1"/>
  <c r="X18" i="848"/>
  <c r="D18" i="849"/>
  <c r="V18" i="849" s="1"/>
  <c r="V18" i="851" s="1"/>
  <c r="X18" i="851" s="1"/>
  <c r="X17" i="848"/>
  <c r="D17" i="849"/>
  <c r="V17" i="849" s="1"/>
  <c r="V17" i="851" s="1"/>
  <c r="X17" i="851" s="1"/>
  <c r="X23" i="848"/>
  <c r="D23" i="849"/>
  <c r="V23" i="849" s="1"/>
  <c r="V23" i="851" s="1"/>
  <c r="X23" i="851" s="1"/>
  <c r="X15" i="848"/>
  <c r="D15" i="849"/>
  <c r="V15" i="849" s="1"/>
  <c r="V15" i="851" s="1"/>
  <c r="X15" i="851" s="1"/>
  <c r="X19" i="848"/>
  <c r="D19" i="849"/>
  <c r="V19" i="849" s="1"/>
  <c r="V19" i="851" s="1"/>
  <c r="X19" i="851" s="1"/>
  <c r="X14" i="848"/>
  <c r="D14" i="849"/>
  <c r="V14" i="849" s="1"/>
  <c r="V14" i="851" s="1"/>
  <c r="X14" i="851" s="1"/>
  <c r="X8" i="848"/>
  <c r="D8" i="849"/>
  <c r="V8" i="849" s="1"/>
  <c r="V8" i="851" s="1"/>
  <c r="X8" i="851" s="1"/>
  <c r="X12" i="847"/>
  <c r="D12" i="848"/>
  <c r="V12" i="848" s="1"/>
  <c r="X20" i="847"/>
  <c r="D20" i="848"/>
  <c r="V20" i="848" s="1"/>
  <c r="X11" i="847"/>
  <c r="D11" i="848"/>
  <c r="V11" i="848" s="1"/>
  <c r="X16" i="847"/>
  <c r="D16" i="848"/>
  <c r="V16" i="848" s="1"/>
  <c r="X25" i="847"/>
  <c r="D25" i="848"/>
  <c r="V25" i="848" s="1"/>
  <c r="X13" i="847"/>
  <c r="D13" i="848"/>
  <c r="V13" i="848" s="1"/>
  <c r="X14" i="849" l="1"/>
  <c r="D14" i="850"/>
  <c r="V14" i="850" s="1"/>
  <c r="X14" i="850" s="1"/>
  <c r="X15" i="849"/>
  <c r="D15" i="850"/>
  <c r="V15" i="850" s="1"/>
  <c r="X15" i="850" s="1"/>
  <c r="X17" i="849"/>
  <c r="D17" i="850"/>
  <c r="V17" i="850" s="1"/>
  <c r="X17" i="850" s="1"/>
  <c r="X21" i="849"/>
  <c r="D21" i="850"/>
  <c r="V21" i="850" s="1"/>
  <c r="X21" i="850" s="1"/>
  <c r="X26" i="849"/>
  <c r="D26" i="850"/>
  <c r="V26" i="850" s="1"/>
  <c r="X26" i="850" s="1"/>
  <c r="X22" i="849"/>
  <c r="D22" i="850"/>
  <c r="V22" i="850" s="1"/>
  <c r="X22" i="850" s="1"/>
  <c r="X8" i="849"/>
  <c r="D8" i="850"/>
  <c r="V8" i="850" s="1"/>
  <c r="X8" i="850" s="1"/>
  <c r="X19" i="849"/>
  <c r="D19" i="850"/>
  <c r="V19" i="850" s="1"/>
  <c r="X19" i="850" s="1"/>
  <c r="X23" i="849"/>
  <c r="D23" i="850"/>
  <c r="V23" i="850" s="1"/>
  <c r="X23" i="850" s="1"/>
  <c r="X18" i="849"/>
  <c r="D18" i="850"/>
  <c r="V18" i="850" s="1"/>
  <c r="X18" i="850" s="1"/>
  <c r="X24" i="849"/>
  <c r="D24" i="850"/>
  <c r="V24" i="850" s="1"/>
  <c r="X24" i="850" s="1"/>
  <c r="X9" i="849"/>
  <c r="D9" i="850"/>
  <c r="V9" i="850" s="1"/>
  <c r="X9" i="850" s="1"/>
  <c r="X10" i="849"/>
  <c r="D10" i="850"/>
  <c r="V10" i="850" s="1"/>
  <c r="X10" i="850" s="1"/>
  <c r="X16" i="848"/>
  <c r="D16" i="849"/>
  <c r="V16" i="849" s="1"/>
  <c r="V16" i="851" s="1"/>
  <c r="X16" i="851" s="1"/>
  <c r="X20" i="848"/>
  <c r="D20" i="849"/>
  <c r="V20" i="849" s="1"/>
  <c r="V20" i="851" s="1"/>
  <c r="X20" i="851" s="1"/>
  <c r="X13" i="848"/>
  <c r="D13" i="849"/>
  <c r="V13" i="849" s="1"/>
  <c r="V13" i="851" s="1"/>
  <c r="X13" i="851" s="1"/>
  <c r="X25" i="848"/>
  <c r="D25" i="849"/>
  <c r="V25" i="849" s="1"/>
  <c r="V25" i="851" s="1"/>
  <c r="X25" i="851" s="1"/>
  <c r="X11" i="848"/>
  <c r="D11" i="849"/>
  <c r="V11" i="849" s="1"/>
  <c r="V11" i="851" s="1"/>
  <c r="X11" i="851" s="1"/>
  <c r="X12" i="848"/>
  <c r="D12" i="849"/>
  <c r="V12" i="849" s="1"/>
  <c r="V12" i="851" s="1"/>
  <c r="X12" i="851" s="1"/>
  <c r="X12" i="849" l="1"/>
  <c r="D12" i="850"/>
  <c r="V12" i="850" s="1"/>
  <c r="X12" i="850" s="1"/>
  <c r="X25" i="849"/>
  <c r="D25" i="850"/>
  <c r="V25" i="850" s="1"/>
  <c r="X25" i="850" s="1"/>
  <c r="X20" i="849"/>
  <c r="D20" i="850"/>
  <c r="V20" i="850" s="1"/>
  <c r="X20" i="850" s="1"/>
  <c r="X11" i="849"/>
  <c r="D11" i="850"/>
  <c r="V11" i="850" s="1"/>
  <c r="X11" i="850" s="1"/>
  <c r="X13" i="849"/>
  <c r="D13" i="850"/>
  <c r="V13" i="850" s="1"/>
  <c r="X13" i="850" s="1"/>
  <c r="X16" i="849"/>
  <c r="D16" i="850"/>
  <c r="V16" i="850" s="1"/>
  <c r="X16" i="850" s="1"/>
  <c r="D22" i="800"/>
  <c r="D21" i="800"/>
  <c r="D20" i="800"/>
  <c r="D19" i="800"/>
  <c r="D18" i="800"/>
  <c r="D17" i="800"/>
  <c r="D16" i="800"/>
  <c r="D15" i="800"/>
  <c r="D14" i="800"/>
  <c r="D13" i="800"/>
  <c r="D12" i="800" l="1"/>
  <c r="D11" i="800"/>
  <c r="D10" i="800"/>
  <c r="D9" i="800"/>
  <c r="D8" i="800"/>
  <c r="D23" i="781" l="1"/>
  <c r="F7" i="781"/>
  <c r="G7" i="781" s="1"/>
  <c r="H7" i="781" s="1"/>
  <c r="I7" i="781" s="1"/>
  <c r="J7" i="781" s="1"/>
  <c r="K7" i="781" s="1"/>
  <c r="L7" i="781" s="1"/>
  <c r="M7" i="781" s="1"/>
  <c r="N7" i="781" s="1"/>
  <c r="O7" i="781" s="1"/>
  <c r="P7" i="781" s="1"/>
  <c r="Q7" i="781" s="1"/>
  <c r="R7" i="781" s="1"/>
  <c r="S7" i="781" s="1"/>
  <c r="T7" i="781" s="1"/>
  <c r="U7" i="781" s="1"/>
  <c r="V7" i="781" s="1"/>
  <c r="W7" i="781" s="1"/>
  <c r="X7" i="781" s="1"/>
  <c r="Y7" i="781" s="1"/>
  <c r="Z7" i="781" s="1"/>
  <c r="AA7" i="781" s="1"/>
  <c r="AB7" i="781" s="1"/>
  <c r="AC7" i="781" s="1"/>
  <c r="AD7" i="781" s="1"/>
  <c r="AE7" i="781" s="1"/>
  <c r="AF7" i="781" s="1"/>
  <c r="AG7" i="781" s="1"/>
  <c r="AH7" i="781" s="1"/>
  <c r="AI7" i="781" s="1"/>
  <c r="D23" i="780"/>
  <c r="D24" i="780"/>
  <c r="D25" i="780"/>
  <c r="D26" i="780"/>
  <c r="D27" i="780"/>
  <c r="D9" i="780"/>
  <c r="D10" i="780"/>
  <c r="D11" i="780"/>
  <c r="D12" i="780"/>
  <c r="D13" i="780"/>
  <c r="D14" i="780"/>
  <c r="D15" i="780"/>
  <c r="D16" i="780"/>
  <c r="D17" i="780"/>
  <c r="D18" i="780"/>
  <c r="D19" i="780"/>
  <c r="D20" i="780"/>
  <c r="D21" i="780"/>
  <c r="D22" i="780"/>
  <c r="F7" i="780"/>
  <c r="G7" i="780" s="1"/>
  <c r="H7" i="780" s="1"/>
  <c r="I7" i="780" s="1"/>
  <c r="J7" i="780" s="1"/>
  <c r="K7" i="780" s="1"/>
  <c r="L7" i="780" s="1"/>
  <c r="M7" i="780" s="1"/>
  <c r="N7" i="780" s="1"/>
  <c r="O7" i="780" s="1"/>
  <c r="P7" i="780" s="1"/>
  <c r="Q7" i="780" s="1"/>
  <c r="R7" i="780" s="1"/>
  <c r="S7" i="780" s="1"/>
  <c r="T7" i="780" s="1"/>
  <c r="U7" i="780" s="1"/>
  <c r="V7" i="780" s="1"/>
  <c r="W7" i="780" s="1"/>
  <c r="X7" i="780" s="1"/>
  <c r="Y7" i="780" s="1"/>
  <c r="Z7" i="780" s="1"/>
  <c r="AA7" i="780" s="1"/>
  <c r="AB7" i="780" s="1"/>
  <c r="AC7" i="780" s="1"/>
  <c r="AD7" i="780" s="1"/>
  <c r="AE7" i="780" s="1"/>
  <c r="AF7" i="780" s="1"/>
  <c r="AG7" i="780" s="1"/>
  <c r="AH7" i="780" s="1"/>
  <c r="T30" i="781"/>
  <c r="E30" i="781"/>
  <c r="D8" i="780" l="1"/>
  <c r="E30" i="780"/>
  <c r="D14" i="781" l="1"/>
  <c r="D15" i="781"/>
  <c r="D16" i="781"/>
  <c r="D17" i="781"/>
  <c r="D18" i="781"/>
  <c r="D19" i="781"/>
  <c r="D20" i="781"/>
  <c r="D21" i="781"/>
  <c r="D22" i="781"/>
  <c r="D24" i="781"/>
  <c r="D25" i="781"/>
  <c r="D26" i="781"/>
  <c r="D12" i="781" l="1"/>
  <c r="D10" i="781"/>
  <c r="D8" i="781"/>
  <c r="D13" i="781"/>
  <c r="D11" i="781"/>
  <c r="D9" i="781"/>
  <c r="O13" i="285" l="1"/>
  <c r="O12" i="285"/>
  <c r="O10" i="285"/>
  <c r="O8" i="285"/>
  <c r="O13" i="284"/>
  <c r="D13" i="285" s="1"/>
  <c r="O12" i="284"/>
  <c r="D12" i="285" s="1"/>
  <c r="E28" i="284"/>
  <c r="E8" i="284"/>
  <c r="O8" i="284" s="1"/>
  <c r="O16" i="283"/>
  <c r="D16" i="284" s="1"/>
  <c r="N16" i="284" s="1"/>
  <c r="P16" i="284" s="1"/>
  <c r="O12" i="283"/>
  <c r="D12" i="284" s="1"/>
  <c r="E8" i="283"/>
  <c r="O8" i="283" s="1"/>
  <c r="D8" i="284" s="1"/>
  <c r="E26" i="283"/>
  <c r="D27" i="284"/>
  <c r="D28" i="284"/>
  <c r="D29" i="284"/>
  <c r="D26" i="284"/>
  <c r="D9" i="284"/>
  <c r="N9" i="284" s="1"/>
  <c r="P9" i="284" s="1"/>
  <c r="D10" i="284"/>
  <c r="D11" i="284"/>
  <c r="N11" i="284" s="1"/>
  <c r="P11" i="284" s="1"/>
  <c r="D13" i="284"/>
  <c r="D14" i="284"/>
  <c r="D15" i="284"/>
  <c r="N15" i="284" s="1"/>
  <c r="P15" i="284" s="1"/>
  <c r="D17" i="284"/>
  <c r="N17" i="284" s="1"/>
  <c r="P17" i="284" s="1"/>
  <c r="D18" i="284"/>
  <c r="N18" i="284" s="1"/>
  <c r="P18" i="284" s="1"/>
  <c r="D19" i="284"/>
  <c r="N19" i="284" s="1"/>
  <c r="P19" i="284" s="1"/>
  <c r="D20" i="284"/>
  <c r="N20" i="284" s="1"/>
  <c r="D21" i="284"/>
  <c r="N21" i="284" s="1"/>
  <c r="P21" i="284" s="1"/>
  <c r="D22" i="284"/>
  <c r="N22" i="284" s="1"/>
  <c r="P22" i="284" s="1"/>
  <c r="D23" i="284"/>
  <c r="N23" i="284" s="1"/>
  <c r="P23" i="284" s="1"/>
  <c r="D24" i="284"/>
  <c r="N24" i="284" s="1"/>
  <c r="P24" i="284" s="1"/>
  <c r="D5" i="284"/>
  <c r="E5" i="284" s="1"/>
  <c r="D27" i="285"/>
  <c r="N27" i="285" s="1"/>
  <c r="P27" i="285" s="1"/>
  <c r="D28" i="285"/>
  <c r="N28" i="285" s="1"/>
  <c r="P28" i="285" s="1"/>
  <c r="D29" i="285"/>
  <c r="N29" i="285" s="1"/>
  <c r="P29" i="285" s="1"/>
  <c r="D26" i="285"/>
  <c r="N26" i="285" s="1"/>
  <c r="P26" i="285" s="1"/>
  <c r="D9" i="285"/>
  <c r="N9" i="285" s="1"/>
  <c r="P9" i="285" s="1"/>
  <c r="D10" i="285"/>
  <c r="D11" i="285"/>
  <c r="N11" i="285" s="1"/>
  <c r="P11" i="285" s="1"/>
  <c r="D14" i="285"/>
  <c r="D15" i="285"/>
  <c r="N15" i="285" s="1"/>
  <c r="P15" i="285" s="1"/>
  <c r="D16" i="285"/>
  <c r="N16" i="285" s="1"/>
  <c r="P16" i="285" s="1"/>
  <c r="D17" i="285"/>
  <c r="N17" i="285" s="1"/>
  <c r="P17" i="285" s="1"/>
  <c r="D18" i="285"/>
  <c r="N18" i="285" s="1"/>
  <c r="P18" i="285" s="1"/>
  <c r="D19" i="285"/>
  <c r="N19" i="285" s="1"/>
  <c r="P19" i="285" s="1"/>
  <c r="D20" i="285"/>
  <c r="N20" i="285" s="1"/>
  <c r="D21" i="285"/>
  <c r="N21" i="285" s="1"/>
  <c r="P21" i="285" s="1"/>
  <c r="D22" i="285"/>
  <c r="N22" i="285" s="1"/>
  <c r="P22" i="285" s="1"/>
  <c r="D23" i="285"/>
  <c r="N23" i="285" s="1"/>
  <c r="P23" i="285" s="1"/>
  <c r="D24" i="285"/>
  <c r="N24" i="285" s="1"/>
  <c r="P24" i="285" s="1"/>
  <c r="D5" i="285"/>
  <c r="E5" i="285" s="1"/>
  <c r="N30" i="285"/>
  <c r="N30" i="284"/>
  <c r="D8" i="285" l="1"/>
  <c r="N26" i="284"/>
  <c r="P26" i="284" s="1"/>
  <c r="N27" i="284"/>
  <c r="P27" i="284" s="1"/>
  <c r="N28" i="284"/>
  <c r="P28" i="284" s="1"/>
  <c r="N29" i="284"/>
  <c r="P29" i="284" s="1"/>
  <c r="F29" i="283"/>
  <c r="F28" i="283"/>
  <c r="F27" i="283"/>
  <c r="F26" i="283"/>
  <c r="D27" i="283"/>
  <c r="D28" i="283"/>
  <c r="N28" i="283" s="1"/>
  <c r="P28" i="283" s="1"/>
  <c r="D29" i="283"/>
  <c r="N29" i="283" s="1"/>
  <c r="P29" i="283" s="1"/>
  <c r="D26" i="283"/>
  <c r="N26" i="283" s="1"/>
  <c r="P26" i="283" s="1"/>
  <c r="F29" i="282"/>
  <c r="F28" i="282"/>
  <c r="F27" i="282"/>
  <c r="D9" i="283"/>
  <c r="N9" i="283" s="1"/>
  <c r="P9" i="283" s="1"/>
  <c r="D11" i="283"/>
  <c r="N11" i="283" s="1"/>
  <c r="P11" i="283" s="1"/>
  <c r="D15" i="283"/>
  <c r="N15" i="283" s="1"/>
  <c r="P15" i="283" s="1"/>
  <c r="D16" i="283"/>
  <c r="D17" i="283"/>
  <c r="N17" i="283" s="1"/>
  <c r="P17" i="283" s="1"/>
  <c r="D18" i="283"/>
  <c r="N18" i="283" s="1"/>
  <c r="P18" i="283" s="1"/>
  <c r="D19" i="283"/>
  <c r="N19" i="283" s="1"/>
  <c r="P19" i="283" s="1"/>
  <c r="D20" i="283"/>
  <c r="N20" i="283" s="1"/>
  <c r="D21" i="283"/>
  <c r="N21" i="283" s="1"/>
  <c r="P21" i="283" s="1"/>
  <c r="D22" i="283"/>
  <c r="N22" i="283" s="1"/>
  <c r="P22" i="283" s="1"/>
  <c r="D23" i="283"/>
  <c r="N23" i="283" s="1"/>
  <c r="P23" i="283" s="1"/>
  <c r="D24" i="283"/>
  <c r="N24" i="283" s="1"/>
  <c r="P24" i="283" s="1"/>
  <c r="D5" i="283"/>
  <c r="E5" i="283" s="1"/>
  <c r="N30" i="283"/>
  <c r="E26" i="282"/>
  <c r="O14" i="282"/>
  <c r="O13" i="282"/>
  <c r="O12" i="282"/>
  <c r="D12" i="283" s="1"/>
  <c r="N12" i="283" s="1"/>
  <c r="O8" i="282"/>
  <c r="F26" i="282"/>
  <c r="O16" i="281"/>
  <c r="O13" i="281"/>
  <c r="O12" i="281"/>
  <c r="O10" i="281"/>
  <c r="E8" i="281"/>
  <c r="O8" i="281" s="1"/>
  <c r="N27" i="283" l="1"/>
  <c r="P27" i="283" s="1"/>
  <c r="N10" i="284"/>
  <c r="P10" i="284" s="1"/>
  <c r="N10" i="285"/>
  <c r="P10" i="285" s="1"/>
  <c r="N13" i="284"/>
  <c r="P13" i="284" s="1"/>
  <c r="N13" i="285"/>
  <c r="P13" i="285" s="1"/>
  <c r="N8" i="284"/>
  <c r="P8" i="284" s="1"/>
  <c r="N8" i="285"/>
  <c r="P8" i="285" s="1"/>
  <c r="N12" i="284"/>
  <c r="P12" i="284" s="1"/>
  <c r="N12" i="285"/>
  <c r="P12" i="285" s="1"/>
  <c r="N14" i="284"/>
  <c r="P14" i="284" s="1"/>
  <c r="N14" i="285"/>
  <c r="P14" i="285" s="1"/>
  <c r="D14" i="283"/>
  <c r="N14" i="283" s="1"/>
  <c r="P14" i="283" s="1"/>
  <c r="N16" i="283"/>
  <c r="P16" i="283" s="1"/>
  <c r="D8" i="283"/>
  <c r="N8" i="283" s="1"/>
  <c r="P8" i="283" s="1"/>
  <c r="D13" i="283"/>
  <c r="N13" i="283" s="1"/>
  <c r="P13" i="283" s="1"/>
  <c r="D10" i="283"/>
  <c r="N10" i="283" s="1"/>
  <c r="P10" i="283" s="1"/>
  <c r="P12" i="283"/>
  <c r="D27" i="282" l="1"/>
  <c r="N27" i="282" s="1"/>
  <c r="P27" i="282" s="1"/>
  <c r="D28" i="282"/>
  <c r="D29" i="282"/>
  <c r="N29" i="282" s="1"/>
  <c r="P29" i="282" s="1"/>
  <c r="D26" i="282"/>
  <c r="N26" i="282" s="1"/>
  <c r="P26" i="282" s="1"/>
  <c r="D9" i="282"/>
  <c r="N9" i="282" s="1"/>
  <c r="P9" i="282" s="1"/>
  <c r="D10" i="282"/>
  <c r="N10" i="282" s="1"/>
  <c r="P10" i="282" s="1"/>
  <c r="D11" i="282"/>
  <c r="N11" i="282" s="1"/>
  <c r="P11" i="282" s="1"/>
  <c r="D12" i="282"/>
  <c r="N12" i="282" s="1"/>
  <c r="P12" i="282" s="1"/>
  <c r="D13" i="282"/>
  <c r="N13" i="282" s="1"/>
  <c r="P13" i="282" s="1"/>
  <c r="D14" i="282"/>
  <c r="N14" i="282" s="1"/>
  <c r="P14" i="282" s="1"/>
  <c r="D15" i="282"/>
  <c r="N15" i="282" s="1"/>
  <c r="P15" i="282" s="1"/>
  <c r="D16" i="282"/>
  <c r="N16" i="282" s="1"/>
  <c r="P16" i="282" s="1"/>
  <c r="D17" i="282"/>
  <c r="N17" i="282" s="1"/>
  <c r="P17" i="282" s="1"/>
  <c r="D18" i="282"/>
  <c r="N18" i="282" s="1"/>
  <c r="P18" i="282" s="1"/>
  <c r="D19" i="282"/>
  <c r="N19" i="282" s="1"/>
  <c r="P19" i="282" s="1"/>
  <c r="D20" i="282"/>
  <c r="N20" i="282" s="1"/>
  <c r="D21" i="282"/>
  <c r="N21" i="282" s="1"/>
  <c r="P21" i="282" s="1"/>
  <c r="D22" i="282"/>
  <c r="N22" i="282" s="1"/>
  <c r="P22" i="282" s="1"/>
  <c r="D23" i="282"/>
  <c r="N23" i="282" s="1"/>
  <c r="P23" i="282" s="1"/>
  <c r="D24" i="282"/>
  <c r="N24" i="282" s="1"/>
  <c r="P24" i="282" s="1"/>
  <c r="D8" i="282"/>
  <c r="N8" i="282" s="1"/>
  <c r="P8" i="282" s="1"/>
  <c r="D5" i="282"/>
  <c r="E5" i="282" s="1"/>
  <c r="N30" i="282"/>
  <c r="N28" i="282"/>
  <c r="P28" i="282" s="1"/>
  <c r="D9" i="281" l="1"/>
  <c r="N9" i="281" s="1"/>
  <c r="P9" i="281" s="1"/>
  <c r="D10" i="281"/>
  <c r="N10" i="281" s="1"/>
  <c r="P10" i="281" s="1"/>
  <c r="D11" i="281"/>
  <c r="N11" i="281" s="1"/>
  <c r="P11" i="281" s="1"/>
  <c r="D12" i="281"/>
  <c r="N12" i="281" s="1"/>
  <c r="P12" i="281" s="1"/>
  <c r="D13" i="281"/>
  <c r="N13" i="281" s="1"/>
  <c r="P13" i="281" s="1"/>
  <c r="D14" i="281"/>
  <c r="N14" i="281" s="1"/>
  <c r="P14" i="281" s="1"/>
  <c r="D15" i="281"/>
  <c r="N15" i="281" s="1"/>
  <c r="P15" i="281" s="1"/>
  <c r="D16" i="281"/>
  <c r="N16" i="281" s="1"/>
  <c r="P16" i="281" s="1"/>
  <c r="D17" i="281"/>
  <c r="N17" i="281" s="1"/>
  <c r="P17" i="281" s="1"/>
  <c r="D18" i="281"/>
  <c r="N18" i="281" s="1"/>
  <c r="P18" i="281" s="1"/>
  <c r="D19" i="281"/>
  <c r="N19" i="281" s="1"/>
  <c r="P19" i="281" s="1"/>
  <c r="D20" i="281"/>
  <c r="N20" i="281" s="1"/>
  <c r="D21" i="281"/>
  <c r="N21" i="281" s="1"/>
  <c r="P21" i="281" s="1"/>
  <c r="D22" i="281"/>
  <c r="N22" i="281" s="1"/>
  <c r="P22" i="281" s="1"/>
  <c r="D23" i="281"/>
  <c r="D24" i="281"/>
  <c r="N24" i="281" s="1"/>
  <c r="P24" i="281" s="1"/>
  <c r="D8" i="281"/>
  <c r="N8" i="281" s="1"/>
  <c r="P8" i="281" s="1"/>
  <c r="D5" i="281"/>
  <c r="E5" i="281" s="1"/>
  <c r="D27" i="281"/>
  <c r="N27" i="281" s="1"/>
  <c r="P27" i="281" s="1"/>
  <c r="D28" i="281"/>
  <c r="D29" i="281"/>
  <c r="N29" i="281" s="1"/>
  <c r="P29" i="281" s="1"/>
  <c r="D26" i="281"/>
  <c r="N26" i="281" s="1"/>
  <c r="P26" i="281" s="1"/>
  <c r="N30" i="281"/>
  <c r="N28" i="281"/>
  <c r="P28" i="281" s="1"/>
  <c r="N23" i="281"/>
  <c r="P23" i="281" s="1"/>
  <c r="E8" i="280"/>
  <c r="D27" i="280"/>
  <c r="N27" i="280" s="1"/>
  <c r="P27" i="280" s="1"/>
  <c r="D28" i="280"/>
  <c r="N28" i="280" s="1"/>
  <c r="P28" i="280" s="1"/>
  <c r="D29" i="280"/>
  <c r="N29" i="280" s="1"/>
  <c r="P29" i="280" s="1"/>
  <c r="D26" i="280"/>
  <c r="N26" i="280" s="1"/>
  <c r="P26" i="280" s="1"/>
  <c r="D9" i="280"/>
  <c r="N9" i="280" s="1"/>
  <c r="P9" i="280" s="1"/>
  <c r="D10" i="280"/>
  <c r="N10" i="280" s="1"/>
  <c r="P10" i="280" s="1"/>
  <c r="D11" i="280"/>
  <c r="N11" i="280" s="1"/>
  <c r="P11" i="280" s="1"/>
  <c r="D12" i="280"/>
  <c r="N12" i="280" s="1"/>
  <c r="P12" i="280" s="1"/>
  <c r="D13" i="280"/>
  <c r="N13" i="280" s="1"/>
  <c r="P13" i="280" s="1"/>
  <c r="D14" i="280"/>
  <c r="N14" i="280" s="1"/>
  <c r="P14" i="280" s="1"/>
  <c r="D15" i="280"/>
  <c r="N15" i="280" s="1"/>
  <c r="P15" i="280" s="1"/>
  <c r="D16" i="280"/>
  <c r="N16" i="280" s="1"/>
  <c r="P16" i="280" s="1"/>
  <c r="D17" i="280"/>
  <c r="N17" i="280" s="1"/>
  <c r="P17" i="280" s="1"/>
  <c r="D18" i="280"/>
  <c r="N18" i="280" s="1"/>
  <c r="P18" i="280" s="1"/>
  <c r="D19" i="280"/>
  <c r="N19" i="280" s="1"/>
  <c r="P19" i="280" s="1"/>
  <c r="D20" i="280"/>
  <c r="N20" i="280" s="1"/>
  <c r="D21" i="280"/>
  <c r="N21" i="280" s="1"/>
  <c r="P21" i="280" s="1"/>
  <c r="D22" i="280"/>
  <c r="N22" i="280" s="1"/>
  <c r="P22" i="280" s="1"/>
  <c r="D23" i="280"/>
  <c r="N23" i="280" s="1"/>
  <c r="P23" i="280" s="1"/>
  <c r="D24" i="280"/>
  <c r="N24" i="280" s="1"/>
  <c r="P24" i="280" s="1"/>
  <c r="D8" i="280"/>
  <c r="D5" i="280"/>
  <c r="E5" i="280" s="1"/>
  <c r="N30" i="280"/>
  <c r="E29" i="279"/>
  <c r="E8" i="279"/>
  <c r="E10" i="276"/>
  <c r="O10" i="276" s="1"/>
  <c r="D10" i="277" s="1"/>
  <c r="E12" i="276"/>
  <c r="O12" i="276" s="1"/>
  <c r="D12" i="277" s="1"/>
  <c r="E13" i="276"/>
  <c r="O13" i="276" s="1"/>
  <c r="D13" i="277" s="1"/>
  <c r="D27" i="279"/>
  <c r="D28" i="279"/>
  <c r="D29" i="279"/>
  <c r="D26" i="279"/>
  <c r="D9" i="279"/>
  <c r="D10" i="279"/>
  <c r="D11" i="279"/>
  <c r="D12" i="279"/>
  <c r="D13" i="279"/>
  <c r="D14" i="279"/>
  <c r="D15" i="279"/>
  <c r="D16" i="279"/>
  <c r="D17" i="279"/>
  <c r="D18" i="279"/>
  <c r="D19" i="279"/>
  <c r="D20" i="279"/>
  <c r="D21" i="279"/>
  <c r="D22" i="279"/>
  <c r="D23" i="279"/>
  <c r="D24" i="279"/>
  <c r="D8" i="279"/>
  <c r="D5" i="279"/>
  <c r="D27" i="278"/>
  <c r="D28" i="278"/>
  <c r="D29" i="278"/>
  <c r="D26" i="278"/>
  <c r="D9" i="278"/>
  <c r="D10" i="278"/>
  <c r="D11" i="278"/>
  <c r="D12" i="278"/>
  <c r="D13" i="278"/>
  <c r="D14" i="278"/>
  <c r="D15" i="278"/>
  <c r="D16" i="278"/>
  <c r="D17" i="278"/>
  <c r="D18" i="278"/>
  <c r="D19" i="278"/>
  <c r="D20" i="278"/>
  <c r="D21" i="278"/>
  <c r="D22" i="278"/>
  <c r="D23" i="278"/>
  <c r="D24" i="278"/>
  <c r="D8" i="278"/>
  <c r="D27" i="277"/>
  <c r="D28" i="277"/>
  <c r="D29" i="277"/>
  <c r="D26" i="277"/>
  <c r="D11" i="277"/>
  <c r="D14" i="277"/>
  <c r="D15" i="277"/>
  <c r="D16" i="277"/>
  <c r="D17" i="277"/>
  <c r="D18" i="277"/>
  <c r="D19" i="277"/>
  <c r="D20" i="277"/>
  <c r="D21" i="277"/>
  <c r="D22" i="277"/>
  <c r="D23" i="277"/>
  <c r="D24" i="277"/>
  <c r="O9" i="276"/>
  <c r="D9" i="277" s="1"/>
  <c r="E29" i="276"/>
  <c r="E28" i="276"/>
  <c r="E8" i="276"/>
  <c r="O8" i="276" s="1"/>
  <c r="D8" i="277" s="1"/>
  <c r="E26" i="276"/>
  <c r="O12" i="275"/>
  <c r="O10" i="275"/>
  <c r="E13" i="275"/>
  <c r="O13" i="275" s="1"/>
  <c r="E8" i="275"/>
  <c r="O8" i="275" s="1"/>
  <c r="N8" i="280" l="1"/>
  <c r="P8" i="280" s="1"/>
  <c r="N30" i="279"/>
  <c r="N29" i="279"/>
  <c r="P29" i="279" s="1"/>
  <c r="N28" i="279"/>
  <c r="P28" i="279" s="1"/>
  <c r="N27" i="279"/>
  <c r="P27" i="279" s="1"/>
  <c r="N26" i="279"/>
  <c r="P26" i="279" s="1"/>
  <c r="N24" i="279"/>
  <c r="P24" i="279" s="1"/>
  <c r="N23" i="279"/>
  <c r="P23" i="279" s="1"/>
  <c r="N22" i="279"/>
  <c r="P22" i="279" s="1"/>
  <c r="N21" i="279"/>
  <c r="P21" i="279" s="1"/>
  <c r="N20" i="279"/>
  <c r="N19" i="279"/>
  <c r="P19" i="279" s="1"/>
  <c r="N18" i="279"/>
  <c r="P18" i="279" s="1"/>
  <c r="N17" i="279"/>
  <c r="P17" i="279" s="1"/>
  <c r="N16" i="279"/>
  <c r="P16" i="279" s="1"/>
  <c r="N15" i="279"/>
  <c r="P15" i="279" s="1"/>
  <c r="N14" i="279"/>
  <c r="P14" i="279" s="1"/>
  <c r="N13" i="279"/>
  <c r="P13" i="279" s="1"/>
  <c r="N12" i="279"/>
  <c r="P12" i="279" s="1"/>
  <c r="N11" i="279"/>
  <c r="P11" i="279" s="1"/>
  <c r="N10" i="279"/>
  <c r="P10" i="279" s="1"/>
  <c r="N9" i="279"/>
  <c r="P9" i="279" s="1"/>
  <c r="N8" i="279"/>
  <c r="P8" i="279" s="1"/>
  <c r="E5" i="279"/>
  <c r="D5" i="278"/>
  <c r="E5" i="278" s="1"/>
  <c r="N30" i="278"/>
  <c r="N29" i="278"/>
  <c r="P29" i="278" s="1"/>
  <c r="N28" i="278"/>
  <c r="P28" i="278" s="1"/>
  <c r="N27" i="278"/>
  <c r="P27" i="278" s="1"/>
  <c r="N26" i="278"/>
  <c r="P26" i="278" s="1"/>
  <c r="N24" i="278"/>
  <c r="P24" i="278" s="1"/>
  <c r="N23" i="278"/>
  <c r="P23" i="278" s="1"/>
  <c r="N22" i="278"/>
  <c r="P22" i="278" s="1"/>
  <c r="N21" i="278"/>
  <c r="P21" i="278" s="1"/>
  <c r="N20" i="278"/>
  <c r="N19" i="278"/>
  <c r="P19" i="278" s="1"/>
  <c r="N18" i="278"/>
  <c r="P18" i="278" s="1"/>
  <c r="N17" i="278"/>
  <c r="P17" i="278" s="1"/>
  <c r="N16" i="278"/>
  <c r="P16" i="278" s="1"/>
  <c r="N15" i="278"/>
  <c r="P15" i="278" s="1"/>
  <c r="N14" i="278"/>
  <c r="P14" i="278" s="1"/>
  <c r="N13" i="278"/>
  <c r="P13" i="278" s="1"/>
  <c r="N12" i="278"/>
  <c r="P12" i="278" s="1"/>
  <c r="N11" i="278"/>
  <c r="P11" i="278" s="1"/>
  <c r="N10" i="278"/>
  <c r="P10" i="278" s="1"/>
  <c r="N9" i="278"/>
  <c r="P9" i="278" s="1"/>
  <c r="N8" i="278"/>
  <c r="P8" i="278" s="1"/>
  <c r="N30" i="277"/>
  <c r="N29" i="277"/>
  <c r="P29" i="277" s="1"/>
  <c r="N28" i="277"/>
  <c r="P28" i="277" s="1"/>
  <c r="N27" i="277"/>
  <c r="P27" i="277" s="1"/>
  <c r="N26" i="277"/>
  <c r="P26" i="277" s="1"/>
  <c r="N24" i="277"/>
  <c r="P24" i="277" s="1"/>
  <c r="N23" i="277"/>
  <c r="P23" i="277" s="1"/>
  <c r="N22" i="277"/>
  <c r="P22" i="277" s="1"/>
  <c r="N21" i="277"/>
  <c r="P21" i="277" s="1"/>
  <c r="N20" i="277"/>
  <c r="N19" i="277"/>
  <c r="P19" i="277" s="1"/>
  <c r="N18" i="277"/>
  <c r="P18" i="277" s="1"/>
  <c r="N17" i="277"/>
  <c r="P17" i="277" s="1"/>
  <c r="N16" i="277"/>
  <c r="P16" i="277" s="1"/>
  <c r="N15" i="277"/>
  <c r="P15" i="277" s="1"/>
  <c r="N14" i="277"/>
  <c r="P14" i="277" s="1"/>
  <c r="N13" i="277"/>
  <c r="P13" i="277" s="1"/>
  <c r="N12" i="277"/>
  <c r="P12" i="277" s="1"/>
  <c r="N11" i="277"/>
  <c r="P11" i="277" s="1"/>
  <c r="N10" i="277"/>
  <c r="P10" i="277" s="1"/>
  <c r="N9" i="277"/>
  <c r="P9" i="277" s="1"/>
  <c r="N8" i="277"/>
  <c r="P8" i="277" s="1"/>
  <c r="D5" i="277"/>
  <c r="E5" i="277" s="1"/>
  <c r="D27" i="276" l="1"/>
  <c r="N27" i="276" s="1"/>
  <c r="P27" i="276" s="1"/>
  <c r="D28" i="276"/>
  <c r="D29" i="276"/>
  <c r="N29" i="276" s="1"/>
  <c r="P29" i="276" s="1"/>
  <c r="D26" i="276"/>
  <c r="N26" i="276" s="1"/>
  <c r="P26" i="276" s="1"/>
  <c r="D9" i="276"/>
  <c r="D10" i="276"/>
  <c r="D11" i="276"/>
  <c r="N11" i="276" s="1"/>
  <c r="P11" i="276" s="1"/>
  <c r="D12" i="276"/>
  <c r="D13" i="276"/>
  <c r="D14" i="276"/>
  <c r="N14" i="276" s="1"/>
  <c r="P14" i="276" s="1"/>
  <c r="D15" i="276"/>
  <c r="N15" i="276" s="1"/>
  <c r="P15" i="276" s="1"/>
  <c r="D16" i="276"/>
  <c r="N16" i="276" s="1"/>
  <c r="P16" i="276" s="1"/>
  <c r="D17" i="276"/>
  <c r="N17" i="276" s="1"/>
  <c r="P17" i="276" s="1"/>
  <c r="D18" i="276"/>
  <c r="N18" i="276" s="1"/>
  <c r="P18" i="276" s="1"/>
  <c r="D19" i="276"/>
  <c r="N19" i="276" s="1"/>
  <c r="P19" i="276" s="1"/>
  <c r="D20" i="276"/>
  <c r="N20" i="276" s="1"/>
  <c r="D21" i="276"/>
  <c r="N21" i="276" s="1"/>
  <c r="P21" i="276" s="1"/>
  <c r="D22" i="276"/>
  <c r="N22" i="276" s="1"/>
  <c r="P22" i="276" s="1"/>
  <c r="D23" i="276"/>
  <c r="N23" i="276" s="1"/>
  <c r="P23" i="276" s="1"/>
  <c r="D24" i="276"/>
  <c r="N24" i="276" s="1"/>
  <c r="P24" i="276" s="1"/>
  <c r="D8" i="276"/>
  <c r="D5" i="276"/>
  <c r="E5" i="276" s="1"/>
  <c r="N30" i="276"/>
  <c r="N28" i="276"/>
  <c r="P28" i="276" s="1"/>
  <c r="D11" i="275" l="1"/>
  <c r="D14" i="275"/>
  <c r="D15" i="275"/>
  <c r="D16" i="275"/>
  <c r="D17" i="275"/>
  <c r="D18" i="275"/>
  <c r="D19" i="275"/>
  <c r="D20" i="275"/>
  <c r="D21" i="275"/>
  <c r="D22" i="275"/>
  <c r="D23" i="275"/>
  <c r="D24" i="275"/>
  <c r="D5" i="275"/>
  <c r="D27" i="275"/>
  <c r="D28" i="275"/>
  <c r="D29" i="275"/>
  <c r="D26" i="275"/>
  <c r="O12" i="274"/>
  <c r="N12" i="276" s="1"/>
  <c r="P12" i="276" s="1"/>
  <c r="O10" i="274"/>
  <c r="N10" i="276" s="1"/>
  <c r="P10" i="276" s="1"/>
  <c r="O9" i="274"/>
  <c r="N9" i="276" s="1"/>
  <c r="P9" i="276" s="1"/>
  <c r="E13" i="274"/>
  <c r="O13" i="274" s="1"/>
  <c r="N13" i="276" s="1"/>
  <c r="P13" i="276" s="1"/>
  <c r="E8" i="274"/>
  <c r="O8" i="274" s="1"/>
  <c r="D9" i="275" l="1"/>
  <c r="N8" i="276"/>
  <c r="P8" i="276" s="1"/>
  <c r="D8" i="275"/>
  <c r="D13" i="275"/>
  <c r="D12" i="275"/>
  <c r="D10" i="275"/>
  <c r="N30" i="275"/>
  <c r="N29" i="275"/>
  <c r="P29" i="275" s="1"/>
  <c r="N28" i="275"/>
  <c r="P28" i="275" s="1"/>
  <c r="N27" i="275"/>
  <c r="P27" i="275" s="1"/>
  <c r="N26" i="275"/>
  <c r="P26" i="275" s="1"/>
  <c r="N24" i="275"/>
  <c r="P24" i="275" s="1"/>
  <c r="N23" i="275"/>
  <c r="P23" i="275" s="1"/>
  <c r="N22" i="275"/>
  <c r="P22" i="275" s="1"/>
  <c r="N21" i="275"/>
  <c r="P21" i="275" s="1"/>
  <c r="N20" i="275"/>
  <c r="N19" i="275"/>
  <c r="P19" i="275" s="1"/>
  <c r="N18" i="275"/>
  <c r="P18" i="275" s="1"/>
  <c r="N17" i="275"/>
  <c r="P17" i="275" s="1"/>
  <c r="N16" i="275"/>
  <c r="P16" i="275" s="1"/>
  <c r="N15" i="275"/>
  <c r="P15" i="275" s="1"/>
  <c r="N14" i="275"/>
  <c r="P14" i="275" s="1"/>
  <c r="N11" i="275"/>
  <c r="P11" i="275" s="1"/>
  <c r="E5" i="275"/>
  <c r="O13" i="272" l="1"/>
  <c r="E13" i="271"/>
  <c r="O13" i="271" s="1"/>
  <c r="D27" i="274" l="1"/>
  <c r="N27" i="274" s="1"/>
  <c r="P27" i="274" s="1"/>
  <c r="D28" i="274"/>
  <c r="N28" i="274" s="1"/>
  <c r="P28" i="274" s="1"/>
  <c r="D29" i="274"/>
  <c r="N29" i="274" s="1"/>
  <c r="P29" i="274" s="1"/>
  <c r="D26" i="274"/>
  <c r="N26" i="274" s="1"/>
  <c r="P26" i="274" s="1"/>
  <c r="D11" i="274"/>
  <c r="N11" i="274" s="1"/>
  <c r="P11" i="274" s="1"/>
  <c r="D14" i="274"/>
  <c r="N14" i="274" s="1"/>
  <c r="P14" i="274" s="1"/>
  <c r="D15" i="274"/>
  <c r="N15" i="274" s="1"/>
  <c r="P15" i="274" s="1"/>
  <c r="D16" i="274"/>
  <c r="N16" i="274" s="1"/>
  <c r="P16" i="274" s="1"/>
  <c r="D17" i="274"/>
  <c r="N17" i="274" s="1"/>
  <c r="P17" i="274" s="1"/>
  <c r="D18" i="274"/>
  <c r="N18" i="274" s="1"/>
  <c r="P18" i="274" s="1"/>
  <c r="D19" i="274"/>
  <c r="N19" i="274" s="1"/>
  <c r="P19" i="274" s="1"/>
  <c r="D20" i="274"/>
  <c r="N20" i="274" s="1"/>
  <c r="D21" i="274"/>
  <c r="N21" i="274" s="1"/>
  <c r="P21" i="274" s="1"/>
  <c r="D22" i="274"/>
  <c r="N22" i="274" s="1"/>
  <c r="P22" i="274" s="1"/>
  <c r="D23" i="274"/>
  <c r="N23" i="274" s="1"/>
  <c r="P23" i="274" s="1"/>
  <c r="D24" i="274"/>
  <c r="N24" i="274" s="1"/>
  <c r="P24" i="274" s="1"/>
  <c r="D5" i="274"/>
  <c r="E5" i="274" s="1"/>
  <c r="O13" i="273"/>
  <c r="N13" i="275" s="1"/>
  <c r="P13" i="275" s="1"/>
  <c r="O12" i="273"/>
  <c r="N12" i="275" s="1"/>
  <c r="P12" i="275" s="1"/>
  <c r="O10" i="273"/>
  <c r="N10" i="275" s="1"/>
  <c r="P10" i="275" s="1"/>
  <c r="O9" i="273"/>
  <c r="N9" i="275" s="1"/>
  <c r="P9" i="275" s="1"/>
  <c r="E8" i="273"/>
  <c r="O8" i="273" s="1"/>
  <c r="N8" i="275" s="1"/>
  <c r="P8" i="275" s="1"/>
  <c r="N30" i="274"/>
  <c r="D9" i="274" l="1"/>
  <c r="N9" i="274" s="1"/>
  <c r="P9" i="274" s="1"/>
  <c r="D8" i="274"/>
  <c r="D13" i="274"/>
  <c r="N13" i="274" s="1"/>
  <c r="P13" i="274" s="1"/>
  <c r="D12" i="274"/>
  <c r="D10" i="274"/>
  <c r="F29" i="273"/>
  <c r="F28" i="273"/>
  <c r="F27" i="273"/>
  <c r="F26" i="273"/>
  <c r="O12" i="272"/>
  <c r="O10" i="272"/>
  <c r="E8" i="272"/>
  <c r="O8" i="272" s="1"/>
  <c r="D27" i="273"/>
  <c r="D28" i="273"/>
  <c r="D29" i="273"/>
  <c r="D26" i="273"/>
  <c r="D9" i="273"/>
  <c r="N9" i="273" s="1"/>
  <c r="P9" i="273" s="1"/>
  <c r="D11" i="273"/>
  <c r="N11" i="273" s="1"/>
  <c r="P11" i="273" s="1"/>
  <c r="D13" i="273"/>
  <c r="D14" i="273"/>
  <c r="N14" i="273" s="1"/>
  <c r="P14" i="273" s="1"/>
  <c r="D15" i="273"/>
  <c r="N15" i="273" s="1"/>
  <c r="P15" i="273" s="1"/>
  <c r="D16" i="273"/>
  <c r="N16" i="273" s="1"/>
  <c r="P16" i="273" s="1"/>
  <c r="D17" i="273"/>
  <c r="N17" i="273" s="1"/>
  <c r="P17" i="273" s="1"/>
  <c r="D18" i="273"/>
  <c r="N18" i="273" s="1"/>
  <c r="P18" i="273" s="1"/>
  <c r="D19" i="273"/>
  <c r="N19" i="273" s="1"/>
  <c r="P19" i="273" s="1"/>
  <c r="D20" i="273"/>
  <c r="N20" i="273" s="1"/>
  <c r="D21" i="273"/>
  <c r="N21" i="273" s="1"/>
  <c r="P21" i="273" s="1"/>
  <c r="D22" i="273"/>
  <c r="N22" i="273" s="1"/>
  <c r="P22" i="273" s="1"/>
  <c r="D23" i="273"/>
  <c r="N23" i="273" s="1"/>
  <c r="P23" i="273" s="1"/>
  <c r="D24" i="273"/>
  <c r="N24" i="273" s="1"/>
  <c r="P24" i="273" s="1"/>
  <c r="D5" i="273"/>
  <c r="E5" i="273" s="1"/>
  <c r="N30" i="273"/>
  <c r="N26" i="273" l="1"/>
  <c r="P26" i="273" s="1"/>
  <c r="N28" i="273"/>
  <c r="P28" i="273" s="1"/>
  <c r="N8" i="274"/>
  <c r="P8" i="274" s="1"/>
  <c r="D8" i="273"/>
  <c r="N29" i="273"/>
  <c r="P29" i="273" s="1"/>
  <c r="N27" i="273"/>
  <c r="P27" i="273" s="1"/>
  <c r="D10" i="273"/>
  <c r="N10" i="274"/>
  <c r="P10" i="274" s="1"/>
  <c r="D12" i="273"/>
  <c r="N12" i="274"/>
  <c r="P12" i="274" s="1"/>
  <c r="D27" i="272"/>
  <c r="N27" i="272" s="1"/>
  <c r="P27" i="272" s="1"/>
  <c r="D28" i="272"/>
  <c r="D29" i="272"/>
  <c r="N29" i="272" s="1"/>
  <c r="P29" i="272" s="1"/>
  <c r="D26" i="272"/>
  <c r="N26" i="272" s="1"/>
  <c r="P26" i="272" s="1"/>
  <c r="D9" i="272"/>
  <c r="D11" i="272"/>
  <c r="N11" i="272" s="1"/>
  <c r="P11" i="272" s="1"/>
  <c r="D14" i="272"/>
  <c r="N14" i="272" s="1"/>
  <c r="P14" i="272" s="1"/>
  <c r="D15" i="272"/>
  <c r="N15" i="272" s="1"/>
  <c r="P15" i="272" s="1"/>
  <c r="D16" i="272"/>
  <c r="N16" i="272" s="1"/>
  <c r="P16" i="272" s="1"/>
  <c r="D17" i="272"/>
  <c r="N17" i="272" s="1"/>
  <c r="P17" i="272" s="1"/>
  <c r="D18" i="272"/>
  <c r="N18" i="272" s="1"/>
  <c r="P18" i="272" s="1"/>
  <c r="D19" i="272"/>
  <c r="N19" i="272" s="1"/>
  <c r="P19" i="272" s="1"/>
  <c r="D20" i="272"/>
  <c r="N20" i="272" s="1"/>
  <c r="D21" i="272"/>
  <c r="N21" i="272" s="1"/>
  <c r="P21" i="272" s="1"/>
  <c r="D22" i="272"/>
  <c r="N22" i="272" s="1"/>
  <c r="P22" i="272" s="1"/>
  <c r="D23" i="272"/>
  <c r="N23" i="272" s="1"/>
  <c r="P23" i="272" s="1"/>
  <c r="D24" i="272"/>
  <c r="N24" i="272" s="1"/>
  <c r="P24" i="272" s="1"/>
  <c r="D5" i="272"/>
  <c r="E5" i="272" s="1"/>
  <c r="N30" i="272"/>
  <c r="N28" i="272"/>
  <c r="P28" i="272" s="1"/>
  <c r="O12" i="271"/>
  <c r="O10" i="271"/>
  <c r="N13" i="273"/>
  <c r="P13" i="273" s="1"/>
  <c r="E8" i="271"/>
  <c r="D27" i="271"/>
  <c r="N27" i="271" s="1"/>
  <c r="P27" i="271" s="1"/>
  <c r="D28" i="271"/>
  <c r="N28" i="271" s="1"/>
  <c r="P28" i="271" s="1"/>
  <c r="D29" i="271"/>
  <c r="N29" i="271" s="1"/>
  <c r="P29" i="271" s="1"/>
  <c r="D26" i="271"/>
  <c r="N26" i="271" s="1"/>
  <c r="P26" i="271" s="1"/>
  <c r="D11" i="271"/>
  <c r="N11" i="271" s="1"/>
  <c r="P11" i="271" s="1"/>
  <c r="D14" i="271"/>
  <c r="N14" i="271" s="1"/>
  <c r="P14" i="271" s="1"/>
  <c r="D15" i="271"/>
  <c r="N15" i="271" s="1"/>
  <c r="P15" i="271" s="1"/>
  <c r="D16" i="271"/>
  <c r="N16" i="271" s="1"/>
  <c r="P16" i="271" s="1"/>
  <c r="D17" i="271"/>
  <c r="N17" i="271" s="1"/>
  <c r="P17" i="271" s="1"/>
  <c r="D18" i="271"/>
  <c r="N18" i="271" s="1"/>
  <c r="P18" i="271" s="1"/>
  <c r="D19" i="271"/>
  <c r="N19" i="271" s="1"/>
  <c r="P19" i="271" s="1"/>
  <c r="D20" i="271"/>
  <c r="N20" i="271" s="1"/>
  <c r="D21" i="271"/>
  <c r="N21" i="271" s="1"/>
  <c r="P21" i="271" s="1"/>
  <c r="D22" i="271"/>
  <c r="N22" i="271" s="1"/>
  <c r="P22" i="271" s="1"/>
  <c r="D23" i="271"/>
  <c r="D24" i="271"/>
  <c r="N24" i="271" s="1"/>
  <c r="P24" i="271" s="1"/>
  <c r="D5" i="271"/>
  <c r="E5" i="271" s="1"/>
  <c r="N30" i="271"/>
  <c r="N23" i="271"/>
  <c r="P23" i="271" s="1"/>
  <c r="E23" i="267"/>
  <c r="O13" i="269"/>
  <c r="D13" i="270" s="1"/>
  <c r="O12" i="270"/>
  <c r="D12" i="271" s="1"/>
  <c r="O10" i="270"/>
  <c r="E13" i="270"/>
  <c r="O13" i="270" s="1"/>
  <c r="E9" i="270"/>
  <c r="O9" i="270" s="1"/>
  <c r="E8" i="270"/>
  <c r="O8" i="270" s="1"/>
  <c r="D5" i="270"/>
  <c r="E5" i="270" s="1"/>
  <c r="D27" i="270"/>
  <c r="N27" i="270" s="1"/>
  <c r="P27" i="270" s="1"/>
  <c r="D28" i="270"/>
  <c r="N28" i="270" s="1"/>
  <c r="P28" i="270" s="1"/>
  <c r="D29" i="270"/>
  <c r="N29" i="270" s="1"/>
  <c r="P29" i="270" s="1"/>
  <c r="D26" i="270"/>
  <c r="N26" i="270" s="1"/>
  <c r="P26" i="270" s="1"/>
  <c r="D9" i="270"/>
  <c r="D11" i="270"/>
  <c r="N11" i="270" s="1"/>
  <c r="P11" i="270" s="1"/>
  <c r="D14" i="270"/>
  <c r="N14" i="270" s="1"/>
  <c r="P14" i="270" s="1"/>
  <c r="D15" i="270"/>
  <c r="N15" i="270" s="1"/>
  <c r="P15" i="270" s="1"/>
  <c r="D16" i="270"/>
  <c r="N16" i="270" s="1"/>
  <c r="P16" i="270" s="1"/>
  <c r="D17" i="270"/>
  <c r="N17" i="270" s="1"/>
  <c r="P17" i="270" s="1"/>
  <c r="D18" i="270"/>
  <c r="N18" i="270" s="1"/>
  <c r="P18" i="270" s="1"/>
  <c r="D19" i="270"/>
  <c r="N19" i="270" s="1"/>
  <c r="P19" i="270" s="1"/>
  <c r="D20" i="270"/>
  <c r="N20" i="270" s="1"/>
  <c r="D21" i="270"/>
  <c r="N21" i="270" s="1"/>
  <c r="P21" i="270" s="1"/>
  <c r="D22" i="270"/>
  <c r="N22" i="270" s="1"/>
  <c r="P22" i="270" s="1"/>
  <c r="D23" i="270"/>
  <c r="N23" i="270" s="1"/>
  <c r="P23" i="270" s="1"/>
  <c r="D24" i="270"/>
  <c r="N24" i="270" s="1"/>
  <c r="P24" i="270" s="1"/>
  <c r="N30" i="270"/>
  <c r="O12" i="269"/>
  <c r="O10" i="269"/>
  <c r="E8" i="269"/>
  <c r="O8" i="269" s="1"/>
  <c r="D27" i="269"/>
  <c r="N27" i="269" s="1"/>
  <c r="P27" i="269" s="1"/>
  <c r="D28" i="269"/>
  <c r="D29" i="269"/>
  <c r="N29" i="269" s="1"/>
  <c r="P29" i="269" s="1"/>
  <c r="D26" i="269"/>
  <c r="N26" i="269" s="1"/>
  <c r="P26" i="269" s="1"/>
  <c r="D9" i="269"/>
  <c r="D11" i="269"/>
  <c r="N11" i="269" s="1"/>
  <c r="P11" i="269" s="1"/>
  <c r="D14" i="269"/>
  <c r="N14" i="269" s="1"/>
  <c r="P14" i="269" s="1"/>
  <c r="D15" i="269"/>
  <c r="N15" i="269" s="1"/>
  <c r="P15" i="269" s="1"/>
  <c r="D16" i="269"/>
  <c r="N16" i="269" s="1"/>
  <c r="P16" i="269" s="1"/>
  <c r="D17" i="269"/>
  <c r="N17" i="269" s="1"/>
  <c r="P17" i="269" s="1"/>
  <c r="D18" i="269"/>
  <c r="N18" i="269" s="1"/>
  <c r="P18" i="269" s="1"/>
  <c r="D19" i="269"/>
  <c r="N19" i="269" s="1"/>
  <c r="P19" i="269" s="1"/>
  <c r="D20" i="269"/>
  <c r="N20" i="269" s="1"/>
  <c r="D21" i="269"/>
  <c r="N21" i="269" s="1"/>
  <c r="P21" i="269" s="1"/>
  <c r="D22" i="269"/>
  <c r="N22" i="269" s="1"/>
  <c r="P22" i="269" s="1"/>
  <c r="D23" i="269"/>
  <c r="N23" i="269" s="1"/>
  <c r="P23" i="269" s="1"/>
  <c r="D24" i="269"/>
  <c r="N24" i="269" s="1"/>
  <c r="P24" i="269" s="1"/>
  <c r="D5" i="269"/>
  <c r="E5" i="269" s="1"/>
  <c r="N30" i="269"/>
  <c r="N28" i="269"/>
  <c r="P28" i="269" s="1"/>
  <c r="O13" i="268"/>
  <c r="O12" i="268"/>
  <c r="O10" i="268"/>
  <c r="D10" i="269" s="1"/>
  <c r="E8" i="268"/>
  <c r="O8" i="268" s="1"/>
  <c r="N10" i="273" l="1"/>
  <c r="P10" i="273" s="1"/>
  <c r="N12" i="273"/>
  <c r="P12" i="273" s="1"/>
  <c r="N8" i="273"/>
  <c r="P8" i="273" s="1"/>
  <c r="O8" i="271"/>
  <c r="D8" i="272" s="1"/>
  <c r="N8" i="272" s="1"/>
  <c r="P8" i="272" s="1"/>
  <c r="N9" i="270"/>
  <c r="P9" i="270" s="1"/>
  <c r="D12" i="272"/>
  <c r="N12" i="272" s="1"/>
  <c r="P12" i="272" s="1"/>
  <c r="D10" i="272"/>
  <c r="N10" i="272" s="1"/>
  <c r="P10" i="272" s="1"/>
  <c r="D13" i="272"/>
  <c r="N13" i="272" s="1"/>
  <c r="P13" i="272" s="1"/>
  <c r="N9" i="272"/>
  <c r="P9" i="272" s="1"/>
  <c r="D9" i="271"/>
  <c r="N9" i="271" s="1"/>
  <c r="P9" i="271" s="1"/>
  <c r="D8" i="271"/>
  <c r="N8" i="271" s="1"/>
  <c r="D13" i="271"/>
  <c r="N13" i="271" s="1"/>
  <c r="P13" i="271" s="1"/>
  <c r="N12" i="271"/>
  <c r="P12" i="271" s="1"/>
  <c r="D10" i="271"/>
  <c r="N10" i="271" s="1"/>
  <c r="P10" i="271" s="1"/>
  <c r="D8" i="270"/>
  <c r="N8" i="270" s="1"/>
  <c r="P8" i="270" s="1"/>
  <c r="D12" i="270"/>
  <c r="N12" i="270" s="1"/>
  <c r="P12" i="270" s="1"/>
  <c r="D10" i="270"/>
  <c r="N10" i="270" s="1"/>
  <c r="P10" i="270" s="1"/>
  <c r="N13" i="270"/>
  <c r="P13" i="270" s="1"/>
  <c r="D8" i="269"/>
  <c r="D13" i="269"/>
  <c r="D12" i="269"/>
  <c r="D27" i="268"/>
  <c r="N27" i="268" s="1"/>
  <c r="P27" i="268" s="1"/>
  <c r="D28" i="268"/>
  <c r="N28" i="268" s="1"/>
  <c r="P28" i="268" s="1"/>
  <c r="D29" i="268"/>
  <c r="N29" i="268" s="1"/>
  <c r="P29" i="268" s="1"/>
  <c r="D26" i="268"/>
  <c r="N26" i="268" s="1"/>
  <c r="P26" i="268" s="1"/>
  <c r="O12" i="267"/>
  <c r="O10" i="267"/>
  <c r="N10" i="269" s="1"/>
  <c r="P10" i="269" s="1"/>
  <c r="E13" i="267"/>
  <c r="O13" i="267" s="1"/>
  <c r="E28" i="267"/>
  <c r="E8" i="267"/>
  <c r="O8" i="267" s="1"/>
  <c r="E9" i="267"/>
  <c r="O9" i="267" s="1"/>
  <c r="D11" i="268"/>
  <c r="N11" i="268" s="1"/>
  <c r="P11" i="268" s="1"/>
  <c r="D14" i="268"/>
  <c r="N14" i="268" s="1"/>
  <c r="P14" i="268" s="1"/>
  <c r="D15" i="268"/>
  <c r="N15" i="268" s="1"/>
  <c r="P15" i="268" s="1"/>
  <c r="D16" i="268"/>
  <c r="N16" i="268" s="1"/>
  <c r="P16" i="268" s="1"/>
  <c r="D17" i="268"/>
  <c r="N17" i="268" s="1"/>
  <c r="P17" i="268" s="1"/>
  <c r="D18" i="268"/>
  <c r="N18" i="268" s="1"/>
  <c r="P18" i="268" s="1"/>
  <c r="D19" i="268"/>
  <c r="N19" i="268" s="1"/>
  <c r="P19" i="268" s="1"/>
  <c r="D20" i="268"/>
  <c r="N20" i="268" s="1"/>
  <c r="D21" i="268"/>
  <c r="N21" i="268" s="1"/>
  <c r="P21" i="268" s="1"/>
  <c r="D22" i="268"/>
  <c r="N22" i="268" s="1"/>
  <c r="P22" i="268" s="1"/>
  <c r="D23" i="268"/>
  <c r="N23" i="268" s="1"/>
  <c r="P23" i="268" s="1"/>
  <c r="D24" i="268"/>
  <c r="N24" i="268" s="1"/>
  <c r="P24" i="268" s="1"/>
  <c r="D5" i="268"/>
  <c r="E5" i="268" s="1"/>
  <c r="N30" i="268"/>
  <c r="P8" i="271" l="1"/>
  <c r="D10" i="268"/>
  <c r="D9" i="268"/>
  <c r="N9" i="268" s="1"/>
  <c r="P9" i="268" s="1"/>
  <c r="N9" i="269"/>
  <c r="P9" i="269" s="1"/>
  <c r="N8" i="269"/>
  <c r="P8" i="269" s="1"/>
  <c r="D8" i="268"/>
  <c r="N13" i="269"/>
  <c r="P13" i="269" s="1"/>
  <c r="D13" i="268"/>
  <c r="D12" i="268"/>
  <c r="N12" i="268" s="1"/>
  <c r="N12" i="269"/>
  <c r="P12" i="269" s="1"/>
  <c r="O13" i="266"/>
  <c r="O12" i="265"/>
  <c r="O10" i="266"/>
  <c r="O23" i="264"/>
  <c r="F23" i="264"/>
  <c r="E12" i="266"/>
  <c r="O12" i="266" s="1"/>
  <c r="E8" i="266"/>
  <c r="O8" i="266" s="1"/>
  <c r="D27" i="267"/>
  <c r="N27" i="267" s="1"/>
  <c r="P27" i="267" s="1"/>
  <c r="D28" i="267"/>
  <c r="N28" i="267" s="1"/>
  <c r="P28" i="267" s="1"/>
  <c r="D29" i="267"/>
  <c r="N29" i="267" s="1"/>
  <c r="P29" i="267" s="1"/>
  <c r="D26" i="267"/>
  <c r="N26" i="267" s="1"/>
  <c r="P26" i="267" s="1"/>
  <c r="D9" i="267"/>
  <c r="D10" i="267"/>
  <c r="D11" i="267"/>
  <c r="N11" i="267" s="1"/>
  <c r="P11" i="267" s="1"/>
  <c r="D14" i="267"/>
  <c r="N14" i="267" s="1"/>
  <c r="P14" i="267" s="1"/>
  <c r="D15" i="267"/>
  <c r="N15" i="267" s="1"/>
  <c r="P15" i="267" s="1"/>
  <c r="D16" i="267"/>
  <c r="N16" i="267" s="1"/>
  <c r="P16" i="267" s="1"/>
  <c r="D17" i="267"/>
  <c r="N17" i="267" s="1"/>
  <c r="P17" i="267" s="1"/>
  <c r="D18" i="267"/>
  <c r="N18" i="267" s="1"/>
  <c r="P18" i="267" s="1"/>
  <c r="D19" i="267"/>
  <c r="N19" i="267" s="1"/>
  <c r="P19" i="267" s="1"/>
  <c r="D20" i="267"/>
  <c r="N20" i="267" s="1"/>
  <c r="D21" i="267"/>
  <c r="D22" i="267"/>
  <c r="N22" i="267" s="1"/>
  <c r="P22" i="267" s="1"/>
  <c r="D23" i="267"/>
  <c r="N23" i="267" s="1"/>
  <c r="P23" i="267" s="1"/>
  <c r="D24" i="267"/>
  <c r="N24" i="267" s="1"/>
  <c r="P24" i="267" s="1"/>
  <c r="D5" i="267"/>
  <c r="E5" i="267" s="1"/>
  <c r="N30" i="267"/>
  <c r="N21" i="267"/>
  <c r="P21" i="267" s="1"/>
  <c r="N8" i="268" l="1"/>
  <c r="P8" i="268" s="1"/>
  <c r="N10" i="268"/>
  <c r="P10" i="268" s="1"/>
  <c r="N13" i="268"/>
  <c r="P13" i="268" s="1"/>
  <c r="P12" i="268"/>
  <c r="D12" i="267"/>
  <c r="N12" i="267" s="1"/>
  <c r="P12" i="267" s="1"/>
  <c r="D8" i="267"/>
  <c r="D13" i="267"/>
  <c r="O13" i="265"/>
  <c r="O10" i="265"/>
  <c r="N10" i="267" s="1"/>
  <c r="P10" i="267" s="1"/>
  <c r="D11" i="265"/>
  <c r="D14" i="265"/>
  <c r="D15" i="265"/>
  <c r="D16" i="265"/>
  <c r="D17" i="265"/>
  <c r="D18" i="265"/>
  <c r="D19" i="265"/>
  <c r="D20" i="265"/>
  <c r="D21" i="265"/>
  <c r="D22" i="265"/>
  <c r="D23" i="265"/>
  <c r="D24" i="265"/>
  <c r="E9" i="265"/>
  <c r="O9" i="265" s="1"/>
  <c r="E8" i="265"/>
  <c r="O8" i="265" s="1"/>
  <c r="D27" i="266"/>
  <c r="D28" i="266"/>
  <c r="D29" i="266"/>
  <c r="D26" i="266"/>
  <c r="D11" i="266"/>
  <c r="D12" i="266"/>
  <c r="D14" i="266"/>
  <c r="D15" i="266"/>
  <c r="D16" i="266"/>
  <c r="D17" i="266"/>
  <c r="D18" i="266"/>
  <c r="D19" i="266"/>
  <c r="D20" i="266"/>
  <c r="D21" i="266"/>
  <c r="D22" i="266"/>
  <c r="D23" i="266"/>
  <c r="D24" i="266"/>
  <c r="D5" i="266"/>
  <c r="D10" i="266" l="1"/>
  <c r="N9" i="267"/>
  <c r="P9" i="267" s="1"/>
  <c r="D9" i="266"/>
  <c r="D8" i="266"/>
  <c r="N8" i="267"/>
  <c r="P8" i="267" s="1"/>
  <c r="D13" i="266"/>
  <c r="N13" i="267"/>
  <c r="P13" i="267" s="1"/>
  <c r="N30" i="266"/>
  <c r="N29" i="266"/>
  <c r="P29" i="266" s="1"/>
  <c r="N28" i="266"/>
  <c r="P28" i="266" s="1"/>
  <c r="N27" i="266"/>
  <c r="P27" i="266" s="1"/>
  <c r="N26" i="266"/>
  <c r="P26" i="266" s="1"/>
  <c r="N24" i="266"/>
  <c r="P24" i="266" s="1"/>
  <c r="N23" i="266"/>
  <c r="P23" i="266" s="1"/>
  <c r="N22" i="266"/>
  <c r="P22" i="266" s="1"/>
  <c r="N21" i="266"/>
  <c r="P21" i="266" s="1"/>
  <c r="N20" i="266"/>
  <c r="N19" i="266"/>
  <c r="P19" i="266" s="1"/>
  <c r="N18" i="266"/>
  <c r="P18" i="266" s="1"/>
  <c r="N17" i="266"/>
  <c r="P17" i="266" s="1"/>
  <c r="N16" i="266"/>
  <c r="P16" i="266" s="1"/>
  <c r="N15" i="266"/>
  <c r="P15" i="266" s="1"/>
  <c r="N14" i="266"/>
  <c r="P14" i="266" s="1"/>
  <c r="N11" i="266"/>
  <c r="P11" i="266" s="1"/>
  <c r="E5" i="266"/>
  <c r="O13" i="264" l="1"/>
  <c r="O12" i="264"/>
  <c r="D12" i="265" s="1"/>
  <c r="O10" i="264"/>
  <c r="O9" i="264"/>
  <c r="D9" i="265" s="1"/>
  <c r="E8" i="264"/>
  <c r="O8" i="264" s="1"/>
  <c r="D27" i="265"/>
  <c r="N27" i="265" s="1"/>
  <c r="P27" i="265" s="1"/>
  <c r="D28" i="265"/>
  <c r="N28" i="265" s="1"/>
  <c r="P28" i="265" s="1"/>
  <c r="D29" i="265"/>
  <c r="N29" i="265" s="1"/>
  <c r="P29" i="265" s="1"/>
  <c r="D26" i="265"/>
  <c r="N26" i="265" s="1"/>
  <c r="P26" i="265" s="1"/>
  <c r="N11" i="265"/>
  <c r="P11" i="265" s="1"/>
  <c r="N15" i="265"/>
  <c r="P15" i="265" s="1"/>
  <c r="N16" i="265"/>
  <c r="P16" i="265" s="1"/>
  <c r="N17" i="265"/>
  <c r="P17" i="265" s="1"/>
  <c r="N19" i="265"/>
  <c r="P19" i="265" s="1"/>
  <c r="N21" i="265"/>
  <c r="P21" i="265" s="1"/>
  <c r="N23" i="265"/>
  <c r="P23" i="265" s="1"/>
  <c r="D5" i="265"/>
  <c r="E5" i="265" s="1"/>
  <c r="N30" i="265"/>
  <c r="N24" i="265"/>
  <c r="P24" i="265" s="1"/>
  <c r="N22" i="265"/>
  <c r="P22" i="265" s="1"/>
  <c r="N20" i="265"/>
  <c r="N18" i="265"/>
  <c r="P18" i="265" s="1"/>
  <c r="N14" i="265"/>
  <c r="P14" i="265" s="1"/>
  <c r="N8" i="266" l="1"/>
  <c r="P8" i="266" s="1"/>
  <c r="D8" i="265"/>
  <c r="N10" i="266"/>
  <c r="P10" i="266" s="1"/>
  <c r="D10" i="265"/>
  <c r="N13" i="266"/>
  <c r="P13" i="266" s="1"/>
  <c r="D13" i="265"/>
  <c r="N9" i="266"/>
  <c r="P9" i="266" s="1"/>
  <c r="N12" i="266"/>
  <c r="P12" i="266" s="1"/>
  <c r="O8" i="263"/>
  <c r="D27" i="264"/>
  <c r="N27" i="264" s="1"/>
  <c r="P27" i="264" s="1"/>
  <c r="D28" i="264"/>
  <c r="D29" i="264"/>
  <c r="D26" i="264"/>
  <c r="D11" i="264"/>
  <c r="N11" i="264" s="1"/>
  <c r="P11" i="264" s="1"/>
  <c r="D14" i="264"/>
  <c r="N14" i="264" s="1"/>
  <c r="P14" i="264" s="1"/>
  <c r="D15" i="264"/>
  <c r="N15" i="264" s="1"/>
  <c r="P15" i="264" s="1"/>
  <c r="D16" i="264"/>
  <c r="N16" i="264" s="1"/>
  <c r="P16" i="264" s="1"/>
  <c r="D17" i="264"/>
  <c r="N17" i="264" s="1"/>
  <c r="P17" i="264" s="1"/>
  <c r="D18" i="264"/>
  <c r="N18" i="264" s="1"/>
  <c r="P18" i="264" s="1"/>
  <c r="D19" i="264"/>
  <c r="N19" i="264" s="1"/>
  <c r="P19" i="264" s="1"/>
  <c r="D20" i="264"/>
  <c r="N20" i="264" s="1"/>
  <c r="D21" i="264"/>
  <c r="N21" i="264" s="1"/>
  <c r="P21" i="264" s="1"/>
  <c r="D22" i="264"/>
  <c r="N22" i="264" s="1"/>
  <c r="P22" i="264" s="1"/>
  <c r="D23" i="264"/>
  <c r="D24" i="264"/>
  <c r="N24" i="264" s="1"/>
  <c r="P24" i="264" s="1"/>
  <c r="O13" i="263"/>
  <c r="N13" i="265" s="1"/>
  <c r="P13" i="265" s="1"/>
  <c r="O12" i="263"/>
  <c r="N12" i="265" s="1"/>
  <c r="P12" i="265" s="1"/>
  <c r="O10" i="263"/>
  <c r="N10" i="265" s="1"/>
  <c r="P10" i="265" s="1"/>
  <c r="O9" i="263"/>
  <c r="N9" i="265" s="1"/>
  <c r="P9" i="265" s="1"/>
  <c r="O13" i="262"/>
  <c r="D13" i="263" s="1"/>
  <c r="O12" i="262"/>
  <c r="D12" i="263" s="1"/>
  <c r="O10" i="262"/>
  <c r="D10" i="263" s="1"/>
  <c r="E29" i="262"/>
  <c r="E8" i="262"/>
  <c r="O8" i="262" s="1"/>
  <c r="D8" i="263" s="1"/>
  <c r="E9" i="262"/>
  <c r="O9" i="262" s="1"/>
  <c r="D9" i="263" s="1"/>
  <c r="N9" i="263" s="1"/>
  <c r="P9" i="263" s="1"/>
  <c r="D5" i="264"/>
  <c r="E5" i="264" s="1"/>
  <c r="N30" i="264"/>
  <c r="N29" i="264"/>
  <c r="P29" i="264" s="1"/>
  <c r="N28" i="264"/>
  <c r="P28" i="264" s="1"/>
  <c r="N26" i="264"/>
  <c r="P26" i="264" s="1"/>
  <c r="N23" i="264"/>
  <c r="P23" i="264" s="1"/>
  <c r="D27" i="263"/>
  <c r="N27" i="263" s="1"/>
  <c r="P27" i="263" s="1"/>
  <c r="D28" i="263"/>
  <c r="N28" i="263" s="1"/>
  <c r="P28" i="263" s="1"/>
  <c r="D29" i="263"/>
  <c r="N29" i="263" s="1"/>
  <c r="P29" i="263" s="1"/>
  <c r="D26" i="263"/>
  <c r="N26" i="263" s="1"/>
  <c r="P26" i="263" s="1"/>
  <c r="D11" i="263"/>
  <c r="N11" i="263" s="1"/>
  <c r="P11" i="263" s="1"/>
  <c r="D14" i="263"/>
  <c r="N14" i="263" s="1"/>
  <c r="P14" i="263" s="1"/>
  <c r="D15" i="263"/>
  <c r="N15" i="263" s="1"/>
  <c r="P15" i="263" s="1"/>
  <c r="D16" i="263"/>
  <c r="N16" i="263" s="1"/>
  <c r="P16" i="263" s="1"/>
  <c r="D17" i="263"/>
  <c r="N17" i="263" s="1"/>
  <c r="P17" i="263" s="1"/>
  <c r="D18" i="263"/>
  <c r="N18" i="263" s="1"/>
  <c r="P18" i="263" s="1"/>
  <c r="D19" i="263"/>
  <c r="N19" i="263" s="1"/>
  <c r="P19" i="263" s="1"/>
  <c r="D20" i="263"/>
  <c r="N20" i="263" s="1"/>
  <c r="D21" i="263"/>
  <c r="N21" i="263" s="1"/>
  <c r="P21" i="263" s="1"/>
  <c r="D22" i="263"/>
  <c r="N22" i="263" s="1"/>
  <c r="P22" i="263" s="1"/>
  <c r="D23" i="263"/>
  <c r="N23" i="263" s="1"/>
  <c r="P23" i="263" s="1"/>
  <c r="D24" i="263"/>
  <c r="N24" i="263" s="1"/>
  <c r="P24" i="263" s="1"/>
  <c r="D5" i="263"/>
  <c r="E5" i="263" s="1"/>
  <c r="N30" i="263"/>
  <c r="D10" i="264" l="1"/>
  <c r="N10" i="264" s="1"/>
  <c r="P10" i="264" s="1"/>
  <c r="D13" i="264"/>
  <c r="N13" i="264" s="1"/>
  <c r="P13" i="264" s="1"/>
  <c r="D9" i="264"/>
  <c r="N9" i="264" s="1"/>
  <c r="P9" i="264" s="1"/>
  <c r="D12" i="264"/>
  <c r="N12" i="264" s="1"/>
  <c r="P12" i="264" s="1"/>
  <c r="D8" i="264"/>
  <c r="N8" i="264" s="1"/>
  <c r="P8" i="264" s="1"/>
  <c r="N8" i="265"/>
  <c r="P8" i="265" s="1"/>
  <c r="E23" i="261"/>
  <c r="D27" i="262"/>
  <c r="D28" i="262"/>
  <c r="D29" i="262"/>
  <c r="N29" i="262" s="1"/>
  <c r="P29" i="262" s="1"/>
  <c r="D26" i="262"/>
  <c r="N26" i="262" s="1"/>
  <c r="P26" i="262" s="1"/>
  <c r="D9" i="262"/>
  <c r="D11" i="262"/>
  <c r="N11" i="262" s="1"/>
  <c r="P11" i="262" s="1"/>
  <c r="D14" i="262"/>
  <c r="N14" i="262" s="1"/>
  <c r="P14" i="262" s="1"/>
  <c r="D15" i="262"/>
  <c r="N15" i="262" s="1"/>
  <c r="P15" i="262" s="1"/>
  <c r="D16" i="262"/>
  <c r="N16" i="262" s="1"/>
  <c r="P16" i="262" s="1"/>
  <c r="D17" i="262"/>
  <c r="N17" i="262" s="1"/>
  <c r="P17" i="262" s="1"/>
  <c r="D18" i="262"/>
  <c r="N18" i="262" s="1"/>
  <c r="P18" i="262" s="1"/>
  <c r="D19" i="262"/>
  <c r="N19" i="262" s="1"/>
  <c r="P19" i="262" s="1"/>
  <c r="D20" i="262"/>
  <c r="N20" i="262" s="1"/>
  <c r="D21" i="262"/>
  <c r="N21" i="262" s="1"/>
  <c r="P21" i="262" s="1"/>
  <c r="D22" i="262"/>
  <c r="N22" i="262" s="1"/>
  <c r="P22" i="262" s="1"/>
  <c r="D23" i="262"/>
  <c r="N23" i="262" s="1"/>
  <c r="P23" i="262" s="1"/>
  <c r="D24" i="262"/>
  <c r="N24" i="262" s="1"/>
  <c r="P24" i="262" s="1"/>
  <c r="D5" i="261"/>
  <c r="D5" i="262"/>
  <c r="E5" i="262" s="1"/>
  <c r="N30" i="262"/>
  <c r="N28" i="262"/>
  <c r="P28" i="262" s="1"/>
  <c r="N27" i="262"/>
  <c r="P27" i="262" s="1"/>
  <c r="O13" i="261"/>
  <c r="N13" i="263" s="1"/>
  <c r="P13" i="263" s="1"/>
  <c r="O12" i="261"/>
  <c r="N12" i="263" s="1"/>
  <c r="P12" i="263" s="1"/>
  <c r="O10" i="261"/>
  <c r="N10" i="263" s="1"/>
  <c r="P10" i="263" s="1"/>
  <c r="D11" i="261"/>
  <c r="D14" i="261"/>
  <c r="D15" i="261"/>
  <c r="D16" i="261"/>
  <c r="D17" i="261"/>
  <c r="D18" i="261"/>
  <c r="D19" i="261"/>
  <c r="D20" i="261"/>
  <c r="D21" i="261"/>
  <c r="D22" i="261"/>
  <c r="D23" i="261"/>
  <c r="D24" i="261"/>
  <c r="E8" i="261"/>
  <c r="O8" i="261" s="1"/>
  <c r="N8" i="263" s="1"/>
  <c r="P8" i="263" s="1"/>
  <c r="D12" i="262" l="1"/>
  <c r="D8" i="262"/>
  <c r="D13" i="262"/>
  <c r="D10" i="262"/>
  <c r="D27" i="261"/>
  <c r="N27" i="261" s="1"/>
  <c r="P27" i="261" s="1"/>
  <c r="D28" i="261"/>
  <c r="N28" i="261" s="1"/>
  <c r="P28" i="261" s="1"/>
  <c r="D29" i="261"/>
  <c r="N29" i="261" s="1"/>
  <c r="P29" i="261" s="1"/>
  <c r="D26" i="261"/>
  <c r="N26" i="261" s="1"/>
  <c r="P26" i="261" s="1"/>
  <c r="O13" i="260"/>
  <c r="O12" i="260"/>
  <c r="O10" i="260"/>
  <c r="O9" i="260"/>
  <c r="E8" i="260"/>
  <c r="O8" i="260" s="1"/>
  <c r="N30" i="261"/>
  <c r="N24" i="261"/>
  <c r="P24" i="261" s="1"/>
  <c r="N23" i="261"/>
  <c r="P23" i="261" s="1"/>
  <c r="N22" i="261"/>
  <c r="P22" i="261" s="1"/>
  <c r="N21" i="261"/>
  <c r="P21" i="261" s="1"/>
  <c r="N20" i="261"/>
  <c r="N19" i="261"/>
  <c r="P19" i="261" s="1"/>
  <c r="N18" i="261"/>
  <c r="P18" i="261" s="1"/>
  <c r="N17" i="261"/>
  <c r="P17" i="261" s="1"/>
  <c r="N16" i="261"/>
  <c r="P16" i="261" s="1"/>
  <c r="N15" i="261"/>
  <c r="P15" i="261" s="1"/>
  <c r="N14" i="261"/>
  <c r="P14" i="261" s="1"/>
  <c r="N11" i="261"/>
  <c r="P11" i="261" s="1"/>
  <c r="E5" i="261"/>
  <c r="N8" i="262" l="1"/>
  <c r="P8" i="262" s="1"/>
  <c r="D8" i="261"/>
  <c r="N9" i="262"/>
  <c r="P9" i="262" s="1"/>
  <c r="D9" i="261"/>
  <c r="N12" i="262"/>
  <c r="P12" i="262" s="1"/>
  <c r="D12" i="261"/>
  <c r="D10" i="261"/>
  <c r="N10" i="262"/>
  <c r="P10" i="262" s="1"/>
  <c r="N13" i="262"/>
  <c r="P13" i="262" s="1"/>
  <c r="D13" i="261"/>
  <c r="O9" i="259"/>
  <c r="O10" i="259"/>
  <c r="O13" i="259"/>
  <c r="E12" i="259"/>
  <c r="O12" i="259" s="1"/>
  <c r="E8" i="259"/>
  <c r="O8" i="259" s="1"/>
  <c r="N8" i="261" l="1"/>
  <c r="P8" i="261" s="1"/>
  <c r="N13" i="261"/>
  <c r="P13" i="261" s="1"/>
  <c r="N10" i="261"/>
  <c r="P10" i="261" s="1"/>
  <c r="N12" i="261"/>
  <c r="P12" i="261" s="1"/>
  <c r="N9" i="261"/>
  <c r="P9" i="261" s="1"/>
  <c r="D27" i="260"/>
  <c r="N27" i="260" s="1"/>
  <c r="P27" i="260" s="1"/>
  <c r="D28" i="260"/>
  <c r="N28" i="260" s="1"/>
  <c r="P28" i="260" s="1"/>
  <c r="D29" i="260"/>
  <c r="N29" i="260" s="1"/>
  <c r="P29" i="260" s="1"/>
  <c r="D26" i="260"/>
  <c r="N26" i="260" s="1"/>
  <c r="P26" i="260" s="1"/>
  <c r="D9" i="260"/>
  <c r="D10" i="260"/>
  <c r="D11" i="260"/>
  <c r="N11" i="260" s="1"/>
  <c r="P11" i="260" s="1"/>
  <c r="D12" i="260"/>
  <c r="D13" i="260"/>
  <c r="D14" i="260"/>
  <c r="N14" i="260" s="1"/>
  <c r="P14" i="260" s="1"/>
  <c r="D15" i="260"/>
  <c r="N15" i="260" s="1"/>
  <c r="P15" i="260" s="1"/>
  <c r="D16" i="260"/>
  <c r="N16" i="260" s="1"/>
  <c r="P16" i="260" s="1"/>
  <c r="D17" i="260"/>
  <c r="N17" i="260" s="1"/>
  <c r="P17" i="260" s="1"/>
  <c r="D18" i="260"/>
  <c r="N18" i="260" s="1"/>
  <c r="P18" i="260" s="1"/>
  <c r="D19" i="260"/>
  <c r="D20" i="260"/>
  <c r="N20" i="260" s="1"/>
  <c r="D21" i="260"/>
  <c r="N21" i="260" s="1"/>
  <c r="P21" i="260" s="1"/>
  <c r="D22" i="260"/>
  <c r="N22" i="260" s="1"/>
  <c r="P22" i="260" s="1"/>
  <c r="D23" i="260"/>
  <c r="N23" i="260" s="1"/>
  <c r="P23" i="260" s="1"/>
  <c r="D24" i="260"/>
  <c r="N24" i="260" s="1"/>
  <c r="P24" i="260" s="1"/>
  <c r="D8" i="260"/>
  <c r="D5" i="260"/>
  <c r="E5" i="260" s="1"/>
  <c r="N30" i="260"/>
  <c r="O19" i="258" l="1"/>
  <c r="N19" i="260" s="1"/>
  <c r="P19" i="260" s="1"/>
  <c r="F10" i="257" l="1"/>
  <c r="D19" i="259"/>
  <c r="N19" i="259" s="1"/>
  <c r="P19" i="259" s="1"/>
  <c r="O13" i="258"/>
  <c r="N13" i="260" s="1"/>
  <c r="P13" i="260" s="1"/>
  <c r="O12" i="258"/>
  <c r="O10" i="258"/>
  <c r="N10" i="260" s="1"/>
  <c r="P10" i="260" s="1"/>
  <c r="O9" i="258"/>
  <c r="E8" i="258"/>
  <c r="O8" i="258" s="1"/>
  <c r="O13" i="257"/>
  <c r="D13" i="258" s="1"/>
  <c r="O12" i="257"/>
  <c r="D12" i="258" s="1"/>
  <c r="O9" i="257"/>
  <c r="D9" i="258" s="1"/>
  <c r="E8" i="257"/>
  <c r="O8" i="257" s="1"/>
  <c r="D8" i="258" s="1"/>
  <c r="D27" i="259"/>
  <c r="N27" i="259" s="1"/>
  <c r="P27" i="259" s="1"/>
  <c r="D28" i="259"/>
  <c r="N28" i="259" s="1"/>
  <c r="P28" i="259" s="1"/>
  <c r="D29" i="259"/>
  <c r="N29" i="259" s="1"/>
  <c r="P29" i="259" s="1"/>
  <c r="D26" i="259"/>
  <c r="N26" i="259" s="1"/>
  <c r="P26" i="259" s="1"/>
  <c r="D11" i="259"/>
  <c r="N11" i="259" s="1"/>
  <c r="P11" i="259" s="1"/>
  <c r="D14" i="259"/>
  <c r="D15" i="259"/>
  <c r="N15" i="259" s="1"/>
  <c r="P15" i="259" s="1"/>
  <c r="D16" i="259"/>
  <c r="N16" i="259" s="1"/>
  <c r="P16" i="259" s="1"/>
  <c r="D17" i="259"/>
  <c r="N17" i="259" s="1"/>
  <c r="P17" i="259" s="1"/>
  <c r="D18" i="259"/>
  <c r="N18" i="259" s="1"/>
  <c r="P18" i="259" s="1"/>
  <c r="D20" i="259"/>
  <c r="N20" i="259" s="1"/>
  <c r="D21" i="259"/>
  <c r="N21" i="259" s="1"/>
  <c r="P21" i="259" s="1"/>
  <c r="D22" i="259"/>
  <c r="N22" i="259" s="1"/>
  <c r="P22" i="259" s="1"/>
  <c r="D23" i="259"/>
  <c r="N23" i="259" s="1"/>
  <c r="P23" i="259" s="1"/>
  <c r="D24" i="259"/>
  <c r="N24" i="259" s="1"/>
  <c r="P24" i="259" s="1"/>
  <c r="D5" i="259"/>
  <c r="E5" i="259" s="1"/>
  <c r="N30" i="259"/>
  <c r="N14" i="259"/>
  <c r="P14" i="259" s="1"/>
  <c r="D27" i="258"/>
  <c r="N27" i="258" s="1"/>
  <c r="P27" i="258" s="1"/>
  <c r="D28" i="258"/>
  <c r="N28" i="258" s="1"/>
  <c r="P28" i="258" s="1"/>
  <c r="D29" i="258"/>
  <c r="N29" i="258" s="1"/>
  <c r="P29" i="258" s="1"/>
  <c r="D26" i="258"/>
  <c r="N26" i="258" s="1"/>
  <c r="P26" i="258" s="1"/>
  <c r="D10" i="258"/>
  <c r="D11" i="258"/>
  <c r="N11" i="258" s="1"/>
  <c r="P11" i="258" s="1"/>
  <c r="D14" i="258"/>
  <c r="N14" i="258" s="1"/>
  <c r="P14" i="258" s="1"/>
  <c r="D15" i="258"/>
  <c r="D16" i="258"/>
  <c r="N16" i="258" s="1"/>
  <c r="P16" i="258" s="1"/>
  <c r="D17" i="258"/>
  <c r="N17" i="258" s="1"/>
  <c r="P17" i="258" s="1"/>
  <c r="D18" i="258"/>
  <c r="N18" i="258" s="1"/>
  <c r="P18" i="258" s="1"/>
  <c r="D19" i="258"/>
  <c r="N19" i="258" s="1"/>
  <c r="P19" i="258" s="1"/>
  <c r="D20" i="258"/>
  <c r="N20" i="258" s="1"/>
  <c r="D21" i="258"/>
  <c r="N21" i="258" s="1"/>
  <c r="P21" i="258" s="1"/>
  <c r="D22" i="258"/>
  <c r="N22" i="258" s="1"/>
  <c r="P22" i="258" s="1"/>
  <c r="D23" i="258"/>
  <c r="N23" i="258" s="1"/>
  <c r="P23" i="258" s="1"/>
  <c r="D24" i="258"/>
  <c r="N24" i="258" s="1"/>
  <c r="P24" i="258" s="1"/>
  <c r="D5" i="258"/>
  <c r="E5" i="258" s="1"/>
  <c r="N30" i="258"/>
  <c r="N15" i="258"/>
  <c r="P15" i="258" s="1"/>
  <c r="D13" i="259" l="1"/>
  <c r="N13" i="259" s="1"/>
  <c r="P13" i="259" s="1"/>
  <c r="D10" i="259"/>
  <c r="N10" i="259" s="1"/>
  <c r="P10" i="259" s="1"/>
  <c r="D9" i="259"/>
  <c r="N9" i="259" s="1"/>
  <c r="P9" i="259" s="1"/>
  <c r="N9" i="260"/>
  <c r="P9" i="260" s="1"/>
  <c r="D12" i="259"/>
  <c r="N12" i="259" s="1"/>
  <c r="P12" i="259" s="1"/>
  <c r="N12" i="260"/>
  <c r="P12" i="260" s="1"/>
  <c r="D8" i="259"/>
  <c r="N8" i="259" s="1"/>
  <c r="P8" i="259" s="1"/>
  <c r="N8" i="260"/>
  <c r="P8" i="260" s="1"/>
  <c r="O13" i="251"/>
  <c r="E8" i="247"/>
  <c r="D27" i="257"/>
  <c r="N27" i="257" s="1"/>
  <c r="P27" i="257" s="1"/>
  <c r="D28" i="257"/>
  <c r="N28" i="257" s="1"/>
  <c r="P28" i="257" s="1"/>
  <c r="D29" i="257"/>
  <c r="N29" i="257" s="1"/>
  <c r="P29" i="257" s="1"/>
  <c r="D26" i="257"/>
  <c r="N26" i="257" s="1"/>
  <c r="P26" i="257" s="1"/>
  <c r="D11" i="257"/>
  <c r="N11" i="257" s="1"/>
  <c r="P11" i="257" s="1"/>
  <c r="D14" i="257"/>
  <c r="N14" i="257" s="1"/>
  <c r="P14" i="257" s="1"/>
  <c r="D15" i="257"/>
  <c r="N15" i="257" s="1"/>
  <c r="P15" i="257" s="1"/>
  <c r="D16" i="257"/>
  <c r="N16" i="257" s="1"/>
  <c r="P16" i="257" s="1"/>
  <c r="D17" i="257"/>
  <c r="N17" i="257" s="1"/>
  <c r="P17" i="257" s="1"/>
  <c r="D18" i="257"/>
  <c r="N18" i="257" s="1"/>
  <c r="P18" i="257" s="1"/>
  <c r="D19" i="257"/>
  <c r="N19" i="257" s="1"/>
  <c r="P19" i="257" s="1"/>
  <c r="D20" i="257"/>
  <c r="N20" i="257" s="1"/>
  <c r="D21" i="257"/>
  <c r="N21" i="257" s="1"/>
  <c r="P21" i="257" s="1"/>
  <c r="D22" i="257"/>
  <c r="N22" i="257" s="1"/>
  <c r="P22" i="257" s="1"/>
  <c r="D23" i="257"/>
  <c r="N23" i="257" s="1"/>
  <c r="P23" i="257" s="1"/>
  <c r="D24" i="257"/>
  <c r="N24" i="257" s="1"/>
  <c r="P24" i="257" s="1"/>
  <c r="D5" i="257"/>
  <c r="E5" i="257" s="1"/>
  <c r="N30" i="257"/>
  <c r="D26" i="256"/>
  <c r="N26" i="256" s="1"/>
  <c r="P26" i="256" s="1"/>
  <c r="O8" i="256"/>
  <c r="N8" i="258" s="1"/>
  <c r="P8" i="258" s="1"/>
  <c r="O13" i="256"/>
  <c r="N13" i="258" s="1"/>
  <c r="P13" i="258" s="1"/>
  <c r="O12" i="255"/>
  <c r="D12" i="256" s="1"/>
  <c r="O12" i="256"/>
  <c r="N12" i="258" s="1"/>
  <c r="P12" i="258" s="1"/>
  <c r="E10" i="256"/>
  <c r="O10" i="256" s="1"/>
  <c r="N10" i="258" s="1"/>
  <c r="P10" i="258" s="1"/>
  <c r="E9" i="256"/>
  <c r="O9" i="256" s="1"/>
  <c r="N9" i="258" s="1"/>
  <c r="P9" i="258" s="1"/>
  <c r="D5" i="256"/>
  <c r="E5" i="256" s="1"/>
  <c r="D27" i="256"/>
  <c r="N27" i="256" s="1"/>
  <c r="P27" i="256" s="1"/>
  <c r="D28" i="256"/>
  <c r="N28" i="256" s="1"/>
  <c r="P28" i="256" s="1"/>
  <c r="D29" i="256"/>
  <c r="N29" i="256" s="1"/>
  <c r="P29" i="256" s="1"/>
  <c r="D9" i="256"/>
  <c r="D11" i="256"/>
  <c r="N11" i="256" s="1"/>
  <c r="P11" i="256" s="1"/>
  <c r="D14" i="256"/>
  <c r="N14" i="256" s="1"/>
  <c r="P14" i="256" s="1"/>
  <c r="D15" i="256"/>
  <c r="N15" i="256" s="1"/>
  <c r="P15" i="256" s="1"/>
  <c r="D16" i="256"/>
  <c r="N16" i="256" s="1"/>
  <c r="P16" i="256" s="1"/>
  <c r="D17" i="256"/>
  <c r="N17" i="256" s="1"/>
  <c r="P17" i="256" s="1"/>
  <c r="D18" i="256"/>
  <c r="N18" i="256" s="1"/>
  <c r="P18" i="256" s="1"/>
  <c r="D19" i="256"/>
  <c r="N19" i="256" s="1"/>
  <c r="P19" i="256" s="1"/>
  <c r="D20" i="256"/>
  <c r="N20" i="256" s="1"/>
  <c r="D21" i="256"/>
  <c r="N21" i="256" s="1"/>
  <c r="P21" i="256" s="1"/>
  <c r="D22" i="256"/>
  <c r="N22" i="256" s="1"/>
  <c r="P22" i="256" s="1"/>
  <c r="D23" i="256"/>
  <c r="N23" i="256" s="1"/>
  <c r="P23" i="256" s="1"/>
  <c r="D24" i="256"/>
  <c r="N24" i="256" s="1"/>
  <c r="P24" i="256" s="1"/>
  <c r="N30" i="256"/>
  <c r="O10" i="255"/>
  <c r="E13" i="255"/>
  <c r="O13" i="255" s="1"/>
  <c r="E8" i="255"/>
  <c r="O8" i="255" s="1"/>
  <c r="N9" i="256" l="1"/>
  <c r="P9" i="256" s="1"/>
  <c r="D10" i="257"/>
  <c r="N10" i="257" s="1"/>
  <c r="P10" i="257" s="1"/>
  <c r="D10" i="256"/>
  <c r="D8" i="257"/>
  <c r="N8" i="257" s="1"/>
  <c r="P8" i="257" s="1"/>
  <c r="D13" i="257"/>
  <c r="N13" i="257" s="1"/>
  <c r="P13" i="257" s="1"/>
  <c r="D9" i="257"/>
  <c r="N9" i="257" s="1"/>
  <c r="P9" i="257" s="1"/>
  <c r="D12" i="257"/>
  <c r="N12" i="257" s="1"/>
  <c r="P12" i="257" s="1"/>
  <c r="D13" i="256"/>
  <c r="D8" i="256"/>
  <c r="D27" i="253"/>
  <c r="D28" i="253"/>
  <c r="D29" i="253"/>
  <c r="D27" i="252"/>
  <c r="D28" i="252"/>
  <c r="D29" i="252"/>
  <c r="D27" i="255" l="1"/>
  <c r="N27" i="255" s="1"/>
  <c r="P27" i="255" s="1"/>
  <c r="D28" i="255"/>
  <c r="N28" i="255" s="1"/>
  <c r="P28" i="255" s="1"/>
  <c r="D29" i="255"/>
  <c r="N29" i="255" s="1"/>
  <c r="P29" i="255" s="1"/>
  <c r="D26" i="255"/>
  <c r="N26" i="255" s="1"/>
  <c r="P26" i="255" s="1"/>
  <c r="D9" i="255"/>
  <c r="D11" i="255"/>
  <c r="N11" i="255" s="1"/>
  <c r="P11" i="255" s="1"/>
  <c r="D14" i="255"/>
  <c r="N14" i="255" s="1"/>
  <c r="P14" i="255" s="1"/>
  <c r="D15" i="255"/>
  <c r="N15" i="255" s="1"/>
  <c r="P15" i="255" s="1"/>
  <c r="D16" i="255"/>
  <c r="N16" i="255" s="1"/>
  <c r="P16" i="255" s="1"/>
  <c r="D17" i="255"/>
  <c r="N17" i="255" s="1"/>
  <c r="P17" i="255" s="1"/>
  <c r="D18" i="255"/>
  <c r="N18" i="255" s="1"/>
  <c r="P18" i="255" s="1"/>
  <c r="D19" i="255"/>
  <c r="N19" i="255" s="1"/>
  <c r="P19" i="255" s="1"/>
  <c r="D20" i="255"/>
  <c r="N20" i="255" s="1"/>
  <c r="D21" i="255"/>
  <c r="N21" i="255" s="1"/>
  <c r="P21" i="255" s="1"/>
  <c r="D22" i="255"/>
  <c r="N22" i="255" s="1"/>
  <c r="P22" i="255" s="1"/>
  <c r="D23" i="255"/>
  <c r="N23" i="255" s="1"/>
  <c r="P23" i="255" s="1"/>
  <c r="D24" i="255"/>
  <c r="N24" i="255" s="1"/>
  <c r="P24" i="255" s="1"/>
  <c r="D5" i="255"/>
  <c r="E5" i="255" s="1"/>
  <c r="N30" i="255"/>
  <c r="O10" i="254"/>
  <c r="N10" i="256" s="1"/>
  <c r="P10" i="256" s="1"/>
  <c r="E13" i="254"/>
  <c r="O13" i="254" s="1"/>
  <c r="N13" i="256" s="1"/>
  <c r="P13" i="256" s="1"/>
  <c r="E12" i="254"/>
  <c r="O12" i="254" s="1"/>
  <c r="N12" i="256" s="1"/>
  <c r="P12" i="256" s="1"/>
  <c r="E8" i="254"/>
  <c r="O8" i="254" s="1"/>
  <c r="N8" i="256" s="1"/>
  <c r="P8" i="256" s="1"/>
  <c r="O13" i="253"/>
  <c r="D13" i="254" s="1"/>
  <c r="O10" i="253"/>
  <c r="E12" i="253"/>
  <c r="O12" i="253" s="1"/>
  <c r="D12" i="254" s="1"/>
  <c r="E9" i="253"/>
  <c r="O9" i="253" s="1"/>
  <c r="E8" i="253"/>
  <c r="O8" i="253" s="1"/>
  <c r="D27" i="254"/>
  <c r="N27" i="254" s="1"/>
  <c r="P27" i="254" s="1"/>
  <c r="D28" i="254"/>
  <c r="N28" i="254" s="1"/>
  <c r="P28" i="254" s="1"/>
  <c r="D29" i="254"/>
  <c r="N29" i="254" s="1"/>
  <c r="P29" i="254" s="1"/>
  <c r="D26" i="254"/>
  <c r="N26" i="254" s="1"/>
  <c r="P26" i="254" s="1"/>
  <c r="D10" i="254"/>
  <c r="D11" i="254"/>
  <c r="D14" i="254"/>
  <c r="N14" i="254" s="1"/>
  <c r="P14" i="254" s="1"/>
  <c r="D15" i="254"/>
  <c r="N15" i="254" s="1"/>
  <c r="P15" i="254" s="1"/>
  <c r="D16" i="254"/>
  <c r="D17" i="254"/>
  <c r="N17" i="254" s="1"/>
  <c r="P17" i="254" s="1"/>
  <c r="D18" i="254"/>
  <c r="N18" i="254" s="1"/>
  <c r="P18" i="254" s="1"/>
  <c r="D19" i="254"/>
  <c r="N19" i="254" s="1"/>
  <c r="P19" i="254" s="1"/>
  <c r="D20" i="254"/>
  <c r="N20" i="254" s="1"/>
  <c r="D21" i="254"/>
  <c r="D22" i="254"/>
  <c r="N22" i="254" s="1"/>
  <c r="P22" i="254" s="1"/>
  <c r="D23" i="254"/>
  <c r="N23" i="254" s="1"/>
  <c r="P23" i="254" s="1"/>
  <c r="D24" i="254"/>
  <c r="N24" i="254" s="1"/>
  <c r="P24" i="254" s="1"/>
  <c r="D5" i="254"/>
  <c r="E5" i="254" s="1"/>
  <c r="N30" i="254"/>
  <c r="N21" i="254"/>
  <c r="P21" i="254" s="1"/>
  <c r="N16" i="254"/>
  <c r="P16" i="254" s="1"/>
  <c r="N11" i="254"/>
  <c r="P11" i="254" s="1"/>
  <c r="D12" i="255" l="1"/>
  <c r="N12" i="255" s="1"/>
  <c r="P12" i="255" s="1"/>
  <c r="D10" i="255"/>
  <c r="N10" i="255" s="1"/>
  <c r="P10" i="255" s="1"/>
  <c r="D8" i="255"/>
  <c r="N8" i="255" s="1"/>
  <c r="P8" i="255" s="1"/>
  <c r="D13" i="255"/>
  <c r="N13" i="255" s="1"/>
  <c r="P13" i="255" s="1"/>
  <c r="D9" i="254"/>
  <c r="N9" i="255"/>
  <c r="P9" i="255" s="1"/>
  <c r="D8" i="254"/>
  <c r="F8" i="252"/>
  <c r="D26" i="253"/>
  <c r="N26" i="253" s="1"/>
  <c r="P26" i="253" s="1"/>
  <c r="O13" i="252"/>
  <c r="N13" i="254" s="1"/>
  <c r="P13" i="254" s="1"/>
  <c r="O12" i="252"/>
  <c r="O10" i="252"/>
  <c r="N10" i="254" s="1"/>
  <c r="P10" i="254" s="1"/>
  <c r="E9" i="252"/>
  <c r="O9" i="252" s="1"/>
  <c r="E8" i="252"/>
  <c r="O8" i="252" s="1"/>
  <c r="N27" i="253"/>
  <c r="P27" i="253" s="1"/>
  <c r="N28" i="253"/>
  <c r="P28" i="253" s="1"/>
  <c r="N29" i="253"/>
  <c r="P29" i="253" s="1"/>
  <c r="D11" i="253"/>
  <c r="D14" i="253"/>
  <c r="N14" i="253" s="1"/>
  <c r="P14" i="253" s="1"/>
  <c r="D15" i="253"/>
  <c r="N15" i="253" s="1"/>
  <c r="P15" i="253" s="1"/>
  <c r="D16" i="253"/>
  <c r="N16" i="253" s="1"/>
  <c r="P16" i="253" s="1"/>
  <c r="D17" i="253"/>
  <c r="N17" i="253" s="1"/>
  <c r="P17" i="253" s="1"/>
  <c r="D18" i="253"/>
  <c r="N18" i="253" s="1"/>
  <c r="P18" i="253" s="1"/>
  <c r="D19" i="253"/>
  <c r="N19" i="253" s="1"/>
  <c r="P19" i="253" s="1"/>
  <c r="D20" i="253"/>
  <c r="N20" i="253" s="1"/>
  <c r="D21" i="253"/>
  <c r="N21" i="253" s="1"/>
  <c r="P21" i="253" s="1"/>
  <c r="D22" i="253"/>
  <c r="N22" i="253" s="1"/>
  <c r="P22" i="253" s="1"/>
  <c r="D23" i="253"/>
  <c r="N23" i="253" s="1"/>
  <c r="P23" i="253" s="1"/>
  <c r="D24" i="253"/>
  <c r="N24" i="253" s="1"/>
  <c r="P24" i="253" s="1"/>
  <c r="D5" i="253"/>
  <c r="E5" i="253" s="1"/>
  <c r="N30" i="253"/>
  <c r="N11" i="253"/>
  <c r="P11" i="253" s="1"/>
  <c r="D8" i="253" l="1"/>
  <c r="N8" i="254"/>
  <c r="P8" i="254" s="1"/>
  <c r="N9" i="254"/>
  <c r="P9" i="254" s="1"/>
  <c r="D9" i="253"/>
  <c r="N9" i="253" s="1"/>
  <c r="P9" i="253" s="1"/>
  <c r="D13" i="253"/>
  <c r="N13" i="253" s="1"/>
  <c r="P13" i="253" s="1"/>
  <c r="D10" i="253"/>
  <c r="D12" i="253"/>
  <c r="N12" i="254"/>
  <c r="P12" i="254" s="1"/>
  <c r="O10" i="251"/>
  <c r="E12" i="251"/>
  <c r="O12" i="251" s="1"/>
  <c r="E8" i="251"/>
  <c r="O8" i="251" s="1"/>
  <c r="N27" i="252"/>
  <c r="P27" i="252" s="1"/>
  <c r="N29" i="252"/>
  <c r="P29" i="252" s="1"/>
  <c r="D26" i="252"/>
  <c r="N26" i="252" s="1"/>
  <c r="P26" i="252" s="1"/>
  <c r="D9" i="252"/>
  <c r="D11" i="252"/>
  <c r="N11" i="252" s="1"/>
  <c r="P11" i="252" s="1"/>
  <c r="D14" i="252"/>
  <c r="N14" i="252" s="1"/>
  <c r="P14" i="252" s="1"/>
  <c r="D15" i="252"/>
  <c r="N15" i="252" s="1"/>
  <c r="P15" i="252" s="1"/>
  <c r="D16" i="252"/>
  <c r="N16" i="252" s="1"/>
  <c r="P16" i="252" s="1"/>
  <c r="D17" i="252"/>
  <c r="N17" i="252" s="1"/>
  <c r="P17" i="252" s="1"/>
  <c r="D18" i="252"/>
  <c r="N18" i="252" s="1"/>
  <c r="P18" i="252" s="1"/>
  <c r="D19" i="252"/>
  <c r="N19" i="252" s="1"/>
  <c r="P19" i="252" s="1"/>
  <c r="D20" i="252"/>
  <c r="N20" i="252" s="1"/>
  <c r="D21" i="252"/>
  <c r="N21" i="252" s="1"/>
  <c r="P21" i="252" s="1"/>
  <c r="D22" i="252"/>
  <c r="D23" i="252"/>
  <c r="N23" i="252" s="1"/>
  <c r="P23" i="252" s="1"/>
  <c r="D24" i="252"/>
  <c r="N24" i="252" s="1"/>
  <c r="P24" i="252" s="1"/>
  <c r="D5" i="252"/>
  <c r="E5" i="252" s="1"/>
  <c r="N30" i="252"/>
  <c r="N28" i="252"/>
  <c r="P28" i="252" s="1"/>
  <c r="N22" i="252"/>
  <c r="P22" i="252" s="1"/>
  <c r="D13" i="252" l="1"/>
  <c r="D12" i="252"/>
  <c r="N12" i="253"/>
  <c r="P12" i="253" s="1"/>
  <c r="D8" i="252"/>
  <c r="N8" i="253"/>
  <c r="P8" i="253" s="1"/>
  <c r="D10" i="252"/>
  <c r="N10" i="253"/>
  <c r="P10" i="253" s="1"/>
  <c r="D5" i="251"/>
  <c r="E5" i="251" s="1"/>
  <c r="D11" i="251"/>
  <c r="N11" i="251" s="1"/>
  <c r="P11" i="251" s="1"/>
  <c r="D14" i="251"/>
  <c r="N14" i="251" s="1"/>
  <c r="P14" i="251" s="1"/>
  <c r="D15" i="251"/>
  <c r="N15" i="251" s="1"/>
  <c r="P15" i="251" s="1"/>
  <c r="D16" i="251"/>
  <c r="N16" i="251" s="1"/>
  <c r="P16" i="251" s="1"/>
  <c r="D17" i="251"/>
  <c r="N17" i="251" s="1"/>
  <c r="P17" i="251" s="1"/>
  <c r="D18" i="251"/>
  <c r="N18" i="251" s="1"/>
  <c r="P18" i="251" s="1"/>
  <c r="D19" i="251"/>
  <c r="N19" i="251" s="1"/>
  <c r="P19" i="251" s="1"/>
  <c r="D20" i="251"/>
  <c r="N20" i="251" s="1"/>
  <c r="D21" i="251"/>
  <c r="N21" i="251" s="1"/>
  <c r="P21" i="251" s="1"/>
  <c r="D22" i="251"/>
  <c r="N22" i="251" s="1"/>
  <c r="P22" i="251" s="1"/>
  <c r="D23" i="251"/>
  <c r="D24" i="251"/>
  <c r="N24" i="251" s="1"/>
  <c r="P24" i="251" s="1"/>
  <c r="D27" i="251"/>
  <c r="N27" i="251" s="1"/>
  <c r="P27" i="251" s="1"/>
  <c r="D28" i="251"/>
  <c r="D29" i="251"/>
  <c r="N29" i="251" s="1"/>
  <c r="P29" i="251" s="1"/>
  <c r="D26" i="251"/>
  <c r="N26" i="251" s="1"/>
  <c r="P26" i="251" s="1"/>
  <c r="N30" i="251"/>
  <c r="N28" i="251"/>
  <c r="P28" i="251" s="1"/>
  <c r="N23" i="251"/>
  <c r="P23" i="251" s="1"/>
  <c r="F26" i="250"/>
  <c r="F8" i="250"/>
  <c r="E23" i="246"/>
  <c r="O13" i="250"/>
  <c r="O12" i="250"/>
  <c r="O10" i="250"/>
  <c r="O9" i="250"/>
  <c r="N9" i="252" s="1"/>
  <c r="P9" i="252" s="1"/>
  <c r="E8" i="250"/>
  <c r="O8" i="250" s="1"/>
  <c r="D5" i="250"/>
  <c r="D11" i="250"/>
  <c r="N11" i="250" s="1"/>
  <c r="P11" i="250" s="1"/>
  <c r="D14" i="250"/>
  <c r="N14" i="250" s="1"/>
  <c r="P14" i="250" s="1"/>
  <c r="D15" i="250"/>
  <c r="N15" i="250" s="1"/>
  <c r="P15" i="250" s="1"/>
  <c r="D16" i="250"/>
  <c r="N16" i="250" s="1"/>
  <c r="P16" i="250" s="1"/>
  <c r="D17" i="250"/>
  <c r="N17" i="250" s="1"/>
  <c r="P17" i="250" s="1"/>
  <c r="D18" i="250"/>
  <c r="N18" i="250" s="1"/>
  <c r="P18" i="250" s="1"/>
  <c r="D19" i="250"/>
  <c r="N19" i="250" s="1"/>
  <c r="P19" i="250" s="1"/>
  <c r="D20" i="250"/>
  <c r="N20" i="250" s="1"/>
  <c r="D21" i="250"/>
  <c r="N21" i="250" s="1"/>
  <c r="P21" i="250" s="1"/>
  <c r="D22" i="250"/>
  <c r="N22" i="250" s="1"/>
  <c r="P22" i="250" s="1"/>
  <c r="D23" i="250"/>
  <c r="D24" i="250"/>
  <c r="N24" i="250" s="1"/>
  <c r="P24" i="250" s="1"/>
  <c r="D27" i="250"/>
  <c r="N27" i="250" s="1"/>
  <c r="P27" i="250" s="1"/>
  <c r="D28" i="250"/>
  <c r="D29" i="250"/>
  <c r="N29" i="250" s="1"/>
  <c r="P29" i="250" s="1"/>
  <c r="D26" i="250"/>
  <c r="N26" i="250" s="1"/>
  <c r="P26" i="250" s="1"/>
  <c r="N30" i="250"/>
  <c r="N28" i="250"/>
  <c r="P28" i="250" s="1"/>
  <c r="N23" i="250"/>
  <c r="P23" i="250" s="1"/>
  <c r="E5" i="250"/>
  <c r="O8" i="249"/>
  <c r="O13" i="249"/>
  <c r="O12" i="249"/>
  <c r="O10" i="249"/>
  <c r="E9" i="249"/>
  <c r="D27" i="249"/>
  <c r="N27" i="249" s="1"/>
  <c r="P27" i="249" s="1"/>
  <c r="D28" i="249"/>
  <c r="N28" i="249" s="1"/>
  <c r="P28" i="249" s="1"/>
  <c r="D29" i="249"/>
  <c r="N29" i="249" s="1"/>
  <c r="P29" i="249" s="1"/>
  <c r="D26" i="249"/>
  <c r="N26" i="249" s="1"/>
  <c r="P26" i="249" s="1"/>
  <c r="D9" i="249"/>
  <c r="D10" i="249"/>
  <c r="D11" i="249"/>
  <c r="N11" i="249" s="1"/>
  <c r="P11" i="249" s="1"/>
  <c r="D14" i="249"/>
  <c r="N14" i="249" s="1"/>
  <c r="P14" i="249" s="1"/>
  <c r="D15" i="249"/>
  <c r="N15" i="249" s="1"/>
  <c r="P15" i="249" s="1"/>
  <c r="D16" i="249"/>
  <c r="N16" i="249" s="1"/>
  <c r="P16" i="249" s="1"/>
  <c r="D17" i="249"/>
  <c r="N17" i="249" s="1"/>
  <c r="P17" i="249" s="1"/>
  <c r="D18" i="249"/>
  <c r="N18" i="249" s="1"/>
  <c r="P18" i="249" s="1"/>
  <c r="D19" i="249"/>
  <c r="N19" i="249" s="1"/>
  <c r="P19" i="249" s="1"/>
  <c r="D20" i="249"/>
  <c r="N20" i="249" s="1"/>
  <c r="D21" i="249"/>
  <c r="N21" i="249" s="1"/>
  <c r="P21" i="249" s="1"/>
  <c r="D22" i="249"/>
  <c r="N22" i="249" s="1"/>
  <c r="P22" i="249" s="1"/>
  <c r="D23" i="249"/>
  <c r="N23" i="249" s="1"/>
  <c r="P23" i="249" s="1"/>
  <c r="D24" i="249"/>
  <c r="N24" i="249" s="1"/>
  <c r="P24" i="249" s="1"/>
  <c r="D5" i="249"/>
  <c r="E5" i="249" s="1"/>
  <c r="N30" i="249"/>
  <c r="F26" i="248"/>
  <c r="O13" i="248"/>
  <c r="D13" i="249" s="1"/>
  <c r="O12" i="248"/>
  <c r="F8" i="248"/>
  <c r="D9" i="248"/>
  <c r="D11" i="248"/>
  <c r="N11" i="248" s="1"/>
  <c r="P11" i="248" s="1"/>
  <c r="D14" i="248"/>
  <c r="N14" i="248" s="1"/>
  <c r="P14" i="248" s="1"/>
  <c r="D15" i="248"/>
  <c r="N15" i="248" s="1"/>
  <c r="P15" i="248" s="1"/>
  <c r="D16" i="248"/>
  <c r="N16" i="248" s="1"/>
  <c r="P16" i="248" s="1"/>
  <c r="D17" i="248"/>
  <c r="N17" i="248" s="1"/>
  <c r="P17" i="248" s="1"/>
  <c r="D18" i="248"/>
  <c r="N18" i="248" s="1"/>
  <c r="P18" i="248" s="1"/>
  <c r="D19" i="248"/>
  <c r="N19" i="248" s="1"/>
  <c r="P19" i="248" s="1"/>
  <c r="D20" i="248"/>
  <c r="N20" i="248" s="1"/>
  <c r="D21" i="248"/>
  <c r="N21" i="248" s="1"/>
  <c r="P21" i="248" s="1"/>
  <c r="D22" i="248"/>
  <c r="N22" i="248" s="1"/>
  <c r="P22" i="248" s="1"/>
  <c r="D23" i="248"/>
  <c r="N23" i="248" s="1"/>
  <c r="P23" i="248" s="1"/>
  <c r="D24" i="248"/>
  <c r="N24" i="248" s="1"/>
  <c r="P24" i="248" s="1"/>
  <c r="E26" i="248"/>
  <c r="E8" i="248"/>
  <c r="O8" i="248" s="1"/>
  <c r="D27" i="248"/>
  <c r="N27" i="248" s="1"/>
  <c r="P27" i="248" s="1"/>
  <c r="D28" i="248"/>
  <c r="N28" i="248" s="1"/>
  <c r="P28" i="248" s="1"/>
  <c r="D29" i="248"/>
  <c r="N29" i="248" s="1"/>
  <c r="P29" i="248" s="1"/>
  <c r="D26" i="248"/>
  <c r="D5" i="248"/>
  <c r="E5" i="248" s="1"/>
  <c r="N30" i="248"/>
  <c r="O13" i="247"/>
  <c r="O12" i="247"/>
  <c r="O10" i="247"/>
  <c r="O8" i="247"/>
  <c r="D8" i="248" s="1"/>
  <c r="N10" i="252" l="1"/>
  <c r="P10" i="252" s="1"/>
  <c r="N13" i="252"/>
  <c r="P13" i="252" s="1"/>
  <c r="N12" i="252"/>
  <c r="P12" i="252" s="1"/>
  <c r="N8" i="252"/>
  <c r="P8" i="252" s="1"/>
  <c r="D8" i="251"/>
  <c r="N8" i="251" s="1"/>
  <c r="P8" i="251" s="1"/>
  <c r="D12" i="250"/>
  <c r="N12" i="250" s="1"/>
  <c r="P12" i="250" s="1"/>
  <c r="D13" i="251"/>
  <c r="D9" i="251"/>
  <c r="D12" i="251"/>
  <c r="N12" i="251" s="1"/>
  <c r="P12" i="251" s="1"/>
  <c r="D10" i="251"/>
  <c r="N10" i="251" s="1"/>
  <c r="P10" i="251" s="1"/>
  <c r="N13" i="251"/>
  <c r="P13" i="251" s="1"/>
  <c r="N26" i="248"/>
  <c r="P26" i="248" s="1"/>
  <c r="N9" i="249"/>
  <c r="D8" i="250"/>
  <c r="N8" i="250" s="1"/>
  <c r="P8" i="250" s="1"/>
  <c r="D13" i="250"/>
  <c r="N13" i="250" s="1"/>
  <c r="P13" i="250" s="1"/>
  <c r="D10" i="250"/>
  <c r="N10" i="250" s="1"/>
  <c r="P10" i="250" s="1"/>
  <c r="N10" i="249"/>
  <c r="P10" i="249" s="1"/>
  <c r="N13" i="249"/>
  <c r="D8" i="249"/>
  <c r="N8" i="249" s="1"/>
  <c r="P8" i="249" s="1"/>
  <c r="O9" i="249"/>
  <c r="D12" i="249"/>
  <c r="N12" i="249" s="1"/>
  <c r="P12" i="249" s="1"/>
  <c r="P13" i="249"/>
  <c r="D13" i="248"/>
  <c r="D12" i="248"/>
  <c r="D10" i="248"/>
  <c r="O10" i="245"/>
  <c r="O13" i="246"/>
  <c r="O8" i="245"/>
  <c r="O12" i="246"/>
  <c r="O9" i="246"/>
  <c r="N9" i="248" s="1"/>
  <c r="P9" i="248" s="1"/>
  <c r="O9" i="245"/>
  <c r="E9" i="245"/>
  <c r="O10" i="246"/>
  <c r="E8" i="246"/>
  <c r="O8" i="246" s="1"/>
  <c r="D9" i="246"/>
  <c r="D10" i="246"/>
  <c r="D11" i="246"/>
  <c r="D14" i="246"/>
  <c r="D15" i="246"/>
  <c r="D16" i="246"/>
  <c r="D17" i="246"/>
  <c r="D18" i="246"/>
  <c r="D19" i="246"/>
  <c r="D20" i="246"/>
  <c r="D21" i="246"/>
  <c r="D22" i="246"/>
  <c r="D23" i="246"/>
  <c r="D24" i="246"/>
  <c r="D27" i="247"/>
  <c r="N27" i="247" s="1"/>
  <c r="P27" i="247" s="1"/>
  <c r="D28" i="247"/>
  <c r="N28" i="247" s="1"/>
  <c r="P28" i="247" s="1"/>
  <c r="D29" i="247"/>
  <c r="N29" i="247" s="1"/>
  <c r="P29" i="247" s="1"/>
  <c r="D26" i="247"/>
  <c r="N26" i="247" s="1"/>
  <c r="P26" i="247" s="1"/>
  <c r="D11" i="247"/>
  <c r="N11" i="247" s="1"/>
  <c r="P11" i="247" s="1"/>
  <c r="D14" i="247"/>
  <c r="N14" i="247" s="1"/>
  <c r="P14" i="247" s="1"/>
  <c r="D15" i="247"/>
  <c r="N15" i="247" s="1"/>
  <c r="P15" i="247" s="1"/>
  <c r="D16" i="247"/>
  <c r="N16" i="247" s="1"/>
  <c r="P16" i="247" s="1"/>
  <c r="D17" i="247"/>
  <c r="N17" i="247" s="1"/>
  <c r="P17" i="247" s="1"/>
  <c r="D18" i="247"/>
  <c r="N18" i="247" s="1"/>
  <c r="P18" i="247" s="1"/>
  <c r="D19" i="247"/>
  <c r="N19" i="247" s="1"/>
  <c r="P19" i="247" s="1"/>
  <c r="D20" i="247"/>
  <c r="N20" i="247" s="1"/>
  <c r="D21" i="247"/>
  <c r="D22" i="247"/>
  <c r="N22" i="247" s="1"/>
  <c r="P22" i="247" s="1"/>
  <c r="D23" i="247"/>
  <c r="N23" i="247" s="1"/>
  <c r="P23" i="247" s="1"/>
  <c r="D24" i="247"/>
  <c r="N24" i="247" s="1"/>
  <c r="P24" i="247" s="1"/>
  <c r="D5" i="247"/>
  <c r="E5" i="247" s="1"/>
  <c r="N30" i="247"/>
  <c r="N21" i="247"/>
  <c r="P21" i="247" s="1"/>
  <c r="N12" i="248" l="1"/>
  <c r="P12" i="248" s="1"/>
  <c r="D9" i="247"/>
  <c r="N10" i="248"/>
  <c r="N9" i="251"/>
  <c r="P9" i="251" s="1"/>
  <c r="D9" i="250"/>
  <c r="N9" i="250" s="1"/>
  <c r="P9" i="250" s="1"/>
  <c r="P9" i="249"/>
  <c r="N8" i="248"/>
  <c r="P8" i="248" s="1"/>
  <c r="D8" i="247"/>
  <c r="D13" i="247"/>
  <c r="N13" i="248"/>
  <c r="P13" i="248" s="1"/>
  <c r="D12" i="247"/>
  <c r="D10" i="247"/>
  <c r="D5" i="246"/>
  <c r="E5" i="246" s="1"/>
  <c r="D27" i="246"/>
  <c r="N27" i="246" s="1"/>
  <c r="P27" i="246" s="1"/>
  <c r="D28" i="246"/>
  <c r="D29" i="246"/>
  <c r="N29" i="246" s="1"/>
  <c r="P29" i="246" s="1"/>
  <c r="D26" i="246"/>
  <c r="N26" i="246" s="1"/>
  <c r="P26" i="246" s="1"/>
  <c r="N30" i="246"/>
  <c r="N28" i="246"/>
  <c r="P28" i="246" s="1"/>
  <c r="N24" i="246"/>
  <c r="P24" i="246" s="1"/>
  <c r="N23" i="246"/>
  <c r="P23" i="246" s="1"/>
  <c r="N22" i="246"/>
  <c r="P22" i="246" s="1"/>
  <c r="N21" i="246"/>
  <c r="P21" i="246" s="1"/>
  <c r="N20" i="246"/>
  <c r="N19" i="246"/>
  <c r="P19" i="246" s="1"/>
  <c r="N18" i="246"/>
  <c r="P18" i="246" s="1"/>
  <c r="N17" i="246"/>
  <c r="P17" i="246" s="1"/>
  <c r="N16" i="246"/>
  <c r="P16" i="246" s="1"/>
  <c r="N15" i="246"/>
  <c r="P15" i="246" s="1"/>
  <c r="N14" i="246"/>
  <c r="P14" i="246" s="1"/>
  <c r="N11" i="246"/>
  <c r="P11" i="246" s="1"/>
  <c r="O13" i="245"/>
  <c r="D13" i="246" s="1"/>
  <c r="O12" i="245"/>
  <c r="D12" i="246" s="1"/>
  <c r="D8" i="246"/>
  <c r="D27" i="245"/>
  <c r="D28" i="245"/>
  <c r="N28" i="245" s="1"/>
  <c r="P28" i="245" s="1"/>
  <c r="D29" i="245"/>
  <c r="N29" i="245" s="1"/>
  <c r="P29" i="245" s="1"/>
  <c r="D26" i="245"/>
  <c r="N26" i="245" s="1"/>
  <c r="P26" i="245" s="1"/>
  <c r="D11" i="245"/>
  <c r="N11" i="245" s="1"/>
  <c r="P11" i="245" s="1"/>
  <c r="D14" i="245"/>
  <c r="N14" i="245" s="1"/>
  <c r="P14" i="245" s="1"/>
  <c r="D15" i="245"/>
  <c r="N15" i="245" s="1"/>
  <c r="P15" i="245" s="1"/>
  <c r="D16" i="245"/>
  <c r="N16" i="245" s="1"/>
  <c r="P16" i="245" s="1"/>
  <c r="D17" i="245"/>
  <c r="N17" i="245" s="1"/>
  <c r="P17" i="245" s="1"/>
  <c r="D18" i="245"/>
  <c r="N18" i="245" s="1"/>
  <c r="P18" i="245" s="1"/>
  <c r="D19" i="245"/>
  <c r="N19" i="245" s="1"/>
  <c r="P19" i="245" s="1"/>
  <c r="D20" i="245"/>
  <c r="N20" i="245" s="1"/>
  <c r="D21" i="245"/>
  <c r="N21" i="245" s="1"/>
  <c r="P21" i="245" s="1"/>
  <c r="D22" i="245"/>
  <c r="N22" i="245" s="1"/>
  <c r="P22" i="245" s="1"/>
  <c r="D23" i="245"/>
  <c r="N23" i="245" s="1"/>
  <c r="P23" i="245" s="1"/>
  <c r="D24" i="245"/>
  <c r="N24" i="245" s="1"/>
  <c r="P24" i="245" s="1"/>
  <c r="D5" i="245"/>
  <c r="E5" i="245" s="1"/>
  <c r="N30" i="245"/>
  <c r="N27" i="245"/>
  <c r="P27" i="245" s="1"/>
  <c r="O13" i="244"/>
  <c r="O12" i="244"/>
  <c r="O10" i="244"/>
  <c r="O9" i="244"/>
  <c r="E29" i="244"/>
  <c r="E28" i="244"/>
  <c r="E8" i="244"/>
  <c r="O8" i="244" s="1"/>
  <c r="D9" i="245" l="1"/>
  <c r="N9" i="247"/>
  <c r="P9" i="247" s="1"/>
  <c r="D12" i="245"/>
  <c r="N12" i="247"/>
  <c r="P12" i="247" s="1"/>
  <c r="N8" i="246"/>
  <c r="P8" i="246" s="1"/>
  <c r="N8" i="247"/>
  <c r="P8" i="247" s="1"/>
  <c r="D10" i="245"/>
  <c r="N10" i="247"/>
  <c r="P10" i="247" s="1"/>
  <c r="N13" i="246"/>
  <c r="P13" i="246" s="1"/>
  <c r="N13" i="247"/>
  <c r="P13" i="247" s="1"/>
  <c r="D8" i="245"/>
  <c r="D13" i="245"/>
  <c r="N10" i="246"/>
  <c r="P10" i="246" s="1"/>
  <c r="N9" i="246"/>
  <c r="P9" i="246" s="1"/>
  <c r="N12" i="246"/>
  <c r="P12" i="246" s="1"/>
  <c r="O8" i="242"/>
  <c r="O13" i="243" l="1"/>
  <c r="N13" i="245" s="1"/>
  <c r="P13" i="245" s="1"/>
  <c r="O12" i="243"/>
  <c r="O10" i="243"/>
  <c r="O8" i="243"/>
  <c r="N8" i="245" s="1"/>
  <c r="P8" i="245" s="1"/>
  <c r="E8" i="243"/>
  <c r="O9" i="243"/>
  <c r="D8" i="243"/>
  <c r="O12" i="242"/>
  <c r="D12" i="243" s="1"/>
  <c r="N12" i="243" s="1"/>
  <c r="O10" i="242"/>
  <c r="D10" i="243" s="1"/>
  <c r="N10" i="243" s="1"/>
  <c r="E13" i="242"/>
  <c r="O13" i="242" s="1"/>
  <c r="D13" i="243" s="1"/>
  <c r="N13" i="243" s="1"/>
  <c r="E9" i="242"/>
  <c r="D9" i="243" s="1"/>
  <c r="N9" i="243" s="1"/>
  <c r="O13" i="241"/>
  <c r="D13" i="242" s="1"/>
  <c r="O12" i="241"/>
  <c r="D12" i="242" s="1"/>
  <c r="N12" i="242" s="1"/>
  <c r="O10" i="241"/>
  <c r="D10" i="242" s="1"/>
  <c r="N10" i="242" s="1"/>
  <c r="E8" i="241"/>
  <c r="O8" i="241" s="1"/>
  <c r="D8" i="242" s="1"/>
  <c r="N8" i="242" s="1"/>
  <c r="D27" i="244"/>
  <c r="N27" i="244" s="1"/>
  <c r="P27" i="244" s="1"/>
  <c r="D28" i="244"/>
  <c r="N28" i="244" s="1"/>
  <c r="P28" i="244" s="1"/>
  <c r="D29" i="244"/>
  <c r="N29" i="244" s="1"/>
  <c r="P29" i="244" s="1"/>
  <c r="D26" i="244"/>
  <c r="N26" i="244" s="1"/>
  <c r="P26" i="244" s="1"/>
  <c r="D11" i="244"/>
  <c r="N11" i="244" s="1"/>
  <c r="P11" i="244" s="1"/>
  <c r="D13" i="244"/>
  <c r="N13" i="244" s="1"/>
  <c r="P13" i="244" s="1"/>
  <c r="D14" i="244"/>
  <c r="N14" i="244" s="1"/>
  <c r="P14" i="244" s="1"/>
  <c r="D15" i="244"/>
  <c r="D16" i="244"/>
  <c r="N16" i="244" s="1"/>
  <c r="P16" i="244" s="1"/>
  <c r="D17" i="244"/>
  <c r="N17" i="244" s="1"/>
  <c r="P17" i="244" s="1"/>
  <c r="D18" i="244"/>
  <c r="N18" i="244" s="1"/>
  <c r="P18" i="244" s="1"/>
  <c r="D19" i="244"/>
  <c r="N19" i="244" s="1"/>
  <c r="P19" i="244" s="1"/>
  <c r="D20" i="244"/>
  <c r="N20" i="244" s="1"/>
  <c r="D21" i="244"/>
  <c r="N21" i="244" s="1"/>
  <c r="P21" i="244" s="1"/>
  <c r="D22" i="244"/>
  <c r="N22" i="244" s="1"/>
  <c r="P22" i="244" s="1"/>
  <c r="D23" i="244"/>
  <c r="N23" i="244" s="1"/>
  <c r="P23" i="244" s="1"/>
  <c r="D24" i="244"/>
  <c r="N24" i="244" s="1"/>
  <c r="P24" i="244" s="1"/>
  <c r="D5" i="244"/>
  <c r="E5" i="244" s="1"/>
  <c r="N30" i="244"/>
  <c r="N15" i="244"/>
  <c r="P15" i="244" s="1"/>
  <c r="D27" i="242"/>
  <c r="N27" i="242" s="1"/>
  <c r="P27" i="242" s="1"/>
  <c r="D28" i="242"/>
  <c r="N28" i="242" s="1"/>
  <c r="P28" i="242" s="1"/>
  <c r="D29" i="242"/>
  <c r="N29" i="242" s="1"/>
  <c r="P29" i="242" s="1"/>
  <c r="D26" i="242"/>
  <c r="N26" i="242" s="1"/>
  <c r="P26" i="242" s="1"/>
  <c r="D9" i="242"/>
  <c r="D11" i="242"/>
  <c r="N11" i="242" s="1"/>
  <c r="P11" i="242" s="1"/>
  <c r="D14" i="242"/>
  <c r="N14" i="242" s="1"/>
  <c r="P14" i="242" s="1"/>
  <c r="D15" i="242"/>
  <c r="N15" i="242" s="1"/>
  <c r="P15" i="242" s="1"/>
  <c r="D16" i="242"/>
  <c r="N16" i="242" s="1"/>
  <c r="P16" i="242" s="1"/>
  <c r="D17" i="242"/>
  <c r="N17" i="242" s="1"/>
  <c r="P17" i="242" s="1"/>
  <c r="D18" i="242"/>
  <c r="N18" i="242" s="1"/>
  <c r="P18" i="242" s="1"/>
  <c r="D19" i="242"/>
  <c r="N19" i="242" s="1"/>
  <c r="P19" i="242" s="1"/>
  <c r="D20" i="242"/>
  <c r="D21" i="242"/>
  <c r="N21" i="242" s="1"/>
  <c r="P21" i="242" s="1"/>
  <c r="D22" i="242"/>
  <c r="N22" i="242" s="1"/>
  <c r="P22" i="242" s="1"/>
  <c r="D23" i="242"/>
  <c r="N23" i="242" s="1"/>
  <c r="P23" i="242" s="1"/>
  <c r="D24" i="242"/>
  <c r="N24" i="242" s="1"/>
  <c r="P24" i="242" s="1"/>
  <c r="D5" i="242"/>
  <c r="E5" i="242" s="1"/>
  <c r="D27" i="243"/>
  <c r="N27" i="243" s="1"/>
  <c r="P27" i="243" s="1"/>
  <c r="D28" i="243"/>
  <c r="N28" i="243" s="1"/>
  <c r="P28" i="243" s="1"/>
  <c r="D29" i="243"/>
  <c r="N29" i="243" s="1"/>
  <c r="P29" i="243" s="1"/>
  <c r="D26" i="243"/>
  <c r="N26" i="243" s="1"/>
  <c r="P26" i="243" s="1"/>
  <c r="D11" i="243"/>
  <c r="N11" i="243" s="1"/>
  <c r="P11" i="243" s="1"/>
  <c r="D14" i="243"/>
  <c r="N14" i="243" s="1"/>
  <c r="P14" i="243" s="1"/>
  <c r="D15" i="243"/>
  <c r="N15" i="243" s="1"/>
  <c r="P15" i="243" s="1"/>
  <c r="D16" i="243"/>
  <c r="N16" i="243" s="1"/>
  <c r="P16" i="243" s="1"/>
  <c r="D17" i="243"/>
  <c r="N17" i="243" s="1"/>
  <c r="P17" i="243" s="1"/>
  <c r="D18" i="243"/>
  <c r="N18" i="243" s="1"/>
  <c r="P18" i="243" s="1"/>
  <c r="D19" i="243"/>
  <c r="N19" i="243" s="1"/>
  <c r="P19" i="243" s="1"/>
  <c r="D20" i="243"/>
  <c r="N20" i="243" s="1"/>
  <c r="D21" i="243"/>
  <c r="N21" i="243" s="1"/>
  <c r="P21" i="243" s="1"/>
  <c r="D22" i="243"/>
  <c r="N22" i="243" s="1"/>
  <c r="P22" i="243" s="1"/>
  <c r="D23" i="243"/>
  <c r="N23" i="243" s="1"/>
  <c r="P23" i="243" s="1"/>
  <c r="D24" i="243"/>
  <c r="N24" i="243" s="1"/>
  <c r="P24" i="243" s="1"/>
  <c r="D5" i="243"/>
  <c r="E5" i="243" s="1"/>
  <c r="N30" i="243"/>
  <c r="P30" i="243" s="1"/>
  <c r="N30" i="242"/>
  <c r="N20" i="242"/>
  <c r="N13" i="242" l="1"/>
  <c r="P12" i="243"/>
  <c r="N8" i="243"/>
  <c r="N9" i="242"/>
  <c r="P9" i="242" s="1"/>
  <c r="P10" i="242"/>
  <c r="D8" i="244"/>
  <c r="N8" i="244" s="1"/>
  <c r="P8" i="244" s="1"/>
  <c r="P9" i="243"/>
  <c r="P13" i="243"/>
  <c r="D9" i="244"/>
  <c r="N9" i="244" s="1"/>
  <c r="P9" i="244" s="1"/>
  <c r="N9" i="245"/>
  <c r="P9" i="245" s="1"/>
  <c r="D12" i="244"/>
  <c r="N12" i="244" s="1"/>
  <c r="P12" i="244" s="1"/>
  <c r="N12" i="245"/>
  <c r="P12" i="245" s="1"/>
  <c r="D10" i="244"/>
  <c r="N10" i="244" s="1"/>
  <c r="P10" i="244" s="1"/>
  <c r="N10" i="245"/>
  <c r="P10" i="245" s="1"/>
  <c r="P10" i="243"/>
  <c r="P8" i="243"/>
  <c r="P13" i="242"/>
  <c r="P12" i="242"/>
  <c r="P8" i="242"/>
  <c r="D9" i="241"/>
  <c r="N9" i="241" s="1"/>
  <c r="P9" i="241" s="1"/>
  <c r="D11" i="241"/>
  <c r="N11" i="241" s="1"/>
  <c r="P11" i="241" s="1"/>
  <c r="D14" i="241"/>
  <c r="N14" i="241" s="1"/>
  <c r="P14" i="241" s="1"/>
  <c r="D15" i="241"/>
  <c r="N15" i="241" s="1"/>
  <c r="P15" i="241" s="1"/>
  <c r="D16" i="241"/>
  <c r="N16" i="241" s="1"/>
  <c r="P16" i="241" s="1"/>
  <c r="D17" i="241"/>
  <c r="N17" i="241" s="1"/>
  <c r="P17" i="241" s="1"/>
  <c r="D18" i="241"/>
  <c r="N18" i="241" s="1"/>
  <c r="P18" i="241" s="1"/>
  <c r="D19" i="241"/>
  <c r="N19" i="241" s="1"/>
  <c r="P19" i="241" s="1"/>
  <c r="D20" i="241"/>
  <c r="N20" i="241" s="1"/>
  <c r="D21" i="241"/>
  <c r="N21" i="241" s="1"/>
  <c r="P21" i="241" s="1"/>
  <c r="D22" i="241"/>
  <c r="N22" i="241" s="1"/>
  <c r="P22" i="241" s="1"/>
  <c r="D23" i="241"/>
  <c r="N23" i="241" s="1"/>
  <c r="P23" i="241" s="1"/>
  <c r="D24" i="241"/>
  <c r="N24" i="241" s="1"/>
  <c r="P24" i="241" s="1"/>
  <c r="D5" i="241"/>
  <c r="E5" i="241" s="1"/>
  <c r="D27" i="241"/>
  <c r="N27" i="241" s="1"/>
  <c r="P27" i="241" s="1"/>
  <c r="D28" i="241"/>
  <c r="N28" i="241" s="1"/>
  <c r="P28" i="241" s="1"/>
  <c r="D29" i="241"/>
  <c r="N29" i="241" s="1"/>
  <c r="P29" i="241" s="1"/>
  <c r="D26" i="241"/>
  <c r="N26" i="241" s="1"/>
  <c r="P26" i="241" s="1"/>
  <c r="D27" i="240"/>
  <c r="D28" i="240"/>
  <c r="D29" i="240"/>
  <c r="D26" i="240"/>
  <c r="O13" i="239"/>
  <c r="O13" i="240"/>
  <c r="D13" i="241" s="1"/>
  <c r="N13" i="241" s="1"/>
  <c r="P13" i="241" s="1"/>
  <c r="O12" i="240"/>
  <c r="D12" i="241" s="1"/>
  <c r="O10" i="240"/>
  <c r="D10" i="241" s="1"/>
  <c r="N10" i="241" s="1"/>
  <c r="P10" i="241" s="1"/>
  <c r="O8" i="239"/>
  <c r="O8" i="238"/>
  <c r="E8" i="240"/>
  <c r="O8" i="240" s="1"/>
  <c r="D8" i="241" s="1"/>
  <c r="N8" i="241" s="1"/>
  <c r="P8" i="241" s="1"/>
  <c r="N30" i="241"/>
  <c r="O10" i="239" l="1"/>
  <c r="D10" i="240" s="1"/>
  <c r="N10" i="240" s="1"/>
  <c r="P10" i="240" s="1"/>
  <c r="D9" i="240"/>
  <c r="N9" i="240" s="1"/>
  <c r="P9" i="240" s="1"/>
  <c r="D11" i="240"/>
  <c r="N11" i="240" s="1"/>
  <c r="P11" i="240" s="1"/>
  <c r="D13" i="240"/>
  <c r="N13" i="240" s="1"/>
  <c r="P13" i="240" s="1"/>
  <c r="D14" i="240"/>
  <c r="N14" i="240" s="1"/>
  <c r="P14" i="240" s="1"/>
  <c r="D15" i="240"/>
  <c r="N15" i="240" s="1"/>
  <c r="P15" i="240" s="1"/>
  <c r="D16" i="240"/>
  <c r="N16" i="240" s="1"/>
  <c r="P16" i="240" s="1"/>
  <c r="D17" i="240"/>
  <c r="N17" i="240" s="1"/>
  <c r="P17" i="240" s="1"/>
  <c r="D18" i="240"/>
  <c r="N18" i="240" s="1"/>
  <c r="P18" i="240" s="1"/>
  <c r="D19" i="240"/>
  <c r="N19" i="240" s="1"/>
  <c r="P19" i="240" s="1"/>
  <c r="D20" i="240"/>
  <c r="N20" i="240" s="1"/>
  <c r="D21" i="240"/>
  <c r="D22" i="240"/>
  <c r="N22" i="240" s="1"/>
  <c r="P22" i="240" s="1"/>
  <c r="D23" i="240"/>
  <c r="N23" i="240" s="1"/>
  <c r="P23" i="240" s="1"/>
  <c r="D24" i="240"/>
  <c r="N24" i="240" s="1"/>
  <c r="P24" i="240" s="1"/>
  <c r="D8" i="240"/>
  <c r="N8" i="240" s="1"/>
  <c r="P8" i="240" s="1"/>
  <c r="D5" i="240"/>
  <c r="E5" i="240" s="1"/>
  <c r="D5" i="239"/>
  <c r="N30" i="240"/>
  <c r="N29" i="240"/>
  <c r="P29" i="240" s="1"/>
  <c r="N28" i="240"/>
  <c r="P28" i="240" s="1"/>
  <c r="N27" i="240"/>
  <c r="P27" i="240" s="1"/>
  <c r="N26" i="240"/>
  <c r="P26" i="240" s="1"/>
  <c r="N21" i="240"/>
  <c r="P21" i="240" s="1"/>
  <c r="D27" i="239" l="1"/>
  <c r="N27" i="239" s="1"/>
  <c r="P27" i="239" s="1"/>
  <c r="D28" i="239"/>
  <c r="N28" i="239" s="1"/>
  <c r="P28" i="239" s="1"/>
  <c r="D29" i="239"/>
  <c r="N29" i="239" s="1"/>
  <c r="P29" i="239" s="1"/>
  <c r="D26" i="239"/>
  <c r="N26" i="239" s="1"/>
  <c r="P26" i="239" s="1"/>
  <c r="D8" i="239"/>
  <c r="N8" i="239" s="1"/>
  <c r="P8" i="239" s="1"/>
  <c r="O13" i="238"/>
  <c r="D13" i="239" s="1"/>
  <c r="N13" i="239" s="1"/>
  <c r="P13" i="239" s="1"/>
  <c r="O10" i="238"/>
  <c r="D10" i="239" s="1"/>
  <c r="N10" i="239" s="1"/>
  <c r="P10" i="239" s="1"/>
  <c r="D11" i="239"/>
  <c r="N11" i="239" s="1"/>
  <c r="P11" i="239" s="1"/>
  <c r="D14" i="239"/>
  <c r="N14" i="239" s="1"/>
  <c r="P14" i="239" s="1"/>
  <c r="D15" i="239"/>
  <c r="N15" i="239" s="1"/>
  <c r="P15" i="239" s="1"/>
  <c r="D16" i="239"/>
  <c r="N16" i="239" s="1"/>
  <c r="P16" i="239" s="1"/>
  <c r="D17" i="239"/>
  <c r="N17" i="239" s="1"/>
  <c r="P17" i="239" s="1"/>
  <c r="D18" i="239"/>
  <c r="N18" i="239" s="1"/>
  <c r="P18" i="239" s="1"/>
  <c r="D19" i="239"/>
  <c r="N19" i="239" s="1"/>
  <c r="P19" i="239" s="1"/>
  <c r="D20" i="239"/>
  <c r="N20" i="239" s="1"/>
  <c r="D21" i="239"/>
  <c r="N21" i="239" s="1"/>
  <c r="P21" i="239" s="1"/>
  <c r="D22" i="239"/>
  <c r="N22" i="239" s="1"/>
  <c r="P22" i="239" s="1"/>
  <c r="D23" i="239"/>
  <c r="N23" i="239" s="1"/>
  <c r="P23" i="239" s="1"/>
  <c r="D24" i="239"/>
  <c r="N24" i="239" s="1"/>
  <c r="P24" i="239" s="1"/>
  <c r="E12" i="238"/>
  <c r="O12" i="238" s="1"/>
  <c r="D12" i="239" s="1"/>
  <c r="N12" i="239" s="1"/>
  <c r="E9" i="238"/>
  <c r="D9" i="239" s="1"/>
  <c r="N9" i="239" s="1"/>
  <c r="P9" i="239" s="1"/>
  <c r="N30" i="239"/>
  <c r="E5" i="239"/>
  <c r="O12" i="239" l="1"/>
  <c r="O10" i="234"/>
  <c r="O10" i="233"/>
  <c r="F10" i="233"/>
  <c r="N12" i="241" l="1"/>
  <c r="P12" i="241" s="1"/>
  <c r="D12" i="240"/>
  <c r="N12" i="240" s="1"/>
  <c r="P12" i="240" s="1"/>
  <c r="P12" i="239"/>
  <c r="O13" i="237"/>
  <c r="D13" i="238" s="1"/>
  <c r="N13" i="238" s="1"/>
  <c r="P13" i="238" s="1"/>
  <c r="O12" i="237"/>
  <c r="D12" i="238" s="1"/>
  <c r="N12" i="238" s="1"/>
  <c r="P12" i="238" s="1"/>
  <c r="O10" i="237"/>
  <c r="D10" i="238" s="1"/>
  <c r="N10" i="238" s="1"/>
  <c r="P10" i="238" s="1"/>
  <c r="D9" i="238"/>
  <c r="N9" i="238" s="1"/>
  <c r="P9" i="238" s="1"/>
  <c r="O8" i="234"/>
  <c r="E8" i="237"/>
  <c r="O8" i="237" s="1"/>
  <c r="D8" i="238" s="1"/>
  <c r="N8" i="238" s="1"/>
  <c r="P8" i="238" s="1"/>
  <c r="D27" i="238"/>
  <c r="N27" i="238" s="1"/>
  <c r="P27" i="238" s="1"/>
  <c r="D28" i="238"/>
  <c r="N28" i="238" s="1"/>
  <c r="P28" i="238" s="1"/>
  <c r="D29" i="238"/>
  <c r="N29" i="238" s="1"/>
  <c r="P29" i="238" s="1"/>
  <c r="D26" i="238"/>
  <c r="N26" i="238" s="1"/>
  <c r="P26" i="238" s="1"/>
  <c r="D5" i="238"/>
  <c r="E5" i="238" s="1"/>
  <c r="D11" i="238"/>
  <c r="N11" i="238" s="1"/>
  <c r="P11" i="238" s="1"/>
  <c r="D14" i="238"/>
  <c r="N14" i="238" s="1"/>
  <c r="P14" i="238" s="1"/>
  <c r="D15" i="238"/>
  <c r="N15" i="238" s="1"/>
  <c r="P15" i="238" s="1"/>
  <c r="D16" i="238"/>
  <c r="N16" i="238" s="1"/>
  <c r="P16" i="238" s="1"/>
  <c r="D17" i="238"/>
  <c r="N17" i="238" s="1"/>
  <c r="P17" i="238" s="1"/>
  <c r="D18" i="238"/>
  <c r="N18" i="238" s="1"/>
  <c r="P18" i="238" s="1"/>
  <c r="D19" i="238"/>
  <c r="N19" i="238" s="1"/>
  <c r="P19" i="238" s="1"/>
  <c r="D20" i="238"/>
  <c r="N20" i="238" s="1"/>
  <c r="D21" i="238"/>
  <c r="N21" i="238" s="1"/>
  <c r="P21" i="238" s="1"/>
  <c r="D22" i="238"/>
  <c r="N22" i="238" s="1"/>
  <c r="P22" i="238" s="1"/>
  <c r="D23" i="238"/>
  <c r="N23" i="238" s="1"/>
  <c r="P23" i="238" s="1"/>
  <c r="D24" i="238"/>
  <c r="N24" i="238" s="1"/>
  <c r="P24" i="238" s="1"/>
  <c r="N30" i="238"/>
  <c r="O13" i="235" l="1"/>
  <c r="D13" i="237" s="1"/>
  <c r="N13" i="237" s="1"/>
  <c r="P13" i="237" s="1"/>
  <c r="O12" i="235"/>
  <c r="D12" i="237" s="1"/>
  <c r="N12" i="237" s="1"/>
  <c r="P12" i="237" s="1"/>
  <c r="O10" i="235"/>
  <c r="D10" i="237" s="1"/>
  <c r="N10" i="237" s="1"/>
  <c r="P10" i="237" s="1"/>
  <c r="D9" i="237"/>
  <c r="N9" i="237" s="1"/>
  <c r="P9" i="237" s="1"/>
  <c r="E8" i="235"/>
  <c r="O8" i="235" s="1"/>
  <c r="D8" i="237" s="1"/>
  <c r="N8" i="237" s="1"/>
  <c r="P8" i="237" s="1"/>
  <c r="D27" i="237"/>
  <c r="N27" i="237" s="1"/>
  <c r="P27" i="237" s="1"/>
  <c r="D28" i="237"/>
  <c r="N28" i="237" s="1"/>
  <c r="P28" i="237" s="1"/>
  <c r="D29" i="237"/>
  <c r="N29" i="237" s="1"/>
  <c r="P29" i="237" s="1"/>
  <c r="D26" i="237"/>
  <c r="N26" i="237" s="1"/>
  <c r="P26" i="237" s="1"/>
  <c r="D11" i="237"/>
  <c r="N11" i="237" s="1"/>
  <c r="P11" i="237" s="1"/>
  <c r="D14" i="237"/>
  <c r="N14" i="237" s="1"/>
  <c r="P14" i="237" s="1"/>
  <c r="D15" i="237"/>
  <c r="N15" i="237" s="1"/>
  <c r="P15" i="237" s="1"/>
  <c r="D16" i="237"/>
  <c r="N16" i="237" s="1"/>
  <c r="P16" i="237" s="1"/>
  <c r="D17" i="237"/>
  <c r="N17" i="237" s="1"/>
  <c r="P17" i="237" s="1"/>
  <c r="D18" i="237"/>
  <c r="N18" i="237" s="1"/>
  <c r="P18" i="237" s="1"/>
  <c r="D19" i="237"/>
  <c r="N19" i="237" s="1"/>
  <c r="P19" i="237" s="1"/>
  <c r="D20" i="237"/>
  <c r="N20" i="237" s="1"/>
  <c r="D21" i="237"/>
  <c r="N21" i="237" s="1"/>
  <c r="P21" i="237" s="1"/>
  <c r="D22" i="237"/>
  <c r="N22" i="237" s="1"/>
  <c r="P22" i="237" s="1"/>
  <c r="D23" i="237"/>
  <c r="N23" i="237" s="1"/>
  <c r="P23" i="237" s="1"/>
  <c r="D24" i="237"/>
  <c r="N24" i="237" s="1"/>
  <c r="P24" i="237" s="1"/>
  <c r="D5" i="237"/>
  <c r="E5" i="237" s="1"/>
  <c r="N30" i="237"/>
  <c r="D27" i="235" l="1"/>
  <c r="N27" i="235" s="1"/>
  <c r="P27" i="235" s="1"/>
  <c r="D28" i="235"/>
  <c r="N28" i="235" s="1"/>
  <c r="P28" i="235" s="1"/>
  <c r="D29" i="235"/>
  <c r="N29" i="235" s="1"/>
  <c r="P29" i="235" s="1"/>
  <c r="D26" i="235"/>
  <c r="N26" i="235" s="1"/>
  <c r="P26" i="235" s="1"/>
  <c r="D10" i="235"/>
  <c r="N10" i="235" s="1"/>
  <c r="P10" i="235" s="1"/>
  <c r="D11" i="235"/>
  <c r="N11" i="235" s="1"/>
  <c r="P11" i="235" s="1"/>
  <c r="D14" i="235"/>
  <c r="N14" i="235" s="1"/>
  <c r="P14" i="235" s="1"/>
  <c r="D15" i="235"/>
  <c r="N15" i="235" s="1"/>
  <c r="P15" i="235" s="1"/>
  <c r="D16" i="235"/>
  <c r="N16" i="235" s="1"/>
  <c r="P16" i="235" s="1"/>
  <c r="D17" i="235"/>
  <c r="N17" i="235" s="1"/>
  <c r="P17" i="235" s="1"/>
  <c r="D18" i="235"/>
  <c r="N18" i="235" s="1"/>
  <c r="P18" i="235" s="1"/>
  <c r="D19" i="235"/>
  <c r="N19" i="235" s="1"/>
  <c r="P19" i="235" s="1"/>
  <c r="D20" i="235"/>
  <c r="N20" i="235" s="1"/>
  <c r="D21" i="235"/>
  <c r="N21" i="235" s="1"/>
  <c r="P21" i="235" s="1"/>
  <c r="D22" i="235"/>
  <c r="N22" i="235" s="1"/>
  <c r="P22" i="235" s="1"/>
  <c r="D23" i="235"/>
  <c r="N23" i="235" s="1"/>
  <c r="P23" i="235" s="1"/>
  <c r="D24" i="235"/>
  <c r="N24" i="235" s="1"/>
  <c r="P24" i="235" s="1"/>
  <c r="D8" i="235"/>
  <c r="O13" i="234"/>
  <c r="D13" i="235" s="1"/>
  <c r="O12" i="234"/>
  <c r="D12" i="235" s="1"/>
  <c r="E9" i="234"/>
  <c r="O9" i="234" s="1"/>
  <c r="D9" i="235" s="1"/>
  <c r="N9" i="235" s="1"/>
  <c r="P9" i="235" s="1"/>
  <c r="O13" i="233"/>
  <c r="O12" i="233"/>
  <c r="D12" i="234" s="1"/>
  <c r="N12" i="234" s="1"/>
  <c r="E8" i="233"/>
  <c r="O8" i="233" s="1"/>
  <c r="D8" i="234" s="1"/>
  <c r="N8" i="234" s="1"/>
  <c r="P8" i="234" s="1"/>
  <c r="D5" i="235"/>
  <c r="E5" i="235" s="1"/>
  <c r="N30" i="235"/>
  <c r="D27" i="234"/>
  <c r="N27" i="234" s="1"/>
  <c r="P27" i="234" s="1"/>
  <c r="D28" i="234"/>
  <c r="D29" i="234"/>
  <c r="N29" i="234" s="1"/>
  <c r="P29" i="234" s="1"/>
  <c r="D26" i="234"/>
  <c r="N26" i="234" s="1"/>
  <c r="P26" i="234" s="1"/>
  <c r="D9" i="234"/>
  <c r="D11" i="234"/>
  <c r="D14" i="234"/>
  <c r="D15" i="234"/>
  <c r="N15" i="234" s="1"/>
  <c r="P15" i="234" s="1"/>
  <c r="D16" i="234"/>
  <c r="D17" i="234"/>
  <c r="D18" i="234"/>
  <c r="D19" i="234"/>
  <c r="N19" i="234" s="1"/>
  <c r="P19" i="234" s="1"/>
  <c r="D20" i="234"/>
  <c r="D21" i="234"/>
  <c r="D22" i="234"/>
  <c r="D23" i="234"/>
  <c r="N23" i="234" s="1"/>
  <c r="P23" i="234" s="1"/>
  <c r="D24" i="234"/>
  <c r="D5" i="234"/>
  <c r="E5" i="234" s="1"/>
  <c r="N30" i="234"/>
  <c r="N28" i="234"/>
  <c r="P28" i="234" s="1"/>
  <c r="N24" i="234"/>
  <c r="P24" i="234" s="1"/>
  <c r="N22" i="234"/>
  <c r="P22" i="234" s="1"/>
  <c r="N21" i="234"/>
  <c r="P21" i="234" s="1"/>
  <c r="N20" i="234"/>
  <c r="N18" i="234"/>
  <c r="P18" i="234" s="1"/>
  <c r="N17" i="234"/>
  <c r="P17" i="234" s="1"/>
  <c r="N16" i="234"/>
  <c r="P16" i="234" s="1"/>
  <c r="N14" i="234"/>
  <c r="P14" i="234" s="1"/>
  <c r="N11" i="234"/>
  <c r="P11" i="234" s="1"/>
  <c r="N9" i="234" l="1"/>
  <c r="P9" i="234" s="1"/>
  <c r="N13" i="235"/>
  <c r="P13" i="235" s="1"/>
  <c r="D13" i="234"/>
  <c r="N13" i="234" s="1"/>
  <c r="P13" i="234" s="1"/>
  <c r="N8" i="235"/>
  <c r="P8" i="235" s="1"/>
  <c r="P12" i="234"/>
  <c r="D10" i="234"/>
  <c r="N10" i="234" s="1"/>
  <c r="P10" i="234" s="1"/>
  <c r="N12" i="235"/>
  <c r="P12" i="235" s="1"/>
  <c r="O13" i="232"/>
  <c r="D13" i="233" s="1"/>
  <c r="N13" i="233" s="1"/>
  <c r="P13" i="233" s="1"/>
  <c r="O12" i="232"/>
  <c r="D12" i="233" s="1"/>
  <c r="N12" i="233" s="1"/>
  <c r="P12" i="233" s="1"/>
  <c r="O10" i="232"/>
  <c r="D11" i="232"/>
  <c r="D14" i="232"/>
  <c r="D15" i="232"/>
  <c r="D16" i="232"/>
  <c r="D17" i="232"/>
  <c r="D18" i="232"/>
  <c r="D19" i="232"/>
  <c r="D20" i="232"/>
  <c r="D21" i="232"/>
  <c r="D22" i="232"/>
  <c r="D23" i="232"/>
  <c r="D24" i="232"/>
  <c r="E29" i="232"/>
  <c r="E8" i="232"/>
  <c r="O8" i="232" s="1"/>
  <c r="D8" i="233" s="1"/>
  <c r="N8" i="233" s="1"/>
  <c r="P8" i="233" s="1"/>
  <c r="D27" i="233"/>
  <c r="N27" i="233" s="1"/>
  <c r="P27" i="233" s="1"/>
  <c r="D28" i="233"/>
  <c r="N28" i="233" s="1"/>
  <c r="P28" i="233" s="1"/>
  <c r="D29" i="233"/>
  <c r="N29" i="233" s="1"/>
  <c r="P29" i="233" s="1"/>
  <c r="D26" i="233"/>
  <c r="N26" i="233" s="1"/>
  <c r="P26" i="233" s="1"/>
  <c r="D9" i="233"/>
  <c r="N9" i="233" s="1"/>
  <c r="P9" i="233" s="1"/>
  <c r="D10" i="233"/>
  <c r="N10" i="233" s="1"/>
  <c r="P10" i="233" s="1"/>
  <c r="D11" i="233"/>
  <c r="N11" i="233" s="1"/>
  <c r="P11" i="233" s="1"/>
  <c r="D14" i="233"/>
  <c r="N14" i="233" s="1"/>
  <c r="P14" i="233" s="1"/>
  <c r="D15" i="233"/>
  <c r="N15" i="233" s="1"/>
  <c r="P15" i="233" s="1"/>
  <c r="D16" i="233"/>
  <c r="N16" i="233" s="1"/>
  <c r="P16" i="233" s="1"/>
  <c r="D17" i="233"/>
  <c r="N17" i="233" s="1"/>
  <c r="P17" i="233" s="1"/>
  <c r="D18" i="233"/>
  <c r="N18" i="233" s="1"/>
  <c r="P18" i="233" s="1"/>
  <c r="D19" i="233"/>
  <c r="N19" i="233" s="1"/>
  <c r="P19" i="233" s="1"/>
  <c r="D20" i="233"/>
  <c r="N20" i="233" s="1"/>
  <c r="D21" i="233"/>
  <c r="D22" i="233"/>
  <c r="N22" i="233" s="1"/>
  <c r="P22" i="233" s="1"/>
  <c r="D23" i="233"/>
  <c r="N23" i="233" s="1"/>
  <c r="P23" i="233" s="1"/>
  <c r="D5" i="233"/>
  <c r="E5" i="233" s="1"/>
  <c r="N30" i="233"/>
  <c r="D24" i="233"/>
  <c r="N24" i="233" s="1"/>
  <c r="P24" i="233" s="1"/>
  <c r="N21" i="233"/>
  <c r="P21" i="233" s="1"/>
  <c r="O12" i="231" l="1"/>
  <c r="D12" i="232" s="1"/>
  <c r="N12" i="232" s="1"/>
  <c r="P12" i="232" s="1"/>
  <c r="O10" i="231"/>
  <c r="D10" i="232" s="1"/>
  <c r="N10" i="232" s="1"/>
  <c r="P10" i="232" s="1"/>
  <c r="D11" i="231"/>
  <c r="D14" i="231"/>
  <c r="D15" i="231"/>
  <c r="D16" i="231"/>
  <c r="D17" i="231"/>
  <c r="D18" i="231"/>
  <c r="D19" i="231"/>
  <c r="D20" i="231"/>
  <c r="D21" i="231"/>
  <c r="D22" i="231"/>
  <c r="D23" i="231"/>
  <c r="D24" i="231"/>
  <c r="D27" i="232"/>
  <c r="N27" i="232" s="1"/>
  <c r="P27" i="232" s="1"/>
  <c r="D28" i="232"/>
  <c r="N28" i="232" s="1"/>
  <c r="P28" i="232" s="1"/>
  <c r="D29" i="232"/>
  <c r="N29" i="232" s="1"/>
  <c r="P29" i="232" s="1"/>
  <c r="D26" i="232"/>
  <c r="N26" i="232" s="1"/>
  <c r="P26" i="232" s="1"/>
  <c r="O13" i="231"/>
  <c r="D13" i="232" s="1"/>
  <c r="N13" i="232" s="1"/>
  <c r="P13" i="232" s="1"/>
  <c r="O9" i="231"/>
  <c r="D9" i="232" s="1"/>
  <c r="N9" i="232" s="1"/>
  <c r="P9" i="232" s="1"/>
  <c r="E23" i="229"/>
  <c r="E8" i="231"/>
  <c r="O8" i="231" s="1"/>
  <c r="D8" i="232" s="1"/>
  <c r="N8" i="232" s="1"/>
  <c r="P8" i="232" s="1"/>
  <c r="D5" i="232"/>
  <c r="E5" i="232" s="1"/>
  <c r="N30" i="232"/>
  <c r="N24" i="232"/>
  <c r="P24" i="232" s="1"/>
  <c r="N23" i="232"/>
  <c r="P23" i="232" s="1"/>
  <c r="N22" i="232"/>
  <c r="P22" i="232" s="1"/>
  <c r="N21" i="232"/>
  <c r="P21" i="232" s="1"/>
  <c r="N20" i="232"/>
  <c r="N19" i="232"/>
  <c r="P19" i="232" s="1"/>
  <c r="N18" i="232"/>
  <c r="P18" i="232" s="1"/>
  <c r="N17" i="232"/>
  <c r="P17" i="232" s="1"/>
  <c r="N16" i="232"/>
  <c r="P16" i="232" s="1"/>
  <c r="N15" i="232"/>
  <c r="P15" i="232" s="1"/>
  <c r="N14" i="232"/>
  <c r="P14" i="232" s="1"/>
  <c r="N11" i="232"/>
  <c r="P11" i="232" s="1"/>
  <c r="D27" i="231" l="1"/>
  <c r="N27" i="231" s="1"/>
  <c r="P27" i="231" s="1"/>
  <c r="D28" i="231"/>
  <c r="D29" i="231"/>
  <c r="N29" i="231" s="1"/>
  <c r="P29" i="231" s="1"/>
  <c r="D26" i="231"/>
  <c r="N26" i="231" s="1"/>
  <c r="P26" i="231" s="1"/>
  <c r="N11" i="231"/>
  <c r="P11" i="231" s="1"/>
  <c r="N15" i="231"/>
  <c r="P15" i="231" s="1"/>
  <c r="N17" i="231"/>
  <c r="P17" i="231" s="1"/>
  <c r="N19" i="231"/>
  <c r="P19" i="231" s="1"/>
  <c r="N21" i="231"/>
  <c r="P21" i="231" s="1"/>
  <c r="N23" i="231"/>
  <c r="P23" i="231" s="1"/>
  <c r="D5" i="229"/>
  <c r="E5" i="229" s="1"/>
  <c r="D5" i="231"/>
  <c r="E5" i="231" s="1"/>
  <c r="N30" i="231"/>
  <c r="N28" i="231"/>
  <c r="P28" i="231" s="1"/>
  <c r="N24" i="231"/>
  <c r="P24" i="231" s="1"/>
  <c r="N22" i="231"/>
  <c r="P22" i="231" s="1"/>
  <c r="N20" i="231"/>
  <c r="N18" i="231"/>
  <c r="P18" i="231" s="1"/>
  <c r="N16" i="231"/>
  <c r="P16" i="231" s="1"/>
  <c r="N14" i="231"/>
  <c r="P14" i="231" s="1"/>
  <c r="O13" i="229"/>
  <c r="D13" i="231" s="1"/>
  <c r="N13" i="231" s="1"/>
  <c r="O12" i="228"/>
  <c r="D12" i="229" s="1"/>
  <c r="N12" i="229" s="1"/>
  <c r="O12" i="229"/>
  <c r="D12" i="231" s="1"/>
  <c r="N12" i="231" s="1"/>
  <c r="O10" i="229"/>
  <c r="D10" i="231" s="1"/>
  <c r="N10" i="231" s="1"/>
  <c r="P10" i="231" s="1"/>
  <c r="O8" i="229"/>
  <c r="D8" i="231" s="1"/>
  <c r="N8" i="231" s="1"/>
  <c r="P8" i="231" s="1"/>
  <c r="D27" i="229"/>
  <c r="N27" i="229" s="1"/>
  <c r="P27" i="229" s="1"/>
  <c r="D28" i="229"/>
  <c r="N28" i="229" s="1"/>
  <c r="P28" i="229" s="1"/>
  <c r="D29" i="229"/>
  <c r="N29" i="229" s="1"/>
  <c r="P29" i="229" s="1"/>
  <c r="D26" i="229"/>
  <c r="N26" i="229" s="1"/>
  <c r="P26" i="229" s="1"/>
  <c r="D11" i="229"/>
  <c r="N11" i="229" s="1"/>
  <c r="P11" i="229" s="1"/>
  <c r="D14" i="229"/>
  <c r="N14" i="229" s="1"/>
  <c r="P14" i="229" s="1"/>
  <c r="D15" i="229"/>
  <c r="N15" i="229" s="1"/>
  <c r="P15" i="229" s="1"/>
  <c r="D16" i="229"/>
  <c r="N16" i="229" s="1"/>
  <c r="P16" i="229" s="1"/>
  <c r="D17" i="229"/>
  <c r="N17" i="229" s="1"/>
  <c r="P17" i="229" s="1"/>
  <c r="D18" i="229"/>
  <c r="N18" i="229" s="1"/>
  <c r="P18" i="229" s="1"/>
  <c r="D19" i="229"/>
  <c r="N19" i="229" s="1"/>
  <c r="P19" i="229" s="1"/>
  <c r="D20" i="229"/>
  <c r="N20" i="229" s="1"/>
  <c r="D21" i="229"/>
  <c r="N21" i="229" s="1"/>
  <c r="P21" i="229" s="1"/>
  <c r="D22" i="229"/>
  <c r="N22" i="229" s="1"/>
  <c r="P22" i="229" s="1"/>
  <c r="D23" i="229"/>
  <c r="N23" i="229" s="1"/>
  <c r="P23" i="229" s="1"/>
  <c r="D24" i="229"/>
  <c r="N24" i="229" s="1"/>
  <c r="P24" i="229" s="1"/>
  <c r="E9" i="229"/>
  <c r="O9" i="229" s="1"/>
  <c r="D9" i="231" s="1"/>
  <c r="N9" i="231" s="1"/>
  <c r="O13" i="228"/>
  <c r="D13" i="229" s="1"/>
  <c r="N13" i="229" s="1"/>
  <c r="P13" i="229" s="1"/>
  <c r="O10" i="228"/>
  <c r="D10" i="229" s="1"/>
  <c r="N10" i="229" s="1"/>
  <c r="O9" i="228"/>
  <c r="D9" i="229" s="1"/>
  <c r="E8" i="228"/>
  <c r="O8" i="228" s="1"/>
  <c r="D8" i="229" s="1"/>
  <c r="N8" i="229" s="1"/>
  <c r="N30" i="229"/>
  <c r="N9" i="229" l="1"/>
  <c r="P9" i="229" s="1"/>
  <c r="P12" i="229"/>
  <c r="P9" i="231"/>
  <c r="P12" i="231"/>
  <c r="P13" i="231"/>
  <c r="P10" i="229"/>
  <c r="P8" i="229"/>
  <c r="D5" i="226"/>
  <c r="D5" i="227"/>
  <c r="D5" i="228"/>
  <c r="D27" i="228"/>
  <c r="D28" i="228"/>
  <c r="D29" i="228"/>
  <c r="D26" i="228"/>
  <c r="D11" i="228"/>
  <c r="D14" i="228"/>
  <c r="D15" i="228"/>
  <c r="D16" i="228"/>
  <c r="D17" i="228"/>
  <c r="D18" i="228"/>
  <c r="D19" i="228"/>
  <c r="D20" i="228"/>
  <c r="D21" i="228"/>
  <c r="D22" i="228"/>
  <c r="D23" i="228"/>
  <c r="D24" i="228"/>
  <c r="O13" i="227"/>
  <c r="D13" i="228" s="1"/>
  <c r="O12" i="227"/>
  <c r="D12" i="228" s="1"/>
  <c r="O10" i="227"/>
  <c r="D10" i="228" s="1"/>
  <c r="O9" i="227"/>
  <c r="D9" i="228" s="1"/>
  <c r="E8" i="227"/>
  <c r="O8" i="227" s="1"/>
  <c r="D8" i="228" s="1"/>
  <c r="D27" i="227"/>
  <c r="D28" i="227"/>
  <c r="D29" i="227"/>
  <c r="D26" i="227"/>
  <c r="D11" i="227"/>
  <c r="D14" i="227"/>
  <c r="D15" i="227"/>
  <c r="D16" i="227"/>
  <c r="D17" i="227"/>
  <c r="D18" i="227"/>
  <c r="D19" i="227"/>
  <c r="D20" i="227"/>
  <c r="D21" i="227"/>
  <c r="D22" i="227"/>
  <c r="D23" i="227"/>
  <c r="D24" i="227"/>
  <c r="O13" i="226"/>
  <c r="D13" i="227" s="1"/>
  <c r="E9" i="225"/>
  <c r="O9" i="225" s="1"/>
  <c r="D9" i="226" s="1"/>
  <c r="O10" i="226"/>
  <c r="D10" i="227" s="1"/>
  <c r="O9" i="226"/>
  <c r="D9" i="227" s="1"/>
  <c r="O8" i="225"/>
  <c r="D8" i="226" s="1"/>
  <c r="E12" i="226"/>
  <c r="O12" i="226" s="1"/>
  <c r="D12" i="227" s="1"/>
  <c r="E8" i="226"/>
  <c r="O8" i="226" s="1"/>
  <c r="D8" i="227" s="1"/>
  <c r="D27" i="226"/>
  <c r="D28" i="226"/>
  <c r="D29" i="226"/>
  <c r="D26" i="226"/>
  <c r="D11" i="226"/>
  <c r="D14" i="226"/>
  <c r="D15" i="226"/>
  <c r="D16" i="226"/>
  <c r="D17" i="226"/>
  <c r="D18" i="226"/>
  <c r="D19" i="226"/>
  <c r="D20" i="226"/>
  <c r="D21" i="226"/>
  <c r="D22" i="226"/>
  <c r="D23" i="226"/>
  <c r="D24" i="226"/>
  <c r="O13" i="225"/>
  <c r="D13" i="226" s="1"/>
  <c r="O12" i="225"/>
  <c r="D12" i="226" s="1"/>
  <c r="O10" i="225"/>
  <c r="D10" i="226" s="1"/>
  <c r="N30" i="228" l="1"/>
  <c r="N29" i="228"/>
  <c r="P29" i="228" s="1"/>
  <c r="N28" i="228"/>
  <c r="P28" i="228" s="1"/>
  <c r="N27" i="228"/>
  <c r="P27" i="228" s="1"/>
  <c r="N26" i="228"/>
  <c r="P26" i="228" s="1"/>
  <c r="N24" i="228"/>
  <c r="P24" i="228" s="1"/>
  <c r="N23" i="228"/>
  <c r="P23" i="228" s="1"/>
  <c r="N22" i="228"/>
  <c r="P22" i="228" s="1"/>
  <c r="N21" i="228"/>
  <c r="P21" i="228" s="1"/>
  <c r="N20" i="228"/>
  <c r="N19" i="228"/>
  <c r="P19" i="228" s="1"/>
  <c r="N18" i="228"/>
  <c r="P18" i="228" s="1"/>
  <c r="N17" i="228"/>
  <c r="P17" i="228" s="1"/>
  <c r="N16" i="228"/>
  <c r="P16" i="228" s="1"/>
  <c r="N15" i="228"/>
  <c r="P15" i="228" s="1"/>
  <c r="N14" i="228"/>
  <c r="P14" i="228" s="1"/>
  <c r="N13" i="228"/>
  <c r="P13" i="228" s="1"/>
  <c r="N12" i="228"/>
  <c r="P12" i="228" s="1"/>
  <c r="N11" i="228"/>
  <c r="P11" i="228" s="1"/>
  <c r="N10" i="228"/>
  <c r="P10" i="228" s="1"/>
  <c r="N9" i="228"/>
  <c r="P9" i="228" s="1"/>
  <c r="N8" i="228"/>
  <c r="P8" i="228" s="1"/>
  <c r="E5" i="228"/>
  <c r="N30" i="227"/>
  <c r="N29" i="227"/>
  <c r="P29" i="227" s="1"/>
  <c r="N28" i="227"/>
  <c r="P28" i="227" s="1"/>
  <c r="N27" i="227"/>
  <c r="P27" i="227" s="1"/>
  <c r="N26" i="227"/>
  <c r="P26" i="227" s="1"/>
  <c r="N24" i="227"/>
  <c r="P24" i="227" s="1"/>
  <c r="N23" i="227"/>
  <c r="P23" i="227" s="1"/>
  <c r="N22" i="227"/>
  <c r="P22" i="227" s="1"/>
  <c r="N21" i="227"/>
  <c r="P21" i="227" s="1"/>
  <c r="N20" i="227"/>
  <c r="N19" i="227"/>
  <c r="P19" i="227" s="1"/>
  <c r="N18" i="227"/>
  <c r="P18" i="227" s="1"/>
  <c r="N17" i="227"/>
  <c r="P17" i="227" s="1"/>
  <c r="N16" i="227"/>
  <c r="P16" i="227" s="1"/>
  <c r="N15" i="227"/>
  <c r="P15" i="227" s="1"/>
  <c r="N14" i="227"/>
  <c r="P14" i="227" s="1"/>
  <c r="N13" i="227"/>
  <c r="P13" i="227" s="1"/>
  <c r="N12" i="227"/>
  <c r="P12" i="227" s="1"/>
  <c r="N11" i="227"/>
  <c r="P11" i="227" s="1"/>
  <c r="N10" i="227"/>
  <c r="P10" i="227" s="1"/>
  <c r="N9" i="227"/>
  <c r="P9" i="227" s="1"/>
  <c r="N8" i="227"/>
  <c r="P8" i="227" s="1"/>
  <c r="E5" i="227"/>
  <c r="N30" i="226"/>
  <c r="N29" i="226"/>
  <c r="P29" i="226" s="1"/>
  <c r="N28" i="226"/>
  <c r="P28" i="226" s="1"/>
  <c r="N27" i="226"/>
  <c r="P27" i="226" s="1"/>
  <c r="N26" i="226"/>
  <c r="P26" i="226" s="1"/>
  <c r="N24" i="226"/>
  <c r="P24" i="226" s="1"/>
  <c r="N23" i="226"/>
  <c r="P23" i="226" s="1"/>
  <c r="N22" i="226"/>
  <c r="P22" i="226" s="1"/>
  <c r="N21" i="226"/>
  <c r="P21" i="226" s="1"/>
  <c r="N20" i="226"/>
  <c r="N19" i="226"/>
  <c r="P19" i="226" s="1"/>
  <c r="N18" i="226"/>
  <c r="P18" i="226" s="1"/>
  <c r="N17" i="226"/>
  <c r="P17" i="226" s="1"/>
  <c r="N16" i="226"/>
  <c r="P16" i="226" s="1"/>
  <c r="N15" i="226"/>
  <c r="P15" i="226" s="1"/>
  <c r="N14" i="226"/>
  <c r="P14" i="226" s="1"/>
  <c r="N13" i="226"/>
  <c r="P13" i="226" s="1"/>
  <c r="N12" i="226"/>
  <c r="P12" i="226" s="1"/>
  <c r="N11" i="226"/>
  <c r="P11" i="226" s="1"/>
  <c r="N10" i="226"/>
  <c r="P10" i="226" s="1"/>
  <c r="N9" i="226"/>
  <c r="P9" i="226" s="1"/>
  <c r="N8" i="226"/>
  <c r="P8" i="226" s="1"/>
  <c r="E5" i="226"/>
  <c r="D27" i="225" l="1"/>
  <c r="N27" i="225" s="1"/>
  <c r="P27" i="225" s="1"/>
  <c r="D28" i="225"/>
  <c r="N28" i="225" s="1"/>
  <c r="P28" i="225" s="1"/>
  <c r="D29" i="225"/>
  <c r="N29" i="225" s="1"/>
  <c r="P29" i="225" s="1"/>
  <c r="D26" i="225"/>
  <c r="N26" i="225" s="1"/>
  <c r="P26" i="225" s="1"/>
  <c r="D9" i="225"/>
  <c r="N9" i="225" s="1"/>
  <c r="P9" i="225" s="1"/>
  <c r="D11" i="225"/>
  <c r="N11" i="225" s="1"/>
  <c r="P11" i="225" s="1"/>
  <c r="D14" i="225"/>
  <c r="N14" i="225" s="1"/>
  <c r="P14" i="225" s="1"/>
  <c r="D15" i="225"/>
  <c r="N15" i="225" s="1"/>
  <c r="P15" i="225" s="1"/>
  <c r="D16" i="225"/>
  <c r="N16" i="225" s="1"/>
  <c r="P16" i="225" s="1"/>
  <c r="D17" i="225"/>
  <c r="N17" i="225" s="1"/>
  <c r="P17" i="225" s="1"/>
  <c r="D18" i="225"/>
  <c r="N18" i="225" s="1"/>
  <c r="P18" i="225" s="1"/>
  <c r="D19" i="225"/>
  <c r="N19" i="225" s="1"/>
  <c r="P19" i="225" s="1"/>
  <c r="D20" i="225"/>
  <c r="N20" i="225" s="1"/>
  <c r="D21" i="225"/>
  <c r="N21" i="225" s="1"/>
  <c r="P21" i="225" s="1"/>
  <c r="D22" i="225"/>
  <c r="N22" i="225" s="1"/>
  <c r="P22" i="225" s="1"/>
  <c r="D23" i="225"/>
  <c r="N23" i="225" s="1"/>
  <c r="P23" i="225" s="1"/>
  <c r="D24" i="225"/>
  <c r="N24" i="225" s="1"/>
  <c r="P24" i="225" s="1"/>
  <c r="D5" i="225"/>
  <c r="E5" i="225" s="1"/>
  <c r="N30" i="225"/>
  <c r="O12" i="224"/>
  <c r="D12" i="225" s="1"/>
  <c r="N12" i="225" s="1"/>
  <c r="P12" i="225" s="1"/>
  <c r="O10" i="224"/>
  <c r="D10" i="225" s="1"/>
  <c r="N10" i="225" s="1"/>
  <c r="E13" i="224"/>
  <c r="O13" i="224" s="1"/>
  <c r="D13" i="225" s="1"/>
  <c r="N13" i="225" s="1"/>
  <c r="E8" i="224"/>
  <c r="O8" i="224" s="1"/>
  <c r="D8" i="225" s="1"/>
  <c r="N8" i="225" s="1"/>
  <c r="P8" i="225" l="1"/>
  <c r="P10" i="225"/>
  <c r="P13" i="225"/>
  <c r="D27" i="224"/>
  <c r="N27" i="224" s="1"/>
  <c r="P27" i="224" s="1"/>
  <c r="D28" i="224"/>
  <c r="N28" i="224" s="1"/>
  <c r="P28" i="224" s="1"/>
  <c r="D29" i="224"/>
  <c r="D26" i="224"/>
  <c r="N26" i="224" s="1"/>
  <c r="P26" i="224" s="1"/>
  <c r="D11" i="224"/>
  <c r="N11" i="224" s="1"/>
  <c r="P11" i="224" s="1"/>
  <c r="D14" i="224"/>
  <c r="N14" i="224" s="1"/>
  <c r="P14" i="224" s="1"/>
  <c r="D15" i="224"/>
  <c r="N15" i="224" s="1"/>
  <c r="P15" i="224" s="1"/>
  <c r="D16" i="224"/>
  <c r="N16" i="224" s="1"/>
  <c r="P16" i="224" s="1"/>
  <c r="D17" i="224"/>
  <c r="N17" i="224" s="1"/>
  <c r="P17" i="224" s="1"/>
  <c r="D18" i="224"/>
  <c r="N18" i="224" s="1"/>
  <c r="P18" i="224" s="1"/>
  <c r="D19" i="224"/>
  <c r="N19" i="224" s="1"/>
  <c r="P19" i="224" s="1"/>
  <c r="D20" i="224"/>
  <c r="N20" i="224" s="1"/>
  <c r="D21" i="224"/>
  <c r="N21" i="224" s="1"/>
  <c r="P21" i="224" s="1"/>
  <c r="D22" i="224"/>
  <c r="N22" i="224" s="1"/>
  <c r="P22" i="224" s="1"/>
  <c r="D23" i="224"/>
  <c r="N23" i="224" s="1"/>
  <c r="P23" i="224" s="1"/>
  <c r="D24" i="224"/>
  <c r="N24" i="224" s="1"/>
  <c r="P24" i="224" s="1"/>
  <c r="D5" i="224"/>
  <c r="E5" i="224" s="1"/>
  <c r="N30" i="224"/>
  <c r="N29" i="224"/>
  <c r="P29" i="224" s="1"/>
  <c r="O13" i="223"/>
  <c r="D13" i="224" s="1"/>
  <c r="N13" i="224" s="1"/>
  <c r="O12" i="223"/>
  <c r="D12" i="224" s="1"/>
  <c r="N12" i="224" s="1"/>
  <c r="O10" i="223"/>
  <c r="D10" i="224" s="1"/>
  <c r="N10" i="224" s="1"/>
  <c r="P10" i="224" s="1"/>
  <c r="E9" i="222"/>
  <c r="O9" i="223"/>
  <c r="D9" i="224" s="1"/>
  <c r="N9" i="224" s="1"/>
  <c r="P9" i="224" s="1"/>
  <c r="E8" i="223"/>
  <c r="O8" i="223" s="1"/>
  <c r="D8" i="224" s="1"/>
  <c r="N8" i="224" s="1"/>
  <c r="P8" i="224" l="1"/>
  <c r="P12" i="224"/>
  <c r="P13" i="224"/>
  <c r="O13" i="222"/>
  <c r="D13" i="223" s="1"/>
  <c r="N13" i="223" s="1"/>
  <c r="P13" i="223" s="1"/>
  <c r="O10" i="222"/>
  <c r="D10" i="223" s="1"/>
  <c r="N10" i="223" s="1"/>
  <c r="P10" i="223" s="1"/>
  <c r="O9" i="222"/>
  <c r="D9" i="223" s="1"/>
  <c r="N9" i="223" s="1"/>
  <c r="P9" i="223" s="1"/>
  <c r="O8" i="222"/>
  <c r="D8" i="223" s="1"/>
  <c r="N8" i="223" s="1"/>
  <c r="P8" i="223" s="1"/>
  <c r="D9" i="222"/>
  <c r="D11" i="222"/>
  <c r="D14" i="222"/>
  <c r="D15" i="222"/>
  <c r="D16" i="222"/>
  <c r="D17" i="222"/>
  <c r="D18" i="222"/>
  <c r="D19" i="222"/>
  <c r="D20" i="222"/>
  <c r="D21" i="222"/>
  <c r="D22" i="222"/>
  <c r="D23" i="222"/>
  <c r="D24" i="222"/>
  <c r="E12" i="222"/>
  <c r="O12" i="222" s="1"/>
  <c r="D12" i="223" s="1"/>
  <c r="N12" i="223" s="1"/>
  <c r="P12" i="223" s="1"/>
  <c r="D27" i="223"/>
  <c r="N27" i="223" s="1"/>
  <c r="P27" i="223" s="1"/>
  <c r="D28" i="223"/>
  <c r="N28" i="223" s="1"/>
  <c r="P28" i="223" s="1"/>
  <c r="D29" i="223"/>
  <c r="N29" i="223" s="1"/>
  <c r="P29" i="223" s="1"/>
  <c r="D26" i="223"/>
  <c r="N26" i="223" s="1"/>
  <c r="P26" i="223" s="1"/>
  <c r="D11" i="223"/>
  <c r="N11" i="223" s="1"/>
  <c r="P11" i="223" s="1"/>
  <c r="D14" i="223"/>
  <c r="N14" i="223" s="1"/>
  <c r="P14" i="223" s="1"/>
  <c r="D15" i="223"/>
  <c r="N15" i="223" s="1"/>
  <c r="P15" i="223" s="1"/>
  <c r="D16" i="223"/>
  <c r="N16" i="223" s="1"/>
  <c r="P16" i="223" s="1"/>
  <c r="D17" i="223"/>
  <c r="N17" i="223" s="1"/>
  <c r="P17" i="223" s="1"/>
  <c r="D18" i="223"/>
  <c r="N18" i="223" s="1"/>
  <c r="P18" i="223" s="1"/>
  <c r="D19" i="223"/>
  <c r="N19" i="223" s="1"/>
  <c r="P19" i="223" s="1"/>
  <c r="D20" i="223"/>
  <c r="N20" i="223" s="1"/>
  <c r="D21" i="223"/>
  <c r="N21" i="223" s="1"/>
  <c r="P21" i="223" s="1"/>
  <c r="D22" i="223"/>
  <c r="N22" i="223" s="1"/>
  <c r="P22" i="223" s="1"/>
  <c r="D23" i="223"/>
  <c r="N23" i="223" s="1"/>
  <c r="P23" i="223" s="1"/>
  <c r="D24" i="223"/>
  <c r="N24" i="223" s="1"/>
  <c r="P24" i="223" s="1"/>
  <c r="D5" i="223"/>
  <c r="E5" i="223" s="1"/>
  <c r="N30" i="223"/>
  <c r="D27" i="222" l="1"/>
  <c r="N27" i="222" s="1"/>
  <c r="P27" i="222" s="1"/>
  <c r="D28" i="222"/>
  <c r="N28" i="222" s="1"/>
  <c r="P28" i="222" s="1"/>
  <c r="D29" i="222"/>
  <c r="N29" i="222" s="1"/>
  <c r="P29" i="222" s="1"/>
  <c r="D26" i="222"/>
  <c r="N26" i="222" s="1"/>
  <c r="P26" i="222" s="1"/>
  <c r="O13" i="221"/>
  <c r="D13" i="222" s="1"/>
  <c r="N13" i="222" s="1"/>
  <c r="P13" i="222" s="1"/>
  <c r="O12" i="221"/>
  <c r="D12" i="222" s="1"/>
  <c r="O10" i="221"/>
  <c r="D10" i="222" s="1"/>
  <c r="N10" i="222" s="1"/>
  <c r="P10" i="222" s="1"/>
  <c r="E8" i="221"/>
  <c r="O8" i="221" s="1"/>
  <c r="D8" i="222" s="1"/>
  <c r="N8" i="222" s="1"/>
  <c r="P8" i="222" s="1"/>
  <c r="D5" i="222"/>
  <c r="E5" i="222" s="1"/>
  <c r="N30" i="222"/>
  <c r="N24" i="222"/>
  <c r="P24" i="222" s="1"/>
  <c r="N23" i="222"/>
  <c r="P23" i="222" s="1"/>
  <c r="N22" i="222"/>
  <c r="P22" i="222" s="1"/>
  <c r="N21" i="222"/>
  <c r="P21" i="222" s="1"/>
  <c r="N20" i="222"/>
  <c r="N19" i="222"/>
  <c r="P19" i="222" s="1"/>
  <c r="N18" i="222"/>
  <c r="P18" i="222" s="1"/>
  <c r="N17" i="222"/>
  <c r="P17" i="222" s="1"/>
  <c r="N16" i="222"/>
  <c r="P16" i="222" s="1"/>
  <c r="N15" i="222"/>
  <c r="P15" i="222" s="1"/>
  <c r="N14" i="222"/>
  <c r="P14" i="222" s="1"/>
  <c r="N12" i="222"/>
  <c r="P12" i="222" s="1"/>
  <c r="N11" i="222"/>
  <c r="P11" i="222" s="1"/>
  <c r="N9" i="222"/>
  <c r="P9" i="222" s="1"/>
  <c r="O13" i="220" l="1"/>
  <c r="D13" i="221" s="1"/>
  <c r="N13" i="221" s="1"/>
  <c r="P13" i="221" s="1"/>
  <c r="O12" i="220"/>
  <c r="D12" i="221" s="1"/>
  <c r="N12" i="221" s="1"/>
  <c r="P12" i="221" s="1"/>
  <c r="O10" i="220"/>
  <c r="D10" i="221" s="1"/>
  <c r="N10" i="221" s="1"/>
  <c r="P10" i="221" s="1"/>
  <c r="O9" i="215"/>
  <c r="O9" i="220"/>
  <c r="D9" i="221" s="1"/>
  <c r="N9" i="221" s="1"/>
  <c r="P9" i="221" s="1"/>
  <c r="D27" i="221"/>
  <c r="N27" i="221" s="1"/>
  <c r="P27" i="221" s="1"/>
  <c r="D28" i="221"/>
  <c r="N28" i="221" s="1"/>
  <c r="P28" i="221" s="1"/>
  <c r="D29" i="221"/>
  <c r="N29" i="221" s="1"/>
  <c r="P29" i="221" s="1"/>
  <c r="D26" i="221"/>
  <c r="N26" i="221" s="1"/>
  <c r="P26" i="221" s="1"/>
  <c r="D11" i="221"/>
  <c r="N11" i="221" s="1"/>
  <c r="P11" i="221" s="1"/>
  <c r="D14" i="221"/>
  <c r="N14" i="221" s="1"/>
  <c r="P14" i="221" s="1"/>
  <c r="D15" i="221"/>
  <c r="N15" i="221" s="1"/>
  <c r="P15" i="221" s="1"/>
  <c r="D16" i="221"/>
  <c r="N16" i="221" s="1"/>
  <c r="P16" i="221" s="1"/>
  <c r="D17" i="221"/>
  <c r="N17" i="221" s="1"/>
  <c r="P17" i="221" s="1"/>
  <c r="D18" i="221"/>
  <c r="N18" i="221" s="1"/>
  <c r="P18" i="221" s="1"/>
  <c r="D19" i="221"/>
  <c r="N19" i="221" s="1"/>
  <c r="P19" i="221" s="1"/>
  <c r="D20" i="221"/>
  <c r="N20" i="221" s="1"/>
  <c r="D21" i="221"/>
  <c r="N21" i="221" s="1"/>
  <c r="P21" i="221" s="1"/>
  <c r="D22" i="221"/>
  <c r="N22" i="221" s="1"/>
  <c r="P22" i="221" s="1"/>
  <c r="D23" i="221"/>
  <c r="N23" i="221" s="1"/>
  <c r="P23" i="221" s="1"/>
  <c r="D24" i="221"/>
  <c r="N24" i="221" s="1"/>
  <c r="P24" i="221" s="1"/>
  <c r="E8" i="220"/>
  <c r="O8" i="220" s="1"/>
  <c r="D8" i="221" s="1"/>
  <c r="N8" i="221" s="1"/>
  <c r="P8" i="221" s="1"/>
  <c r="D5" i="221"/>
  <c r="E5" i="221" s="1"/>
  <c r="N30" i="221"/>
  <c r="D27" i="220" l="1"/>
  <c r="N27" i="220" s="1"/>
  <c r="P27" i="220" s="1"/>
  <c r="D28" i="220"/>
  <c r="N28" i="220" s="1"/>
  <c r="P28" i="220" s="1"/>
  <c r="D29" i="220"/>
  <c r="N29" i="220" s="1"/>
  <c r="P29" i="220" s="1"/>
  <c r="D26" i="220"/>
  <c r="N26" i="220" s="1"/>
  <c r="P26" i="220" s="1"/>
  <c r="D11" i="220"/>
  <c r="N11" i="220" s="1"/>
  <c r="P11" i="220" s="1"/>
  <c r="D14" i="220"/>
  <c r="N14" i="220" s="1"/>
  <c r="P14" i="220" s="1"/>
  <c r="D15" i="220"/>
  <c r="N15" i="220" s="1"/>
  <c r="P15" i="220" s="1"/>
  <c r="D16" i="220"/>
  <c r="N16" i="220" s="1"/>
  <c r="P16" i="220" s="1"/>
  <c r="D17" i="220"/>
  <c r="N17" i="220" s="1"/>
  <c r="P17" i="220" s="1"/>
  <c r="D18" i="220"/>
  <c r="N18" i="220" s="1"/>
  <c r="P18" i="220" s="1"/>
  <c r="D19" i="220"/>
  <c r="N19" i="220" s="1"/>
  <c r="P19" i="220" s="1"/>
  <c r="D20" i="220"/>
  <c r="N20" i="220" s="1"/>
  <c r="D21" i="220"/>
  <c r="N21" i="220" s="1"/>
  <c r="P21" i="220" s="1"/>
  <c r="D22" i="220"/>
  <c r="N22" i="220" s="1"/>
  <c r="P22" i="220" s="1"/>
  <c r="D23" i="220"/>
  <c r="N23" i="220" s="1"/>
  <c r="P23" i="220" s="1"/>
  <c r="D24" i="220"/>
  <c r="N24" i="220" s="1"/>
  <c r="P24" i="220" s="1"/>
  <c r="D5" i="220"/>
  <c r="E5" i="220" s="1"/>
  <c r="N30" i="220"/>
  <c r="O13" i="219"/>
  <c r="D13" i="220" s="1"/>
  <c r="N13" i="220" s="1"/>
  <c r="O12" i="219"/>
  <c r="D12" i="220" s="1"/>
  <c r="N12" i="220" s="1"/>
  <c r="O10" i="219"/>
  <c r="D10" i="220" s="1"/>
  <c r="N10" i="220" s="1"/>
  <c r="P10" i="220" s="1"/>
  <c r="O9" i="219"/>
  <c r="D9" i="220" s="1"/>
  <c r="N9" i="220" s="1"/>
  <c r="P9" i="220" s="1"/>
  <c r="E8" i="219"/>
  <c r="O8" i="219" s="1"/>
  <c r="D8" i="220" s="1"/>
  <c r="N8" i="220" s="1"/>
  <c r="D27" i="219"/>
  <c r="N27" i="219" s="1"/>
  <c r="P27" i="219" s="1"/>
  <c r="D28" i="219"/>
  <c r="N28" i="219" s="1"/>
  <c r="P28" i="219" s="1"/>
  <c r="D29" i="219"/>
  <c r="N29" i="219" s="1"/>
  <c r="P29" i="219" s="1"/>
  <c r="D26" i="219"/>
  <c r="N26" i="219" s="1"/>
  <c r="P26" i="219" s="1"/>
  <c r="D11" i="219"/>
  <c r="N11" i="219" s="1"/>
  <c r="P11" i="219" s="1"/>
  <c r="D14" i="219"/>
  <c r="N14" i="219" s="1"/>
  <c r="P14" i="219" s="1"/>
  <c r="D15" i="219"/>
  <c r="N15" i="219" s="1"/>
  <c r="P15" i="219" s="1"/>
  <c r="D16" i="219"/>
  <c r="N16" i="219" s="1"/>
  <c r="P16" i="219" s="1"/>
  <c r="D17" i="219"/>
  <c r="N17" i="219" s="1"/>
  <c r="P17" i="219" s="1"/>
  <c r="D18" i="219"/>
  <c r="N18" i="219" s="1"/>
  <c r="P18" i="219" s="1"/>
  <c r="D19" i="219"/>
  <c r="N19" i="219" s="1"/>
  <c r="P19" i="219" s="1"/>
  <c r="D20" i="219"/>
  <c r="N20" i="219" s="1"/>
  <c r="D21" i="219"/>
  <c r="N21" i="219" s="1"/>
  <c r="P21" i="219" s="1"/>
  <c r="D22" i="219"/>
  <c r="N22" i="219" s="1"/>
  <c r="P22" i="219" s="1"/>
  <c r="D23" i="219"/>
  <c r="N23" i="219" s="1"/>
  <c r="P23" i="219" s="1"/>
  <c r="D24" i="219"/>
  <c r="N24" i="219" s="1"/>
  <c r="P24" i="219" s="1"/>
  <c r="D5" i="219"/>
  <c r="E5" i="219" s="1"/>
  <c r="N30" i="219"/>
  <c r="O13" i="218"/>
  <c r="D13" i="219" s="1"/>
  <c r="N13" i="219" s="1"/>
  <c r="O12" i="218"/>
  <c r="D12" i="219" s="1"/>
  <c r="N12" i="219" s="1"/>
  <c r="O10" i="218"/>
  <c r="D10" i="219" s="1"/>
  <c r="N10" i="219" s="1"/>
  <c r="P10" i="219" l="1"/>
  <c r="P8" i="220"/>
  <c r="P12" i="220"/>
  <c r="P13" i="220"/>
  <c r="P12" i="219"/>
  <c r="P13" i="219"/>
  <c r="O8" i="218"/>
  <c r="D8" i="219" s="1"/>
  <c r="N8" i="219" s="1"/>
  <c r="P8" i="219" s="1"/>
  <c r="E9" i="218"/>
  <c r="O9" i="218" s="1"/>
  <c r="D9" i="219" s="1"/>
  <c r="N9" i="219" s="1"/>
  <c r="P9" i="219" s="1"/>
  <c r="D27" i="218"/>
  <c r="N27" i="218" s="1"/>
  <c r="P27" i="218" s="1"/>
  <c r="D28" i="218"/>
  <c r="N28" i="218" s="1"/>
  <c r="P28" i="218" s="1"/>
  <c r="D29" i="218"/>
  <c r="N29" i="218" s="1"/>
  <c r="P29" i="218" s="1"/>
  <c r="D26" i="218"/>
  <c r="N26" i="218" s="1"/>
  <c r="P26" i="218" s="1"/>
  <c r="D9" i="218"/>
  <c r="D11" i="218"/>
  <c r="N11" i="218" s="1"/>
  <c r="P11" i="218" s="1"/>
  <c r="D14" i="218"/>
  <c r="N14" i="218" s="1"/>
  <c r="P14" i="218" s="1"/>
  <c r="D15" i="218"/>
  <c r="N15" i="218" s="1"/>
  <c r="P15" i="218" s="1"/>
  <c r="D16" i="218"/>
  <c r="N16" i="218" s="1"/>
  <c r="P16" i="218" s="1"/>
  <c r="D17" i="218"/>
  <c r="N17" i="218" s="1"/>
  <c r="P17" i="218" s="1"/>
  <c r="D18" i="218"/>
  <c r="N18" i="218" s="1"/>
  <c r="P18" i="218" s="1"/>
  <c r="D19" i="218"/>
  <c r="N19" i="218" s="1"/>
  <c r="P19" i="218" s="1"/>
  <c r="D20" i="218"/>
  <c r="N20" i="218" s="1"/>
  <c r="D21" i="218"/>
  <c r="N21" i="218" s="1"/>
  <c r="P21" i="218" s="1"/>
  <c r="D22" i="218"/>
  <c r="N22" i="218" s="1"/>
  <c r="P22" i="218" s="1"/>
  <c r="D23" i="218"/>
  <c r="N23" i="218" s="1"/>
  <c r="P23" i="218" s="1"/>
  <c r="D24" i="218"/>
  <c r="N24" i="218" s="1"/>
  <c r="P24" i="218" s="1"/>
  <c r="D5" i="218"/>
  <c r="E5" i="218" s="1"/>
  <c r="N30" i="218"/>
  <c r="O13" i="217"/>
  <c r="D13" i="218" s="1"/>
  <c r="N13" i="218" s="1"/>
  <c r="O12" i="217"/>
  <c r="D12" i="218" s="1"/>
  <c r="N12" i="218" s="1"/>
  <c r="D10" i="218"/>
  <c r="N10" i="218" s="1"/>
  <c r="P10" i="218" s="1"/>
  <c r="E8" i="217"/>
  <c r="O8" i="217" s="1"/>
  <c r="D8" i="218" s="1"/>
  <c r="N8" i="218" s="1"/>
  <c r="N9" i="218" l="1"/>
  <c r="P9" i="218" s="1"/>
  <c r="P8" i="218"/>
  <c r="P12" i="218"/>
  <c r="P13" i="218"/>
  <c r="O12" i="216"/>
  <c r="D12" i="217" s="1"/>
  <c r="N12" i="217" s="1"/>
  <c r="P12" i="217" s="1"/>
  <c r="O10" i="216"/>
  <c r="E9" i="216"/>
  <c r="O9" i="216" s="1"/>
  <c r="D9" i="217" s="1"/>
  <c r="N9" i="217" s="1"/>
  <c r="P9" i="217" s="1"/>
  <c r="E13" i="216"/>
  <c r="O13" i="216" s="1"/>
  <c r="D13" i="217" s="1"/>
  <c r="N13" i="217" s="1"/>
  <c r="P13" i="217" s="1"/>
  <c r="E8" i="216"/>
  <c r="O8" i="216" s="1"/>
  <c r="D8" i="217" s="1"/>
  <c r="N8" i="217" s="1"/>
  <c r="P8" i="217" s="1"/>
  <c r="D27" i="217"/>
  <c r="N27" i="217" s="1"/>
  <c r="P27" i="217" s="1"/>
  <c r="D28" i="217"/>
  <c r="D29" i="217"/>
  <c r="N29" i="217" s="1"/>
  <c r="P29" i="217" s="1"/>
  <c r="D26" i="217"/>
  <c r="N26" i="217" s="1"/>
  <c r="P26" i="217" s="1"/>
  <c r="D10" i="217"/>
  <c r="D11" i="217"/>
  <c r="N11" i="217" s="1"/>
  <c r="P11" i="217" s="1"/>
  <c r="D14" i="217"/>
  <c r="N14" i="217" s="1"/>
  <c r="P14" i="217" s="1"/>
  <c r="D15" i="217"/>
  <c r="D16" i="217"/>
  <c r="N16" i="217" s="1"/>
  <c r="P16" i="217" s="1"/>
  <c r="D17" i="217"/>
  <c r="N17" i="217" s="1"/>
  <c r="P17" i="217" s="1"/>
  <c r="D18" i="217"/>
  <c r="N18" i="217" s="1"/>
  <c r="P18" i="217" s="1"/>
  <c r="D19" i="217"/>
  <c r="D20" i="217"/>
  <c r="D21" i="217"/>
  <c r="D22" i="217"/>
  <c r="N22" i="217" s="1"/>
  <c r="P22" i="217" s="1"/>
  <c r="D23" i="217"/>
  <c r="N23" i="217" s="1"/>
  <c r="P23" i="217" s="1"/>
  <c r="D24" i="217"/>
  <c r="N24" i="217" s="1"/>
  <c r="P24" i="217" s="1"/>
  <c r="D5" i="217"/>
  <c r="E5" i="217" s="1"/>
  <c r="N30" i="217"/>
  <c r="N28" i="217"/>
  <c r="P28" i="217" s="1"/>
  <c r="N21" i="217"/>
  <c r="P21" i="217" s="1"/>
  <c r="N20" i="217"/>
  <c r="N19" i="217"/>
  <c r="P19" i="217" s="1"/>
  <c r="N15" i="217"/>
  <c r="P15" i="217" s="1"/>
  <c r="N10" i="217"/>
  <c r="P10" i="217" s="1"/>
  <c r="O13" i="215" l="1"/>
  <c r="O12" i="215"/>
  <c r="D12" i="216" s="1"/>
  <c r="N12" i="216" s="1"/>
  <c r="P12" i="216" s="1"/>
  <c r="O10" i="215"/>
  <c r="E23" i="215"/>
  <c r="E8" i="215"/>
  <c r="O8" i="215" s="1"/>
  <c r="D8" i="216" s="1"/>
  <c r="N8" i="216" s="1"/>
  <c r="P8" i="216" s="1"/>
  <c r="D27" i="216"/>
  <c r="N27" i="216" s="1"/>
  <c r="P27" i="216" s="1"/>
  <c r="D28" i="216"/>
  <c r="D29" i="216"/>
  <c r="N29" i="216" s="1"/>
  <c r="P29" i="216" s="1"/>
  <c r="D26" i="216"/>
  <c r="N26" i="216" s="1"/>
  <c r="P26" i="216" s="1"/>
  <c r="D9" i="216"/>
  <c r="N9" i="216" s="1"/>
  <c r="P9" i="216" s="1"/>
  <c r="D10" i="216"/>
  <c r="N10" i="216" s="1"/>
  <c r="P10" i="216" s="1"/>
  <c r="D11" i="216"/>
  <c r="N11" i="216" s="1"/>
  <c r="P11" i="216" s="1"/>
  <c r="D13" i="216"/>
  <c r="N13" i="216" s="1"/>
  <c r="P13" i="216" s="1"/>
  <c r="D14" i="216"/>
  <c r="N14" i="216" s="1"/>
  <c r="P14" i="216" s="1"/>
  <c r="D15" i="216"/>
  <c r="N15" i="216" s="1"/>
  <c r="P15" i="216" s="1"/>
  <c r="D16" i="216"/>
  <c r="N16" i="216" s="1"/>
  <c r="P16" i="216" s="1"/>
  <c r="D17" i="216"/>
  <c r="N17" i="216" s="1"/>
  <c r="P17" i="216" s="1"/>
  <c r="D18" i="216"/>
  <c r="N18" i="216" s="1"/>
  <c r="P18" i="216" s="1"/>
  <c r="D19" i="216"/>
  <c r="N19" i="216" s="1"/>
  <c r="P19" i="216" s="1"/>
  <c r="D20" i="216"/>
  <c r="N20" i="216" s="1"/>
  <c r="D21" i="216"/>
  <c r="N21" i="216" s="1"/>
  <c r="P21" i="216" s="1"/>
  <c r="D22" i="216"/>
  <c r="N22" i="216" s="1"/>
  <c r="P22" i="216" s="1"/>
  <c r="D23" i="216"/>
  <c r="N23" i="216" s="1"/>
  <c r="P23" i="216" s="1"/>
  <c r="D24" i="216"/>
  <c r="N24" i="216" s="1"/>
  <c r="P24" i="216" s="1"/>
  <c r="D5" i="216"/>
  <c r="E5" i="216" s="1"/>
  <c r="N30" i="216"/>
  <c r="N28" i="216"/>
  <c r="P28" i="216" s="1"/>
  <c r="D27" i="215" l="1"/>
  <c r="D28" i="215"/>
  <c r="N28" i="215" s="1"/>
  <c r="P28" i="215" s="1"/>
  <c r="D29" i="215"/>
  <c r="D26" i="215"/>
  <c r="N26" i="215" s="1"/>
  <c r="P26" i="215" s="1"/>
  <c r="D11" i="215"/>
  <c r="N11" i="215" s="1"/>
  <c r="P11" i="215" s="1"/>
  <c r="D14" i="215"/>
  <c r="N14" i="215" s="1"/>
  <c r="P14" i="215" s="1"/>
  <c r="D15" i="215"/>
  <c r="N15" i="215" s="1"/>
  <c r="P15" i="215" s="1"/>
  <c r="D16" i="215"/>
  <c r="N16" i="215" s="1"/>
  <c r="P16" i="215" s="1"/>
  <c r="D17" i="215"/>
  <c r="N17" i="215" s="1"/>
  <c r="P17" i="215" s="1"/>
  <c r="D18" i="215"/>
  <c r="N18" i="215" s="1"/>
  <c r="P18" i="215" s="1"/>
  <c r="D19" i="215"/>
  <c r="N19" i="215" s="1"/>
  <c r="P19" i="215" s="1"/>
  <c r="D20" i="215"/>
  <c r="N20" i="215" s="1"/>
  <c r="D21" i="215"/>
  <c r="N21" i="215" s="1"/>
  <c r="P21" i="215" s="1"/>
  <c r="D22" i="215"/>
  <c r="N22" i="215" s="1"/>
  <c r="P22" i="215" s="1"/>
  <c r="D23" i="215"/>
  <c r="N23" i="215" s="1"/>
  <c r="P23" i="215" s="1"/>
  <c r="D24" i="215"/>
  <c r="D5" i="215"/>
  <c r="O13" i="214"/>
  <c r="D13" i="215" s="1"/>
  <c r="N13" i="215" s="1"/>
  <c r="P13" i="215" s="1"/>
  <c r="O12" i="214"/>
  <c r="D12" i="215" s="1"/>
  <c r="N12" i="215" s="1"/>
  <c r="P12" i="215" s="1"/>
  <c r="O10" i="214"/>
  <c r="D10" i="215" s="1"/>
  <c r="N10" i="215" s="1"/>
  <c r="P10" i="215" s="1"/>
  <c r="O9" i="214"/>
  <c r="D9" i="215" s="1"/>
  <c r="N9" i="215" s="1"/>
  <c r="P9" i="215" s="1"/>
  <c r="O8" i="213"/>
  <c r="O8" i="214"/>
  <c r="D8" i="215" s="1"/>
  <c r="E23" i="214"/>
  <c r="E23" i="207"/>
  <c r="N30" i="215"/>
  <c r="N29" i="215"/>
  <c r="P29" i="215" s="1"/>
  <c r="N27" i="215"/>
  <c r="P27" i="215" s="1"/>
  <c r="N24" i="215"/>
  <c r="P24" i="215" s="1"/>
  <c r="E5" i="215"/>
  <c r="N8" i="215" l="1"/>
  <c r="P8" i="215" s="1"/>
  <c r="D5" i="214" l="1"/>
  <c r="E5" i="214" s="1"/>
  <c r="D11" i="214"/>
  <c r="N11" i="214" s="1"/>
  <c r="P11" i="214" s="1"/>
  <c r="D14" i="214"/>
  <c r="N14" i="214" s="1"/>
  <c r="P14" i="214" s="1"/>
  <c r="D15" i="214"/>
  <c r="N15" i="214" s="1"/>
  <c r="P15" i="214" s="1"/>
  <c r="D16" i="214"/>
  <c r="N16" i="214" s="1"/>
  <c r="P16" i="214" s="1"/>
  <c r="D17" i="214"/>
  <c r="N17" i="214" s="1"/>
  <c r="P17" i="214" s="1"/>
  <c r="D18" i="214"/>
  <c r="N18" i="214" s="1"/>
  <c r="P18" i="214" s="1"/>
  <c r="D19" i="214"/>
  <c r="N19" i="214" s="1"/>
  <c r="P19" i="214" s="1"/>
  <c r="D20" i="214"/>
  <c r="N20" i="214" s="1"/>
  <c r="D21" i="214"/>
  <c r="N21" i="214" s="1"/>
  <c r="P21" i="214" s="1"/>
  <c r="D22" i="214"/>
  <c r="N22" i="214" s="1"/>
  <c r="P22" i="214" s="1"/>
  <c r="D23" i="214"/>
  <c r="D24" i="214"/>
  <c r="N24" i="214" s="1"/>
  <c r="P24" i="214" s="1"/>
  <c r="D8" i="214"/>
  <c r="N8" i="214" s="1"/>
  <c r="P8" i="214" s="1"/>
  <c r="D27" i="214"/>
  <c r="N27" i="214" s="1"/>
  <c r="P27" i="214" s="1"/>
  <c r="D28" i="214"/>
  <c r="N28" i="214" s="1"/>
  <c r="P28" i="214" s="1"/>
  <c r="D29" i="214"/>
  <c r="N29" i="214" s="1"/>
  <c r="P29" i="214" s="1"/>
  <c r="D26" i="214"/>
  <c r="N26" i="214" s="1"/>
  <c r="P26" i="214" s="1"/>
  <c r="N30" i="214"/>
  <c r="N23" i="214"/>
  <c r="P23" i="214" s="1"/>
  <c r="O13" i="213"/>
  <c r="D13" i="214" s="1"/>
  <c r="N13" i="214" s="1"/>
  <c r="O12" i="213"/>
  <c r="D12" i="214" s="1"/>
  <c r="N12" i="214" s="1"/>
  <c r="O10" i="213"/>
  <c r="D10" i="214" s="1"/>
  <c r="N10" i="214" s="1"/>
  <c r="P10" i="214" s="1"/>
  <c r="E9" i="213"/>
  <c r="O9" i="213" s="1"/>
  <c r="D9" i="214" s="1"/>
  <c r="N9" i="214" s="1"/>
  <c r="P9" i="214" s="1"/>
  <c r="P12" i="214" l="1"/>
  <c r="P13" i="214"/>
  <c r="D27" i="213"/>
  <c r="N27" i="213" s="1"/>
  <c r="P27" i="213" s="1"/>
  <c r="D28" i="213"/>
  <c r="D29" i="213"/>
  <c r="N29" i="213" s="1"/>
  <c r="P29" i="213" s="1"/>
  <c r="D26" i="213"/>
  <c r="N26" i="213" s="1"/>
  <c r="P26" i="213" s="1"/>
  <c r="D9" i="213"/>
  <c r="N9" i="213" s="1"/>
  <c r="P9" i="213" s="1"/>
  <c r="D11" i="213"/>
  <c r="N11" i="213" s="1"/>
  <c r="P11" i="213" s="1"/>
  <c r="D14" i="213"/>
  <c r="N14" i="213" s="1"/>
  <c r="P14" i="213" s="1"/>
  <c r="D15" i="213"/>
  <c r="N15" i="213" s="1"/>
  <c r="P15" i="213" s="1"/>
  <c r="D16" i="213"/>
  <c r="N16" i="213" s="1"/>
  <c r="P16" i="213" s="1"/>
  <c r="D17" i="213"/>
  <c r="N17" i="213" s="1"/>
  <c r="P17" i="213" s="1"/>
  <c r="D18" i="213"/>
  <c r="N18" i="213" s="1"/>
  <c r="P18" i="213" s="1"/>
  <c r="D19" i="213"/>
  <c r="N19" i="213" s="1"/>
  <c r="P19" i="213" s="1"/>
  <c r="D20" i="213"/>
  <c r="N20" i="213" s="1"/>
  <c r="D21" i="213"/>
  <c r="N21" i="213" s="1"/>
  <c r="P21" i="213" s="1"/>
  <c r="D22" i="213"/>
  <c r="N22" i="213" s="1"/>
  <c r="P22" i="213" s="1"/>
  <c r="D23" i="213"/>
  <c r="N23" i="213" s="1"/>
  <c r="P23" i="213" s="1"/>
  <c r="D24" i="213"/>
  <c r="N24" i="213" s="1"/>
  <c r="P24" i="213" s="1"/>
  <c r="D5" i="213"/>
  <c r="E5" i="213" s="1"/>
  <c r="N30" i="213"/>
  <c r="N28" i="213"/>
  <c r="P28" i="213" s="1"/>
  <c r="O13" i="212"/>
  <c r="D13" i="213" s="1"/>
  <c r="N13" i="213" s="1"/>
  <c r="O12" i="212"/>
  <c r="D12" i="213" s="1"/>
  <c r="N12" i="213" s="1"/>
  <c r="O10" i="212"/>
  <c r="D10" i="213" s="1"/>
  <c r="N10" i="213" s="1"/>
  <c r="P10" i="213" s="1"/>
  <c r="E8" i="212"/>
  <c r="O8" i="212" s="1"/>
  <c r="D8" i="213" s="1"/>
  <c r="N8" i="213" s="1"/>
  <c r="D27" i="212"/>
  <c r="N27" i="212" s="1"/>
  <c r="P27" i="212" s="1"/>
  <c r="D28" i="212"/>
  <c r="N28" i="212" s="1"/>
  <c r="P28" i="212" s="1"/>
  <c r="D29" i="212"/>
  <c r="N29" i="212" s="1"/>
  <c r="P29" i="212" s="1"/>
  <c r="D26" i="212"/>
  <c r="N26" i="212" s="1"/>
  <c r="P26" i="212" s="1"/>
  <c r="D5" i="212"/>
  <c r="E5" i="212" s="1"/>
  <c r="D9" i="212"/>
  <c r="N9" i="212" s="1"/>
  <c r="P9" i="212" s="1"/>
  <c r="D11" i="212"/>
  <c r="N11" i="212" s="1"/>
  <c r="P11" i="212" s="1"/>
  <c r="D14" i="212"/>
  <c r="N14" i="212" s="1"/>
  <c r="P14" i="212" s="1"/>
  <c r="D15" i="212"/>
  <c r="N15" i="212" s="1"/>
  <c r="P15" i="212" s="1"/>
  <c r="D16" i="212"/>
  <c r="N16" i="212" s="1"/>
  <c r="P16" i="212" s="1"/>
  <c r="D17" i="212"/>
  <c r="N17" i="212" s="1"/>
  <c r="P17" i="212" s="1"/>
  <c r="D18" i="212"/>
  <c r="N18" i="212" s="1"/>
  <c r="P18" i="212" s="1"/>
  <c r="D19" i="212"/>
  <c r="N19" i="212" s="1"/>
  <c r="P19" i="212" s="1"/>
  <c r="D20" i="212"/>
  <c r="N20" i="212" s="1"/>
  <c r="D21" i="212"/>
  <c r="N21" i="212" s="1"/>
  <c r="P21" i="212" s="1"/>
  <c r="D22" i="212"/>
  <c r="N22" i="212" s="1"/>
  <c r="P22" i="212" s="1"/>
  <c r="D23" i="212"/>
  <c r="D24" i="212"/>
  <c r="N24" i="212" s="1"/>
  <c r="P24" i="212" s="1"/>
  <c r="O13" i="211"/>
  <c r="D13" i="212" s="1"/>
  <c r="N13" i="212" s="1"/>
  <c r="O12" i="211"/>
  <c r="D12" i="212" s="1"/>
  <c r="N12" i="212" s="1"/>
  <c r="P12" i="212" s="1"/>
  <c r="O10" i="211"/>
  <c r="D10" i="212" s="1"/>
  <c r="N10" i="212" s="1"/>
  <c r="F10" i="210"/>
  <c r="E8" i="211"/>
  <c r="O8" i="211" s="1"/>
  <c r="D8" i="212" s="1"/>
  <c r="N30" i="212"/>
  <c r="N23" i="212"/>
  <c r="P23" i="212" s="1"/>
  <c r="N8" i="212" l="1"/>
  <c r="P8" i="212" s="1"/>
  <c r="P8" i="213"/>
  <c r="P12" i="213"/>
  <c r="P13" i="213"/>
  <c r="P13" i="212"/>
  <c r="P10" i="212"/>
  <c r="O13" i="210"/>
  <c r="D13" i="211" s="1"/>
  <c r="N13" i="211" s="1"/>
  <c r="P13" i="211" s="1"/>
  <c r="O12" i="210"/>
  <c r="D12" i="211" s="1"/>
  <c r="N12" i="211" s="1"/>
  <c r="P12" i="211" s="1"/>
  <c r="D10" i="211"/>
  <c r="N10" i="211" s="1"/>
  <c r="P10" i="211" s="1"/>
  <c r="E8" i="210"/>
  <c r="O8" i="210" s="1"/>
  <c r="D8" i="211" s="1"/>
  <c r="N8" i="211" s="1"/>
  <c r="P8" i="211" s="1"/>
  <c r="D27" i="211"/>
  <c r="N27" i="211" s="1"/>
  <c r="P27" i="211" s="1"/>
  <c r="D28" i="211"/>
  <c r="N28" i="211" s="1"/>
  <c r="P28" i="211" s="1"/>
  <c r="D29" i="211"/>
  <c r="N29" i="211" s="1"/>
  <c r="P29" i="211" s="1"/>
  <c r="D26" i="211"/>
  <c r="N26" i="211" s="1"/>
  <c r="P26" i="211" s="1"/>
  <c r="D9" i="211"/>
  <c r="N9" i="211" s="1"/>
  <c r="P9" i="211" s="1"/>
  <c r="D11" i="211"/>
  <c r="N11" i="211" s="1"/>
  <c r="P11" i="211" s="1"/>
  <c r="D14" i="211"/>
  <c r="D15" i="211"/>
  <c r="N15" i="211" s="1"/>
  <c r="P15" i="211" s="1"/>
  <c r="D16" i="211"/>
  <c r="N16" i="211" s="1"/>
  <c r="P16" i="211" s="1"/>
  <c r="D17" i="211"/>
  <c r="N17" i="211" s="1"/>
  <c r="P17" i="211" s="1"/>
  <c r="D18" i="211"/>
  <c r="N18" i="211" s="1"/>
  <c r="P18" i="211" s="1"/>
  <c r="D19" i="211"/>
  <c r="N19" i="211" s="1"/>
  <c r="P19" i="211" s="1"/>
  <c r="D20" i="211"/>
  <c r="N20" i="211" s="1"/>
  <c r="D21" i="211"/>
  <c r="D22" i="211"/>
  <c r="N22" i="211" s="1"/>
  <c r="P22" i="211" s="1"/>
  <c r="D23" i="211"/>
  <c r="N23" i="211" s="1"/>
  <c r="P23" i="211" s="1"/>
  <c r="D24" i="211"/>
  <c r="N24" i="211" s="1"/>
  <c r="P24" i="211" s="1"/>
  <c r="D5" i="211"/>
  <c r="E5" i="211" s="1"/>
  <c r="N30" i="211"/>
  <c r="N21" i="211"/>
  <c r="P21" i="211" s="1"/>
  <c r="N14" i="211"/>
  <c r="P14" i="211" s="1"/>
  <c r="O13" i="209" l="1"/>
  <c r="O12" i="209"/>
  <c r="O10" i="209"/>
  <c r="E29" i="209"/>
  <c r="E8" i="209"/>
  <c r="E9" i="209"/>
  <c r="O9" i="209" s="1"/>
  <c r="D27" i="210" l="1"/>
  <c r="N27" i="210" s="1"/>
  <c r="P27" i="210" s="1"/>
  <c r="D28" i="210"/>
  <c r="N28" i="210" s="1"/>
  <c r="P28" i="210" s="1"/>
  <c r="D29" i="210"/>
  <c r="N29" i="210" s="1"/>
  <c r="P29" i="210" s="1"/>
  <c r="D26" i="210"/>
  <c r="N26" i="210" s="1"/>
  <c r="P26" i="210" s="1"/>
  <c r="D9" i="210"/>
  <c r="N9" i="210" s="1"/>
  <c r="P9" i="210" s="1"/>
  <c r="D10" i="210"/>
  <c r="N10" i="210" s="1"/>
  <c r="P10" i="210" s="1"/>
  <c r="D11" i="210"/>
  <c r="N11" i="210" s="1"/>
  <c r="P11" i="210" s="1"/>
  <c r="D12" i="210"/>
  <c r="N12" i="210" s="1"/>
  <c r="P12" i="210" s="1"/>
  <c r="D13" i="210"/>
  <c r="N13" i="210" s="1"/>
  <c r="P13" i="210" s="1"/>
  <c r="D14" i="210"/>
  <c r="N14" i="210" s="1"/>
  <c r="P14" i="210" s="1"/>
  <c r="D15" i="210"/>
  <c r="N15" i="210" s="1"/>
  <c r="P15" i="210" s="1"/>
  <c r="D16" i="210"/>
  <c r="N16" i="210" s="1"/>
  <c r="P16" i="210" s="1"/>
  <c r="D17" i="210"/>
  <c r="N17" i="210" s="1"/>
  <c r="P17" i="210" s="1"/>
  <c r="D18" i="210"/>
  <c r="N18" i="210" s="1"/>
  <c r="P18" i="210" s="1"/>
  <c r="D19" i="210"/>
  <c r="N19" i="210" s="1"/>
  <c r="P19" i="210" s="1"/>
  <c r="D20" i="210"/>
  <c r="D21" i="210"/>
  <c r="D22" i="210"/>
  <c r="D23" i="210"/>
  <c r="D24" i="210"/>
  <c r="D8" i="210"/>
  <c r="N8" i="210" s="1"/>
  <c r="P8" i="210" s="1"/>
  <c r="D5" i="210"/>
  <c r="E5" i="210" s="1"/>
  <c r="N30" i="210"/>
  <c r="N24" i="210"/>
  <c r="P24" i="210" s="1"/>
  <c r="N23" i="210"/>
  <c r="P23" i="210" s="1"/>
  <c r="N22" i="210"/>
  <c r="P22" i="210" s="1"/>
  <c r="N21" i="210"/>
  <c r="P21" i="210" s="1"/>
  <c r="N20" i="210"/>
  <c r="D27" i="209" l="1"/>
  <c r="D28" i="209"/>
  <c r="D29" i="209"/>
  <c r="D26" i="209"/>
  <c r="D11" i="209"/>
  <c r="D14" i="209"/>
  <c r="D15" i="209"/>
  <c r="D16" i="209"/>
  <c r="D17" i="209"/>
  <c r="D18" i="209"/>
  <c r="D19" i="209"/>
  <c r="D20" i="209"/>
  <c r="D21" i="209"/>
  <c r="D22" i="209"/>
  <c r="D23" i="209"/>
  <c r="D24" i="209"/>
  <c r="N11" i="209" l="1"/>
  <c r="P11" i="209" s="1"/>
  <c r="N15" i="209"/>
  <c r="P15" i="209" s="1"/>
  <c r="N17" i="209"/>
  <c r="P17" i="209" s="1"/>
  <c r="N19" i="209"/>
  <c r="P19" i="209" s="1"/>
  <c r="N21" i="209"/>
  <c r="P21" i="209" s="1"/>
  <c r="N23" i="209"/>
  <c r="P23" i="209" s="1"/>
  <c r="D8" i="209"/>
  <c r="N8" i="209" s="1"/>
  <c r="P8" i="209" s="1"/>
  <c r="D5" i="209"/>
  <c r="E5" i="209" s="1"/>
  <c r="E23" i="208"/>
  <c r="O13" i="208"/>
  <c r="D13" i="209" s="1"/>
  <c r="N13" i="209" s="1"/>
  <c r="P13" i="209" s="1"/>
  <c r="O10" i="208"/>
  <c r="D10" i="209" s="1"/>
  <c r="N10" i="209" s="1"/>
  <c r="P10" i="209" s="1"/>
  <c r="E12" i="208"/>
  <c r="O12" i="208" s="1"/>
  <c r="D12" i="209" s="1"/>
  <c r="N12" i="209" s="1"/>
  <c r="P12" i="209" s="1"/>
  <c r="E8" i="208"/>
  <c r="E9" i="208"/>
  <c r="O9" i="208" s="1"/>
  <c r="D9" i="209" s="1"/>
  <c r="N9" i="209" s="1"/>
  <c r="P9" i="209" s="1"/>
  <c r="N30" i="209"/>
  <c r="N29" i="209"/>
  <c r="P29" i="209" s="1"/>
  <c r="N28" i="209"/>
  <c r="P28" i="209" s="1"/>
  <c r="N27" i="209"/>
  <c r="P27" i="209" s="1"/>
  <c r="N26" i="209"/>
  <c r="P26" i="209" s="1"/>
  <c r="N24" i="209"/>
  <c r="P24" i="209" s="1"/>
  <c r="N22" i="209"/>
  <c r="P22" i="209" s="1"/>
  <c r="N20" i="209"/>
  <c r="N18" i="209"/>
  <c r="P18" i="209" s="1"/>
  <c r="N16" i="209"/>
  <c r="P16" i="209" s="1"/>
  <c r="N14" i="209"/>
  <c r="P14" i="209" s="1"/>
  <c r="O13" i="207" l="1"/>
  <c r="D13" i="208" s="1"/>
  <c r="N13" i="208" s="1"/>
  <c r="P13" i="208" s="1"/>
  <c r="O12" i="207"/>
  <c r="D12" i="208" s="1"/>
  <c r="N12" i="208" s="1"/>
  <c r="P12" i="208" s="1"/>
  <c r="O10" i="207"/>
  <c r="D10" i="208" s="1"/>
  <c r="N10" i="208" s="1"/>
  <c r="P10" i="208" s="1"/>
  <c r="E9" i="207"/>
  <c r="O9" i="207" s="1"/>
  <c r="D9" i="208" s="1"/>
  <c r="N9" i="208" s="1"/>
  <c r="P9" i="208" s="1"/>
  <c r="E8" i="207"/>
  <c r="D27" i="208"/>
  <c r="N27" i="208" s="1"/>
  <c r="P27" i="208" s="1"/>
  <c r="D28" i="208"/>
  <c r="D29" i="208"/>
  <c r="N29" i="208" s="1"/>
  <c r="P29" i="208" s="1"/>
  <c r="D26" i="208"/>
  <c r="N26" i="208" s="1"/>
  <c r="P26" i="208" s="1"/>
  <c r="D11" i="208"/>
  <c r="D14" i="208"/>
  <c r="D15" i="208"/>
  <c r="D16" i="208"/>
  <c r="D17" i="208"/>
  <c r="N17" i="208" s="1"/>
  <c r="P17" i="208" s="1"/>
  <c r="D18" i="208"/>
  <c r="N18" i="208" s="1"/>
  <c r="P18" i="208" s="1"/>
  <c r="D19" i="208"/>
  <c r="N19" i="208" s="1"/>
  <c r="P19" i="208" s="1"/>
  <c r="D20" i="208"/>
  <c r="N20" i="208" s="1"/>
  <c r="D21" i="208"/>
  <c r="D22" i="208"/>
  <c r="N22" i="208" s="1"/>
  <c r="P22" i="208" s="1"/>
  <c r="D23" i="208"/>
  <c r="N23" i="208" s="1"/>
  <c r="P23" i="208" s="1"/>
  <c r="D24" i="208"/>
  <c r="N24" i="208" s="1"/>
  <c r="P24" i="208" s="1"/>
  <c r="D8" i="208"/>
  <c r="N8" i="208" s="1"/>
  <c r="P8" i="208" s="1"/>
  <c r="D5" i="208"/>
  <c r="E5" i="208" s="1"/>
  <c r="N30" i="208"/>
  <c r="N28" i="208"/>
  <c r="P28" i="208" s="1"/>
  <c r="N21" i="208"/>
  <c r="P21" i="208" s="1"/>
  <c r="N16" i="208"/>
  <c r="P16" i="208" s="1"/>
  <c r="N15" i="208"/>
  <c r="P15" i="208" s="1"/>
  <c r="N14" i="208"/>
  <c r="P14" i="208" s="1"/>
  <c r="N11" i="208"/>
  <c r="P11" i="208" s="1"/>
  <c r="O13" i="206" l="1"/>
  <c r="O12" i="206"/>
  <c r="O10" i="206"/>
  <c r="O9" i="206"/>
  <c r="O23" i="206"/>
  <c r="E23" i="206"/>
  <c r="E8" i="206"/>
  <c r="D27" i="207" l="1"/>
  <c r="N27" i="207" s="1"/>
  <c r="P27" i="207" s="1"/>
  <c r="D28" i="207"/>
  <c r="N28" i="207" s="1"/>
  <c r="P28" i="207" s="1"/>
  <c r="D29" i="207"/>
  <c r="N29" i="207" s="1"/>
  <c r="P29" i="207" s="1"/>
  <c r="D26" i="207"/>
  <c r="N26" i="207" s="1"/>
  <c r="P26" i="207" s="1"/>
  <c r="D9" i="207"/>
  <c r="N9" i="207" s="1"/>
  <c r="P9" i="207" s="1"/>
  <c r="D10" i="207"/>
  <c r="N10" i="207" s="1"/>
  <c r="P10" i="207" s="1"/>
  <c r="D11" i="207"/>
  <c r="N11" i="207" s="1"/>
  <c r="P11" i="207" s="1"/>
  <c r="D12" i="207"/>
  <c r="N12" i="207" s="1"/>
  <c r="P12" i="207" s="1"/>
  <c r="D13" i="207"/>
  <c r="N13" i="207" s="1"/>
  <c r="P13" i="207" s="1"/>
  <c r="D14" i="207"/>
  <c r="N14" i="207" s="1"/>
  <c r="P14" i="207" s="1"/>
  <c r="D15" i="207"/>
  <c r="N15" i="207" s="1"/>
  <c r="P15" i="207" s="1"/>
  <c r="D16" i="207"/>
  <c r="N16" i="207" s="1"/>
  <c r="P16" i="207" s="1"/>
  <c r="D17" i="207"/>
  <c r="N17" i="207" s="1"/>
  <c r="P17" i="207" s="1"/>
  <c r="D18" i="207"/>
  <c r="N18" i="207" s="1"/>
  <c r="P18" i="207" s="1"/>
  <c r="D19" i="207"/>
  <c r="N19" i="207" s="1"/>
  <c r="P19" i="207" s="1"/>
  <c r="D20" i="207"/>
  <c r="N20" i="207" s="1"/>
  <c r="D21" i="207"/>
  <c r="N21" i="207" s="1"/>
  <c r="P21" i="207" s="1"/>
  <c r="D22" i="207"/>
  <c r="N22" i="207" s="1"/>
  <c r="P22" i="207" s="1"/>
  <c r="D23" i="207"/>
  <c r="N23" i="207" s="1"/>
  <c r="P23" i="207" s="1"/>
  <c r="D24" i="207"/>
  <c r="D8" i="207"/>
  <c r="N8" i="207" s="1"/>
  <c r="P8" i="207" s="1"/>
  <c r="D5" i="207"/>
  <c r="E5" i="207" s="1"/>
  <c r="N30" i="207"/>
  <c r="N24" i="207"/>
  <c r="P24" i="207" s="1"/>
  <c r="D27" i="206" l="1"/>
  <c r="N27" i="206" s="1"/>
  <c r="P27" i="206" s="1"/>
  <c r="D28" i="206"/>
  <c r="N28" i="206" s="1"/>
  <c r="P28" i="206" s="1"/>
  <c r="D29" i="206"/>
  <c r="N29" i="206" s="1"/>
  <c r="P29" i="206" s="1"/>
  <c r="D26" i="206"/>
  <c r="N26" i="206" s="1"/>
  <c r="P26" i="206" s="1"/>
  <c r="D11" i="206"/>
  <c r="N11" i="206" s="1"/>
  <c r="P11" i="206" s="1"/>
  <c r="D14" i="206"/>
  <c r="N14" i="206" s="1"/>
  <c r="P14" i="206" s="1"/>
  <c r="D15" i="206"/>
  <c r="N15" i="206" s="1"/>
  <c r="P15" i="206" s="1"/>
  <c r="D16" i="206"/>
  <c r="N16" i="206" s="1"/>
  <c r="P16" i="206" s="1"/>
  <c r="D17" i="206"/>
  <c r="N17" i="206" s="1"/>
  <c r="P17" i="206" s="1"/>
  <c r="D18" i="206"/>
  <c r="N18" i="206" s="1"/>
  <c r="P18" i="206" s="1"/>
  <c r="D19" i="206"/>
  <c r="N19" i="206" s="1"/>
  <c r="P19" i="206" s="1"/>
  <c r="D20" i="206"/>
  <c r="N20" i="206" s="1"/>
  <c r="D21" i="206"/>
  <c r="N21" i="206" s="1"/>
  <c r="P21" i="206" s="1"/>
  <c r="D22" i="206"/>
  <c r="N22" i="206" s="1"/>
  <c r="P22" i="206" s="1"/>
  <c r="D23" i="206"/>
  <c r="N23" i="206" s="1"/>
  <c r="P23" i="206" s="1"/>
  <c r="D24" i="206"/>
  <c r="N24" i="206" s="1"/>
  <c r="P24" i="206" s="1"/>
  <c r="D8" i="206"/>
  <c r="N8" i="206" s="1"/>
  <c r="D5" i="206"/>
  <c r="E5" i="206" s="1"/>
  <c r="N30" i="206"/>
  <c r="O13" i="205"/>
  <c r="D13" i="206" s="1"/>
  <c r="N13" i="206" s="1"/>
  <c r="O12" i="205"/>
  <c r="D12" i="206" s="1"/>
  <c r="N12" i="206" s="1"/>
  <c r="O9" i="205"/>
  <c r="D9" i="206" s="1"/>
  <c r="N9" i="206" s="1"/>
  <c r="E10" i="205"/>
  <c r="O10" i="205" s="1"/>
  <c r="D10" i="206" s="1"/>
  <c r="N10" i="206" s="1"/>
  <c r="E8" i="205"/>
  <c r="D27" i="205"/>
  <c r="N27" i="205" s="1"/>
  <c r="P27" i="205" s="1"/>
  <c r="D28" i="205"/>
  <c r="N28" i="205" s="1"/>
  <c r="P28" i="205" s="1"/>
  <c r="D29" i="205"/>
  <c r="D26" i="205"/>
  <c r="N26" i="205" s="1"/>
  <c r="P26" i="205" s="1"/>
  <c r="D11" i="205"/>
  <c r="N11" i="205" s="1"/>
  <c r="P11" i="205" s="1"/>
  <c r="D14" i="205"/>
  <c r="N14" i="205" s="1"/>
  <c r="P14" i="205" s="1"/>
  <c r="D15" i="205"/>
  <c r="N15" i="205" s="1"/>
  <c r="P15" i="205" s="1"/>
  <c r="D16" i="205"/>
  <c r="N16" i="205" s="1"/>
  <c r="P16" i="205" s="1"/>
  <c r="D17" i="205"/>
  <c r="N17" i="205" s="1"/>
  <c r="P17" i="205" s="1"/>
  <c r="D18" i="205"/>
  <c r="N18" i="205" s="1"/>
  <c r="P18" i="205" s="1"/>
  <c r="D19" i="205"/>
  <c r="N19" i="205" s="1"/>
  <c r="P19" i="205" s="1"/>
  <c r="D20" i="205"/>
  <c r="N20" i="205" s="1"/>
  <c r="D21" i="205"/>
  <c r="N21" i="205" s="1"/>
  <c r="P21" i="205" s="1"/>
  <c r="D22" i="205"/>
  <c r="N22" i="205" s="1"/>
  <c r="P22" i="205" s="1"/>
  <c r="D23" i="205"/>
  <c r="N23" i="205" s="1"/>
  <c r="P23" i="205" s="1"/>
  <c r="D24" i="205"/>
  <c r="D5" i="205"/>
  <c r="E5" i="205" s="1"/>
  <c r="N30" i="205"/>
  <c r="N29" i="205"/>
  <c r="P29" i="205" s="1"/>
  <c r="N24" i="205"/>
  <c r="P24" i="205" s="1"/>
  <c r="O13" i="204"/>
  <c r="D13" i="205" s="1"/>
  <c r="N13" i="205" s="1"/>
  <c r="O12" i="204"/>
  <c r="D12" i="205" s="1"/>
  <c r="N12" i="205" s="1"/>
  <c r="O10" i="204"/>
  <c r="D10" i="205" s="1"/>
  <c r="O8" i="204"/>
  <c r="D8" i="205" s="1"/>
  <c r="D9" i="204"/>
  <c r="D11" i="204"/>
  <c r="D14" i="204"/>
  <c r="D15" i="204"/>
  <c r="D16" i="204"/>
  <c r="D17" i="204"/>
  <c r="D18" i="204"/>
  <c r="D19" i="204"/>
  <c r="D20" i="204"/>
  <c r="D21" i="204"/>
  <c r="D22" i="204"/>
  <c r="D23" i="204"/>
  <c r="D24" i="204"/>
  <c r="E9" i="204"/>
  <c r="O9" i="204" s="1"/>
  <c r="D9" i="205" s="1"/>
  <c r="N9" i="205" s="1"/>
  <c r="P8" i="206" l="1"/>
  <c r="P9" i="206"/>
  <c r="P10" i="206"/>
  <c r="P12" i="206"/>
  <c r="P13" i="206"/>
  <c r="N10" i="205"/>
  <c r="P10" i="205" s="1"/>
  <c r="N8" i="205"/>
  <c r="P8" i="205" s="1"/>
  <c r="P9" i="205"/>
  <c r="P12" i="205"/>
  <c r="P13" i="205"/>
  <c r="O13" i="202"/>
  <c r="D13" i="204" s="1"/>
  <c r="O12" i="202"/>
  <c r="D12" i="204" s="1"/>
  <c r="O10" i="202"/>
  <c r="D10" i="204" s="1"/>
  <c r="E8" i="202"/>
  <c r="O8" i="202" s="1"/>
  <c r="D8" i="204" s="1"/>
  <c r="N9" i="204" l="1"/>
  <c r="P9" i="204" s="1"/>
  <c r="N11" i="204"/>
  <c r="P11" i="204" s="1"/>
  <c r="N13" i="204"/>
  <c r="P13" i="204" s="1"/>
  <c r="N15" i="204"/>
  <c r="P15" i="204" s="1"/>
  <c r="N17" i="204"/>
  <c r="P17" i="204" s="1"/>
  <c r="N19" i="204"/>
  <c r="P19" i="204" s="1"/>
  <c r="N21" i="204"/>
  <c r="P21" i="204" s="1"/>
  <c r="N23" i="204"/>
  <c r="P23" i="204" s="1"/>
  <c r="N8" i="204"/>
  <c r="P8" i="204" s="1"/>
  <c r="D27" i="204"/>
  <c r="N27" i="204" s="1"/>
  <c r="P27" i="204" s="1"/>
  <c r="D28" i="204"/>
  <c r="N28" i="204" s="1"/>
  <c r="P28" i="204" s="1"/>
  <c r="D29" i="204"/>
  <c r="N29" i="204" s="1"/>
  <c r="P29" i="204" s="1"/>
  <c r="D26" i="204"/>
  <c r="N26" i="204" s="1"/>
  <c r="P26" i="204" s="1"/>
  <c r="D5" i="204"/>
  <c r="E5" i="204" s="1"/>
  <c r="N30" i="204"/>
  <c r="N24" i="204"/>
  <c r="P24" i="204" s="1"/>
  <c r="N22" i="204"/>
  <c r="P22" i="204" s="1"/>
  <c r="N20" i="204"/>
  <c r="N18" i="204"/>
  <c r="P18" i="204" s="1"/>
  <c r="N16" i="204"/>
  <c r="P16" i="204" s="1"/>
  <c r="N14" i="204"/>
  <c r="P14" i="204" s="1"/>
  <c r="N12" i="204"/>
  <c r="P12" i="204" s="1"/>
  <c r="N10" i="204"/>
  <c r="P10" i="204" s="1"/>
  <c r="D27" i="202" l="1"/>
  <c r="N27" i="202" s="1"/>
  <c r="P27" i="202" s="1"/>
  <c r="D28" i="202"/>
  <c r="N28" i="202" s="1"/>
  <c r="P28" i="202" s="1"/>
  <c r="D29" i="202"/>
  <c r="N29" i="202" s="1"/>
  <c r="P29" i="202" s="1"/>
  <c r="D26" i="202"/>
  <c r="N26" i="202" s="1"/>
  <c r="P26" i="202" s="1"/>
  <c r="D11" i="202"/>
  <c r="N11" i="202" s="1"/>
  <c r="P11" i="202" s="1"/>
  <c r="D14" i="202"/>
  <c r="N14" i="202" s="1"/>
  <c r="P14" i="202" s="1"/>
  <c r="D15" i="202"/>
  <c r="N15" i="202" s="1"/>
  <c r="P15" i="202" s="1"/>
  <c r="D16" i="202"/>
  <c r="N16" i="202" s="1"/>
  <c r="P16" i="202" s="1"/>
  <c r="D17" i="202"/>
  <c r="N17" i="202" s="1"/>
  <c r="P17" i="202" s="1"/>
  <c r="D18" i="202"/>
  <c r="N18" i="202" s="1"/>
  <c r="P18" i="202" s="1"/>
  <c r="D19" i="202"/>
  <c r="N19" i="202" s="1"/>
  <c r="P19" i="202" s="1"/>
  <c r="D20" i="202"/>
  <c r="N20" i="202" s="1"/>
  <c r="D21" i="202"/>
  <c r="N21" i="202" s="1"/>
  <c r="P21" i="202" s="1"/>
  <c r="D22" i="202"/>
  <c r="N22" i="202" s="1"/>
  <c r="P22" i="202" s="1"/>
  <c r="D23" i="202"/>
  <c r="N23" i="202" s="1"/>
  <c r="P23" i="202" s="1"/>
  <c r="D24" i="202"/>
  <c r="N24" i="202" s="1"/>
  <c r="P24" i="202" s="1"/>
  <c r="D5" i="202"/>
  <c r="E5" i="202" s="1"/>
  <c r="N30" i="202"/>
  <c r="O13" i="201"/>
  <c r="D13" i="202" s="1"/>
  <c r="N13" i="202" s="1"/>
  <c r="O10" i="201"/>
  <c r="D10" i="202" s="1"/>
  <c r="N10" i="202" s="1"/>
  <c r="E12" i="201"/>
  <c r="O12" i="201" s="1"/>
  <c r="D12" i="202" s="1"/>
  <c r="N12" i="202" s="1"/>
  <c r="E8" i="201"/>
  <c r="O8" i="201" s="1"/>
  <c r="D8" i="202" s="1"/>
  <c r="N8" i="202" s="1"/>
  <c r="E9" i="201"/>
  <c r="O9" i="201" s="1"/>
  <c r="D9" i="202" s="1"/>
  <c r="N9" i="202" s="1"/>
  <c r="P9" i="202" l="1"/>
  <c r="P10" i="202"/>
  <c r="P8" i="202"/>
  <c r="P12" i="202"/>
  <c r="P13" i="202"/>
  <c r="O13" i="200"/>
  <c r="O12" i="200"/>
  <c r="D12" i="201" s="1"/>
  <c r="N12" i="201" s="1"/>
  <c r="P12" i="201" s="1"/>
  <c r="O10" i="200"/>
  <c r="D10" i="201" s="1"/>
  <c r="N10" i="201" s="1"/>
  <c r="P10" i="201" s="1"/>
  <c r="O9" i="200"/>
  <c r="D9" i="201" s="1"/>
  <c r="N9" i="201" s="1"/>
  <c r="P9" i="201" s="1"/>
  <c r="O8" i="199"/>
  <c r="E8" i="200"/>
  <c r="O8" i="200" s="1"/>
  <c r="D8" i="201" s="1"/>
  <c r="N8" i="201" s="1"/>
  <c r="P8" i="201" s="1"/>
  <c r="E23" i="200"/>
  <c r="D11" i="201"/>
  <c r="N11" i="201" s="1"/>
  <c r="P11" i="201" s="1"/>
  <c r="D13" i="201"/>
  <c r="N13" i="201" s="1"/>
  <c r="P13" i="201" s="1"/>
  <c r="D14" i="201"/>
  <c r="N14" i="201" s="1"/>
  <c r="P14" i="201" s="1"/>
  <c r="D15" i="201"/>
  <c r="N15" i="201" s="1"/>
  <c r="P15" i="201" s="1"/>
  <c r="D16" i="201"/>
  <c r="N16" i="201" s="1"/>
  <c r="P16" i="201" s="1"/>
  <c r="D17" i="201"/>
  <c r="N17" i="201" s="1"/>
  <c r="P17" i="201" s="1"/>
  <c r="D18" i="201"/>
  <c r="N18" i="201" s="1"/>
  <c r="P18" i="201" s="1"/>
  <c r="D19" i="201"/>
  <c r="N19" i="201" s="1"/>
  <c r="P19" i="201" s="1"/>
  <c r="D20" i="201"/>
  <c r="N20" i="201" s="1"/>
  <c r="D21" i="201"/>
  <c r="N21" i="201" s="1"/>
  <c r="P21" i="201" s="1"/>
  <c r="D22" i="201"/>
  <c r="N22" i="201" s="1"/>
  <c r="P22" i="201" s="1"/>
  <c r="D23" i="201"/>
  <c r="N23" i="201" s="1"/>
  <c r="P23" i="201" s="1"/>
  <c r="D24" i="201"/>
  <c r="D5" i="201"/>
  <c r="E5" i="201" s="1"/>
  <c r="D27" i="201"/>
  <c r="N27" i="201" s="1"/>
  <c r="P27" i="201" s="1"/>
  <c r="D28" i="201"/>
  <c r="D29" i="201"/>
  <c r="N29" i="201" s="1"/>
  <c r="P29" i="201" s="1"/>
  <c r="D26" i="201"/>
  <c r="N26" i="201" s="1"/>
  <c r="P26" i="201" s="1"/>
  <c r="N30" i="201"/>
  <c r="N28" i="201"/>
  <c r="P28" i="201" s="1"/>
  <c r="N24" i="201"/>
  <c r="P24" i="201" s="1"/>
  <c r="O13" i="196" l="1"/>
  <c r="O13" i="193"/>
  <c r="O12" i="199"/>
  <c r="O12" i="198"/>
  <c r="O12" i="197"/>
  <c r="O10" i="196"/>
  <c r="O13" i="199" l="1"/>
  <c r="E8" i="198"/>
  <c r="O8" i="198" s="1"/>
  <c r="O10" i="199"/>
  <c r="E9" i="199"/>
  <c r="O9" i="199" s="1"/>
  <c r="D27" i="200" l="1"/>
  <c r="N27" i="200" s="1"/>
  <c r="P27" i="200" s="1"/>
  <c r="D28" i="200"/>
  <c r="N28" i="200" s="1"/>
  <c r="P28" i="200" s="1"/>
  <c r="D29" i="200"/>
  <c r="N29" i="200" s="1"/>
  <c r="P29" i="200" s="1"/>
  <c r="D26" i="200"/>
  <c r="N26" i="200" s="1"/>
  <c r="P26" i="200" s="1"/>
  <c r="D9" i="200"/>
  <c r="N9" i="200" s="1"/>
  <c r="P9" i="200" s="1"/>
  <c r="D10" i="200"/>
  <c r="N10" i="200" s="1"/>
  <c r="P10" i="200" s="1"/>
  <c r="D11" i="200"/>
  <c r="N11" i="200" s="1"/>
  <c r="P11" i="200" s="1"/>
  <c r="D12" i="200"/>
  <c r="N12" i="200" s="1"/>
  <c r="P12" i="200" s="1"/>
  <c r="D13" i="200"/>
  <c r="N13" i="200" s="1"/>
  <c r="P13" i="200" s="1"/>
  <c r="D14" i="200"/>
  <c r="N14" i="200" s="1"/>
  <c r="P14" i="200" s="1"/>
  <c r="D15" i="200"/>
  <c r="N15" i="200" s="1"/>
  <c r="P15" i="200" s="1"/>
  <c r="D16" i="200"/>
  <c r="N16" i="200" s="1"/>
  <c r="P16" i="200" s="1"/>
  <c r="D17" i="200"/>
  <c r="N17" i="200" s="1"/>
  <c r="P17" i="200" s="1"/>
  <c r="D18" i="200"/>
  <c r="N18" i="200" s="1"/>
  <c r="P18" i="200" s="1"/>
  <c r="D19" i="200"/>
  <c r="N19" i="200" s="1"/>
  <c r="P19" i="200" s="1"/>
  <c r="D20" i="200"/>
  <c r="N20" i="200" s="1"/>
  <c r="D21" i="200"/>
  <c r="N21" i="200" s="1"/>
  <c r="P21" i="200" s="1"/>
  <c r="D22" i="200"/>
  <c r="N22" i="200" s="1"/>
  <c r="P22" i="200" s="1"/>
  <c r="D23" i="200"/>
  <c r="N23" i="200" s="1"/>
  <c r="P23" i="200" s="1"/>
  <c r="D24" i="200"/>
  <c r="N24" i="200" s="1"/>
  <c r="P24" i="200" s="1"/>
  <c r="D8" i="200"/>
  <c r="N8" i="200" s="1"/>
  <c r="P8" i="200" s="1"/>
  <c r="D5" i="200"/>
  <c r="E5" i="200" s="1"/>
  <c r="N30" i="200"/>
  <c r="D12" i="198" l="1"/>
  <c r="N12" i="198" s="1"/>
  <c r="D8" i="199"/>
  <c r="N8" i="199" s="1"/>
  <c r="O8" i="197"/>
  <c r="D8" i="198" s="1"/>
  <c r="D5" i="197"/>
  <c r="E23" i="195"/>
  <c r="D27" i="199"/>
  <c r="N27" i="199" s="1"/>
  <c r="P27" i="199" s="1"/>
  <c r="D28" i="199"/>
  <c r="D29" i="199"/>
  <c r="N29" i="199" s="1"/>
  <c r="P29" i="199" s="1"/>
  <c r="D26" i="199"/>
  <c r="N26" i="199" s="1"/>
  <c r="P26" i="199" s="1"/>
  <c r="D11" i="199"/>
  <c r="N11" i="199" s="1"/>
  <c r="P11" i="199" s="1"/>
  <c r="D12" i="199"/>
  <c r="N12" i="199" s="1"/>
  <c r="P12" i="199" s="1"/>
  <c r="D14" i="199"/>
  <c r="N14" i="199" s="1"/>
  <c r="P14" i="199" s="1"/>
  <c r="D15" i="199"/>
  <c r="N15" i="199" s="1"/>
  <c r="P15" i="199" s="1"/>
  <c r="D16" i="199"/>
  <c r="N16" i="199" s="1"/>
  <c r="P16" i="199" s="1"/>
  <c r="D17" i="199"/>
  <c r="N17" i="199" s="1"/>
  <c r="P17" i="199" s="1"/>
  <c r="D18" i="199"/>
  <c r="N18" i="199" s="1"/>
  <c r="P18" i="199" s="1"/>
  <c r="D19" i="199"/>
  <c r="D20" i="199"/>
  <c r="N20" i="199" s="1"/>
  <c r="D21" i="199"/>
  <c r="N21" i="199" s="1"/>
  <c r="P21" i="199" s="1"/>
  <c r="D22" i="199"/>
  <c r="N22" i="199" s="1"/>
  <c r="P22" i="199" s="1"/>
  <c r="D23" i="199"/>
  <c r="N23" i="199" s="1"/>
  <c r="P23" i="199" s="1"/>
  <c r="D24" i="199"/>
  <c r="D5" i="199"/>
  <c r="E5" i="199" s="1"/>
  <c r="N30" i="199"/>
  <c r="N28" i="199"/>
  <c r="P28" i="199" s="1"/>
  <c r="N24" i="199"/>
  <c r="P24" i="199" s="1"/>
  <c r="N19" i="199"/>
  <c r="P19" i="199" s="1"/>
  <c r="O13" i="198"/>
  <c r="D13" i="199" s="1"/>
  <c r="N13" i="199" s="1"/>
  <c r="P13" i="199" s="1"/>
  <c r="O10" i="198"/>
  <c r="D10" i="199" s="1"/>
  <c r="N10" i="199" s="1"/>
  <c r="P10" i="199" s="1"/>
  <c r="O9" i="198"/>
  <c r="D9" i="199" s="1"/>
  <c r="N9" i="199" s="1"/>
  <c r="P9" i="199" s="1"/>
  <c r="E23" i="198"/>
  <c r="O13" i="197"/>
  <c r="D13" i="198" s="1"/>
  <c r="N13" i="198" s="1"/>
  <c r="O10" i="197"/>
  <c r="D10" i="198" s="1"/>
  <c r="N10" i="198" s="1"/>
  <c r="D27" i="198"/>
  <c r="N27" i="198" s="1"/>
  <c r="P27" i="198" s="1"/>
  <c r="D28" i="198"/>
  <c r="N28" i="198" s="1"/>
  <c r="P28" i="198" s="1"/>
  <c r="D29" i="198"/>
  <c r="N29" i="198" s="1"/>
  <c r="P29" i="198" s="1"/>
  <c r="D26" i="198"/>
  <c r="N26" i="198" s="1"/>
  <c r="P26" i="198" s="1"/>
  <c r="D11" i="198"/>
  <c r="N11" i="198" s="1"/>
  <c r="P11" i="198" s="1"/>
  <c r="D14" i="198"/>
  <c r="D15" i="198"/>
  <c r="N15" i="198" s="1"/>
  <c r="P15" i="198" s="1"/>
  <c r="D17" i="198"/>
  <c r="N17" i="198" s="1"/>
  <c r="P17" i="198" s="1"/>
  <c r="D18" i="198"/>
  <c r="N18" i="198" s="1"/>
  <c r="P18" i="198" s="1"/>
  <c r="D19" i="198"/>
  <c r="N19" i="198" s="1"/>
  <c r="P19" i="198" s="1"/>
  <c r="D20" i="198"/>
  <c r="N20" i="198" s="1"/>
  <c r="D21" i="198"/>
  <c r="N21" i="198" s="1"/>
  <c r="P21" i="198" s="1"/>
  <c r="D22" i="198"/>
  <c r="N22" i="198" s="1"/>
  <c r="P22" i="198" s="1"/>
  <c r="D23" i="198"/>
  <c r="D24" i="198"/>
  <c r="N24" i="198" s="1"/>
  <c r="P24" i="198" s="1"/>
  <c r="D5" i="198"/>
  <c r="E5" i="198" s="1"/>
  <c r="N30" i="198"/>
  <c r="N14" i="198"/>
  <c r="P14" i="198" s="1"/>
  <c r="E9" i="197"/>
  <c r="O9" i="197" s="1"/>
  <c r="D9" i="198" s="1"/>
  <c r="N9" i="198" s="1"/>
  <c r="D9" i="197"/>
  <c r="D10" i="197"/>
  <c r="D11" i="197"/>
  <c r="D13" i="197"/>
  <c r="D14" i="197"/>
  <c r="D15" i="197"/>
  <c r="D16" i="197"/>
  <c r="D17" i="197"/>
  <c r="D18" i="197"/>
  <c r="D19" i="197"/>
  <c r="D20" i="197"/>
  <c r="D21" i="197"/>
  <c r="D22" i="197"/>
  <c r="D23" i="197"/>
  <c r="D24" i="197"/>
  <c r="D27" i="197"/>
  <c r="D28" i="197"/>
  <c r="D29" i="197"/>
  <c r="D26" i="197"/>
  <c r="E12" i="196"/>
  <c r="O12" i="196" s="1"/>
  <c r="D12" i="197" s="1"/>
  <c r="E8" i="196"/>
  <c r="O8" i="196" s="1"/>
  <c r="D8" i="197" s="1"/>
  <c r="N23" i="198" l="1"/>
  <c r="P23" i="198" s="1"/>
  <c r="P8" i="199"/>
  <c r="N8" i="198"/>
  <c r="P8" i="198" s="1"/>
  <c r="P10" i="198"/>
  <c r="P9" i="198"/>
  <c r="P12" i="198"/>
  <c r="P13" i="198"/>
  <c r="N30" i="197"/>
  <c r="N29" i="197"/>
  <c r="P29" i="197" s="1"/>
  <c r="N28" i="197"/>
  <c r="P28" i="197" s="1"/>
  <c r="N27" i="197"/>
  <c r="P27" i="197" s="1"/>
  <c r="N26" i="197"/>
  <c r="P26" i="197" s="1"/>
  <c r="N24" i="197"/>
  <c r="P24" i="197" s="1"/>
  <c r="N23" i="197"/>
  <c r="P23" i="197" s="1"/>
  <c r="N22" i="197"/>
  <c r="P22" i="197" s="1"/>
  <c r="N21" i="197"/>
  <c r="P21" i="197" s="1"/>
  <c r="N20" i="197"/>
  <c r="N19" i="197"/>
  <c r="P19" i="197" s="1"/>
  <c r="N18" i="197"/>
  <c r="P18" i="197" s="1"/>
  <c r="N17" i="197"/>
  <c r="P17" i="197" s="1"/>
  <c r="N16" i="197"/>
  <c r="N15" i="197"/>
  <c r="P15" i="197" s="1"/>
  <c r="N14" i="197"/>
  <c r="P14" i="197" s="1"/>
  <c r="N13" i="197"/>
  <c r="P13" i="197" s="1"/>
  <c r="N12" i="197"/>
  <c r="P12" i="197" s="1"/>
  <c r="N11" i="197"/>
  <c r="P11" i="197" s="1"/>
  <c r="N10" i="197"/>
  <c r="P10" i="197" s="1"/>
  <c r="N9" i="197"/>
  <c r="P9" i="197" s="1"/>
  <c r="N8" i="197"/>
  <c r="P8" i="197" s="1"/>
  <c r="E5" i="197"/>
  <c r="D9" i="195" l="1"/>
  <c r="D10" i="195"/>
  <c r="D11" i="195"/>
  <c r="D14" i="195"/>
  <c r="D15" i="195"/>
  <c r="D16" i="195"/>
  <c r="D17" i="195"/>
  <c r="D18" i="195"/>
  <c r="D19" i="195"/>
  <c r="D20" i="195"/>
  <c r="D21" i="195"/>
  <c r="D22" i="195"/>
  <c r="D23" i="195"/>
  <c r="D24" i="195"/>
  <c r="O12" i="194"/>
  <c r="D12" i="195" s="1"/>
  <c r="O13" i="194"/>
  <c r="D13" i="195" s="1"/>
  <c r="E8" i="194"/>
  <c r="D27" i="196" l="1"/>
  <c r="N27" i="196" s="1"/>
  <c r="P27" i="196" s="1"/>
  <c r="D28" i="196"/>
  <c r="D29" i="196"/>
  <c r="D26" i="196"/>
  <c r="N26" i="196" s="1"/>
  <c r="P26" i="196" s="1"/>
  <c r="D10" i="196"/>
  <c r="N10" i="196" s="1"/>
  <c r="P10" i="196" s="1"/>
  <c r="D11" i="196"/>
  <c r="N11" i="196" s="1"/>
  <c r="P11" i="196" s="1"/>
  <c r="D13" i="196"/>
  <c r="N13" i="196" s="1"/>
  <c r="D14" i="196"/>
  <c r="N14" i="196" s="1"/>
  <c r="P14" i="196" s="1"/>
  <c r="D15" i="196"/>
  <c r="N15" i="196" s="1"/>
  <c r="P15" i="196" s="1"/>
  <c r="D16" i="196"/>
  <c r="N16" i="196" s="1"/>
  <c r="P16" i="196" s="1"/>
  <c r="D17" i="196"/>
  <c r="N17" i="196" s="1"/>
  <c r="P17" i="196" s="1"/>
  <c r="D18" i="196"/>
  <c r="N18" i="196" s="1"/>
  <c r="P18" i="196" s="1"/>
  <c r="D19" i="196"/>
  <c r="N19" i="196" s="1"/>
  <c r="P19" i="196" s="1"/>
  <c r="D20" i="196"/>
  <c r="N20" i="196" s="1"/>
  <c r="D21" i="196"/>
  <c r="D22" i="196"/>
  <c r="N22" i="196" s="1"/>
  <c r="P22" i="196" s="1"/>
  <c r="D23" i="196"/>
  <c r="N23" i="196" s="1"/>
  <c r="P23" i="196" s="1"/>
  <c r="D24" i="196"/>
  <c r="N24" i="196" s="1"/>
  <c r="P24" i="196" s="1"/>
  <c r="D5" i="196"/>
  <c r="E5" i="196" s="1"/>
  <c r="N30" i="196"/>
  <c r="N29" i="196"/>
  <c r="P29" i="196" s="1"/>
  <c r="N28" i="196"/>
  <c r="P28" i="196" s="1"/>
  <c r="N21" i="196"/>
  <c r="P21" i="196" s="1"/>
  <c r="P13" i="196" l="1"/>
  <c r="O12" i="195"/>
  <c r="D12" i="196" s="1"/>
  <c r="N12" i="196" s="1"/>
  <c r="P12" i="196" s="1"/>
  <c r="O9" i="195"/>
  <c r="D9" i="196" s="1"/>
  <c r="N9" i="196" s="1"/>
  <c r="P9" i="196" s="1"/>
  <c r="E8" i="195"/>
  <c r="O8" i="195" s="1"/>
  <c r="D8" i="196" s="1"/>
  <c r="N8" i="196" s="1"/>
  <c r="P8" i="196" s="1"/>
  <c r="E8" i="191" l="1"/>
  <c r="N12" i="195" l="1"/>
  <c r="P12" i="195" s="1"/>
  <c r="O8" i="194"/>
  <c r="D8" i="195" s="1"/>
  <c r="N8" i="195" s="1"/>
  <c r="P8" i="195" s="1"/>
  <c r="D27" i="195"/>
  <c r="N27" i="195" s="1"/>
  <c r="P27" i="195" s="1"/>
  <c r="D28" i="195"/>
  <c r="N28" i="195" s="1"/>
  <c r="P28" i="195" s="1"/>
  <c r="D29" i="195"/>
  <c r="N29" i="195" s="1"/>
  <c r="P29" i="195" s="1"/>
  <c r="D26" i="195"/>
  <c r="N26" i="195" s="1"/>
  <c r="P26" i="195" s="1"/>
  <c r="N9" i="195"/>
  <c r="P9" i="195" s="1"/>
  <c r="N11" i="195"/>
  <c r="P11" i="195" s="1"/>
  <c r="N13" i="195"/>
  <c r="P13" i="195" s="1"/>
  <c r="N14" i="195"/>
  <c r="P14" i="195" s="1"/>
  <c r="N15" i="195"/>
  <c r="P15" i="195" s="1"/>
  <c r="N17" i="195"/>
  <c r="P17" i="195" s="1"/>
  <c r="N18" i="195"/>
  <c r="P18" i="195" s="1"/>
  <c r="N19" i="195"/>
  <c r="P19" i="195" s="1"/>
  <c r="N21" i="195"/>
  <c r="P21" i="195" s="1"/>
  <c r="N23" i="195"/>
  <c r="P23" i="195" s="1"/>
  <c r="D5" i="195"/>
  <c r="E5" i="195" s="1"/>
  <c r="N30" i="195"/>
  <c r="N24" i="195"/>
  <c r="P24" i="195" s="1"/>
  <c r="N22" i="195"/>
  <c r="P22" i="195" s="1"/>
  <c r="N20" i="195"/>
  <c r="N16" i="195"/>
  <c r="P16" i="195" s="1"/>
  <c r="N10" i="195"/>
  <c r="P10" i="195" s="1"/>
  <c r="D26" i="194" l="1"/>
  <c r="N26" i="194" s="1"/>
  <c r="P26" i="194" s="1"/>
  <c r="D12" i="194"/>
  <c r="N12" i="194" s="1"/>
  <c r="P12" i="194" s="1"/>
  <c r="O10" i="193"/>
  <c r="D10" i="194" s="1"/>
  <c r="N10" i="194" s="1"/>
  <c r="P10" i="194" s="1"/>
  <c r="E9" i="192"/>
  <c r="D9" i="194"/>
  <c r="N9" i="194" s="1"/>
  <c r="P9" i="194" s="1"/>
  <c r="E12" i="193"/>
  <c r="E9" i="193"/>
  <c r="E8" i="193"/>
  <c r="D5" i="194"/>
  <c r="E5" i="194" s="1"/>
  <c r="D11" i="194"/>
  <c r="N11" i="194" s="1"/>
  <c r="P11" i="194" s="1"/>
  <c r="D13" i="194"/>
  <c r="N13" i="194" s="1"/>
  <c r="P13" i="194" s="1"/>
  <c r="D14" i="194"/>
  <c r="N14" i="194" s="1"/>
  <c r="P14" i="194" s="1"/>
  <c r="D15" i="194"/>
  <c r="N15" i="194" s="1"/>
  <c r="P15" i="194" s="1"/>
  <c r="D16" i="194"/>
  <c r="N16" i="194" s="1"/>
  <c r="P16" i="194" s="1"/>
  <c r="D17" i="194"/>
  <c r="N17" i="194" s="1"/>
  <c r="P17" i="194" s="1"/>
  <c r="D18" i="194"/>
  <c r="N18" i="194" s="1"/>
  <c r="P18" i="194" s="1"/>
  <c r="D19" i="194"/>
  <c r="N19" i="194" s="1"/>
  <c r="P19" i="194" s="1"/>
  <c r="D20" i="194"/>
  <c r="N20" i="194" s="1"/>
  <c r="D21" i="194"/>
  <c r="N21" i="194" s="1"/>
  <c r="P21" i="194" s="1"/>
  <c r="D22" i="194"/>
  <c r="N22" i="194" s="1"/>
  <c r="P22" i="194" s="1"/>
  <c r="D23" i="194"/>
  <c r="N23" i="194" s="1"/>
  <c r="P23" i="194" s="1"/>
  <c r="D24" i="194"/>
  <c r="N24" i="194" s="1"/>
  <c r="P24" i="194" s="1"/>
  <c r="D8" i="194"/>
  <c r="N8" i="194" s="1"/>
  <c r="P8" i="194" s="1"/>
  <c r="D27" i="194"/>
  <c r="N27" i="194" s="1"/>
  <c r="P27" i="194" s="1"/>
  <c r="D28" i="194"/>
  <c r="N28" i="194" s="1"/>
  <c r="P28" i="194" s="1"/>
  <c r="D29" i="194"/>
  <c r="N29" i="194" s="1"/>
  <c r="P29" i="194" s="1"/>
  <c r="N30" i="194"/>
  <c r="D27" i="193" l="1"/>
  <c r="N27" i="193" s="1"/>
  <c r="P27" i="193" s="1"/>
  <c r="D28" i="193"/>
  <c r="N28" i="193" s="1"/>
  <c r="P28" i="193" s="1"/>
  <c r="D29" i="193"/>
  <c r="N29" i="193" s="1"/>
  <c r="P29" i="193" s="1"/>
  <c r="D26" i="193"/>
  <c r="N26" i="193" s="1"/>
  <c r="P26" i="193" s="1"/>
  <c r="D9" i="193"/>
  <c r="N9" i="193" s="1"/>
  <c r="P9" i="193" s="1"/>
  <c r="D11" i="193"/>
  <c r="N11" i="193" s="1"/>
  <c r="P11" i="193" s="1"/>
  <c r="D14" i="193"/>
  <c r="N14" i="193" s="1"/>
  <c r="P14" i="193" s="1"/>
  <c r="D15" i="193"/>
  <c r="N15" i="193" s="1"/>
  <c r="P15" i="193" s="1"/>
  <c r="D16" i="193"/>
  <c r="N16" i="193" s="1"/>
  <c r="P16" i="193" s="1"/>
  <c r="D17" i="193"/>
  <c r="N17" i="193" s="1"/>
  <c r="P17" i="193" s="1"/>
  <c r="D18" i="193"/>
  <c r="N18" i="193" s="1"/>
  <c r="P18" i="193" s="1"/>
  <c r="D19" i="193"/>
  <c r="N19" i="193" s="1"/>
  <c r="P19" i="193" s="1"/>
  <c r="D20" i="193"/>
  <c r="N20" i="193" s="1"/>
  <c r="D21" i="193"/>
  <c r="N21" i="193" s="1"/>
  <c r="P21" i="193" s="1"/>
  <c r="D22" i="193"/>
  <c r="N22" i="193" s="1"/>
  <c r="P22" i="193" s="1"/>
  <c r="D23" i="193"/>
  <c r="N23" i="193" s="1"/>
  <c r="P23" i="193" s="1"/>
  <c r="D24" i="193"/>
  <c r="N24" i="193" s="1"/>
  <c r="P24" i="193" s="1"/>
  <c r="D5" i="193"/>
  <c r="E5" i="193" s="1"/>
  <c r="N30" i="193"/>
  <c r="O13" i="192"/>
  <c r="D13" i="193" s="1"/>
  <c r="N13" i="193" s="1"/>
  <c r="P13" i="193" s="1"/>
  <c r="O12" i="192"/>
  <c r="D12" i="193" s="1"/>
  <c r="N12" i="193" s="1"/>
  <c r="O10" i="192"/>
  <c r="D10" i="193" s="1"/>
  <c r="N10" i="193" s="1"/>
  <c r="P12" i="193" l="1"/>
  <c r="P10" i="193"/>
  <c r="E8" i="192"/>
  <c r="O8" i="192" s="1"/>
  <c r="D8" i="193" s="1"/>
  <c r="N8" i="193" s="1"/>
  <c r="P8" i="193" s="1"/>
  <c r="E23" i="192"/>
  <c r="D27" i="192" l="1"/>
  <c r="N27" i="192" s="1"/>
  <c r="P27" i="192" s="1"/>
  <c r="D28" i="192"/>
  <c r="N28" i="192" s="1"/>
  <c r="P28" i="192" s="1"/>
  <c r="D29" i="192"/>
  <c r="N29" i="192" s="1"/>
  <c r="P29" i="192" s="1"/>
  <c r="D26" i="192"/>
  <c r="N26" i="192" s="1"/>
  <c r="P26" i="192" s="1"/>
  <c r="D11" i="192"/>
  <c r="N11" i="192" s="1"/>
  <c r="P11" i="192" s="1"/>
  <c r="D14" i="192"/>
  <c r="N14" i="192" s="1"/>
  <c r="P14" i="192" s="1"/>
  <c r="D15" i="192"/>
  <c r="N15" i="192" s="1"/>
  <c r="P15" i="192" s="1"/>
  <c r="D16" i="192"/>
  <c r="N16" i="192" s="1"/>
  <c r="P16" i="192" s="1"/>
  <c r="D17" i="192"/>
  <c r="N17" i="192" s="1"/>
  <c r="P17" i="192" s="1"/>
  <c r="D18" i="192"/>
  <c r="N18" i="192" s="1"/>
  <c r="P18" i="192" s="1"/>
  <c r="D19" i="192"/>
  <c r="N19" i="192" s="1"/>
  <c r="P19" i="192" s="1"/>
  <c r="D20" i="192"/>
  <c r="N20" i="192" s="1"/>
  <c r="D21" i="192"/>
  <c r="N21" i="192" s="1"/>
  <c r="P21" i="192" s="1"/>
  <c r="D22" i="192"/>
  <c r="N22" i="192" s="1"/>
  <c r="P22" i="192" s="1"/>
  <c r="D23" i="192"/>
  <c r="N23" i="192" s="1"/>
  <c r="P23" i="192" s="1"/>
  <c r="D24" i="192"/>
  <c r="N24" i="192" s="1"/>
  <c r="P24" i="192" s="1"/>
  <c r="D5" i="192"/>
  <c r="E5" i="192" s="1"/>
  <c r="N30" i="192"/>
  <c r="O13" i="191"/>
  <c r="D13" i="192" s="1"/>
  <c r="N13" i="192" s="1"/>
  <c r="O12" i="191"/>
  <c r="D12" i="192" s="1"/>
  <c r="N12" i="192" s="1"/>
  <c r="O10" i="191"/>
  <c r="D10" i="192" s="1"/>
  <c r="N10" i="192" s="1"/>
  <c r="P10" i="192" s="1"/>
  <c r="O9" i="191"/>
  <c r="D9" i="192" s="1"/>
  <c r="N9" i="192" s="1"/>
  <c r="P9" i="192" s="1"/>
  <c r="O8" i="191"/>
  <c r="D8" i="192" s="1"/>
  <c r="N8" i="192" s="1"/>
  <c r="P8" i="192" l="1"/>
  <c r="P12" i="192"/>
  <c r="P13" i="192"/>
  <c r="E10" i="185"/>
  <c r="D27" i="191" l="1"/>
  <c r="N27" i="191" s="1"/>
  <c r="P27" i="191" s="1"/>
  <c r="D28" i="191"/>
  <c r="D29" i="191"/>
  <c r="N29" i="191" s="1"/>
  <c r="P29" i="191" s="1"/>
  <c r="D26" i="191"/>
  <c r="N26" i="191" s="1"/>
  <c r="P26" i="191" s="1"/>
  <c r="D11" i="191"/>
  <c r="N11" i="191" s="1"/>
  <c r="P11" i="191" s="1"/>
  <c r="D14" i="191"/>
  <c r="N14" i="191" s="1"/>
  <c r="P14" i="191" s="1"/>
  <c r="D15" i="191"/>
  <c r="N15" i="191" s="1"/>
  <c r="P15" i="191" s="1"/>
  <c r="D16" i="191"/>
  <c r="N16" i="191" s="1"/>
  <c r="P16" i="191" s="1"/>
  <c r="D17" i="191"/>
  <c r="N17" i="191" s="1"/>
  <c r="P17" i="191" s="1"/>
  <c r="D18" i="191"/>
  <c r="N18" i="191" s="1"/>
  <c r="P18" i="191" s="1"/>
  <c r="D19" i="191"/>
  <c r="N19" i="191" s="1"/>
  <c r="P19" i="191" s="1"/>
  <c r="D20" i="191"/>
  <c r="N20" i="191" s="1"/>
  <c r="D21" i="191"/>
  <c r="N21" i="191" s="1"/>
  <c r="P21" i="191" s="1"/>
  <c r="D22" i="191"/>
  <c r="N22" i="191" s="1"/>
  <c r="P22" i="191" s="1"/>
  <c r="D23" i="191"/>
  <c r="N23" i="191" s="1"/>
  <c r="P23" i="191" s="1"/>
  <c r="D24" i="191"/>
  <c r="N24" i="191" s="1"/>
  <c r="P24" i="191" s="1"/>
  <c r="D5" i="191"/>
  <c r="E5" i="191" s="1"/>
  <c r="O13" i="190"/>
  <c r="D13" i="191" s="1"/>
  <c r="N13" i="191" s="1"/>
  <c r="P13" i="191" s="1"/>
  <c r="O12" i="190"/>
  <c r="D12" i="191" s="1"/>
  <c r="N12" i="191" s="1"/>
  <c r="P12" i="191" s="1"/>
  <c r="O10" i="189"/>
  <c r="D10" i="190" s="1"/>
  <c r="N10" i="190" s="1"/>
  <c r="O10" i="190"/>
  <c r="D10" i="191" s="1"/>
  <c r="N10" i="191" s="1"/>
  <c r="P10" i="191" s="1"/>
  <c r="O9" i="190"/>
  <c r="D9" i="191" s="1"/>
  <c r="N9" i="191" s="1"/>
  <c r="P9" i="191" s="1"/>
  <c r="E8" i="190"/>
  <c r="O8" i="190" s="1"/>
  <c r="D8" i="191" s="1"/>
  <c r="N8" i="191" s="1"/>
  <c r="P8" i="191" s="1"/>
  <c r="D5" i="190"/>
  <c r="D27" i="190"/>
  <c r="N27" i="190" s="1"/>
  <c r="P27" i="190" s="1"/>
  <c r="D28" i="190"/>
  <c r="N28" i="190" s="1"/>
  <c r="P28" i="190" s="1"/>
  <c r="D29" i="190"/>
  <c r="N29" i="190" s="1"/>
  <c r="P29" i="190" s="1"/>
  <c r="D26" i="190"/>
  <c r="N26" i="190" s="1"/>
  <c r="P26" i="190" s="1"/>
  <c r="D11" i="190"/>
  <c r="N11" i="190" s="1"/>
  <c r="P11" i="190" s="1"/>
  <c r="D14" i="190"/>
  <c r="N14" i="190" s="1"/>
  <c r="P14" i="190" s="1"/>
  <c r="D15" i="190"/>
  <c r="N15" i="190" s="1"/>
  <c r="P15" i="190" s="1"/>
  <c r="D16" i="190"/>
  <c r="N16" i="190" s="1"/>
  <c r="P16" i="190" s="1"/>
  <c r="D17" i="190"/>
  <c r="N17" i="190" s="1"/>
  <c r="P17" i="190" s="1"/>
  <c r="D18" i="190"/>
  <c r="N18" i="190" s="1"/>
  <c r="P18" i="190" s="1"/>
  <c r="D19" i="190"/>
  <c r="N19" i="190" s="1"/>
  <c r="P19" i="190" s="1"/>
  <c r="D20" i="190"/>
  <c r="N20" i="190" s="1"/>
  <c r="D21" i="190"/>
  <c r="N21" i="190" s="1"/>
  <c r="P21" i="190" s="1"/>
  <c r="D22" i="190"/>
  <c r="N22" i="190" s="1"/>
  <c r="P22" i="190" s="1"/>
  <c r="D23" i="190"/>
  <c r="N23" i="190" s="1"/>
  <c r="P23" i="190" s="1"/>
  <c r="D24" i="190"/>
  <c r="N24" i="190" s="1"/>
  <c r="P24" i="190" s="1"/>
  <c r="O13" i="189"/>
  <c r="D13" i="190" s="1"/>
  <c r="N13" i="190" s="1"/>
  <c r="O12" i="189"/>
  <c r="D12" i="190" s="1"/>
  <c r="N12" i="190" s="1"/>
  <c r="O9" i="189"/>
  <c r="D9" i="190" s="1"/>
  <c r="N9" i="190" s="1"/>
  <c r="E8" i="189"/>
  <c r="O8" i="189" s="1"/>
  <c r="D8" i="190" s="1"/>
  <c r="N30" i="191"/>
  <c r="N28" i="191"/>
  <c r="P28" i="191" s="1"/>
  <c r="N30" i="190"/>
  <c r="E5" i="190"/>
  <c r="P9" i="190" l="1"/>
  <c r="P13" i="190"/>
  <c r="N8" i="190"/>
  <c r="P8" i="190" s="1"/>
  <c r="P12" i="190"/>
  <c r="P10" i="190"/>
  <c r="D11" i="188"/>
  <c r="D14" i="188"/>
  <c r="D15" i="188"/>
  <c r="D17" i="188"/>
  <c r="D18" i="188"/>
  <c r="D19" i="188"/>
  <c r="D20" i="188"/>
  <c r="D21" i="188"/>
  <c r="D22" i="188"/>
  <c r="D23" i="188"/>
  <c r="D24" i="188"/>
  <c r="O13" i="188"/>
  <c r="O10" i="188"/>
  <c r="E12" i="188"/>
  <c r="O12" i="188" s="1"/>
  <c r="E9" i="188"/>
  <c r="O9" i="188" s="1"/>
  <c r="E8" i="188"/>
  <c r="O8" i="188" s="1"/>
  <c r="D27" i="189" l="1"/>
  <c r="N27" i="189" s="1"/>
  <c r="P27" i="189" s="1"/>
  <c r="D28" i="189"/>
  <c r="N28" i="189" s="1"/>
  <c r="P28" i="189" s="1"/>
  <c r="D29" i="189"/>
  <c r="N29" i="189" s="1"/>
  <c r="P29" i="189" s="1"/>
  <c r="D26" i="189"/>
  <c r="N26" i="189" s="1"/>
  <c r="P26" i="189" s="1"/>
  <c r="D9" i="189"/>
  <c r="N9" i="189" s="1"/>
  <c r="P9" i="189" s="1"/>
  <c r="D10" i="189"/>
  <c r="N10" i="189" s="1"/>
  <c r="P10" i="189" s="1"/>
  <c r="D11" i="189"/>
  <c r="N11" i="189" s="1"/>
  <c r="P11" i="189" s="1"/>
  <c r="D12" i="189"/>
  <c r="N12" i="189" s="1"/>
  <c r="P12" i="189" s="1"/>
  <c r="D13" i="189"/>
  <c r="N13" i="189" s="1"/>
  <c r="P13" i="189" s="1"/>
  <c r="D14" i="189"/>
  <c r="N14" i="189" s="1"/>
  <c r="P14" i="189" s="1"/>
  <c r="D15" i="189"/>
  <c r="N15" i="189" s="1"/>
  <c r="P15" i="189" s="1"/>
  <c r="D16" i="189"/>
  <c r="N16" i="189" s="1"/>
  <c r="P16" i="189" s="1"/>
  <c r="D17" i="189"/>
  <c r="N17" i="189" s="1"/>
  <c r="P17" i="189" s="1"/>
  <c r="D18" i="189"/>
  <c r="N18" i="189" s="1"/>
  <c r="P18" i="189" s="1"/>
  <c r="D19" i="189"/>
  <c r="N19" i="189" s="1"/>
  <c r="P19" i="189" s="1"/>
  <c r="D20" i="189"/>
  <c r="N20" i="189" s="1"/>
  <c r="D21" i="189"/>
  <c r="N21" i="189" s="1"/>
  <c r="P21" i="189" s="1"/>
  <c r="D22" i="189"/>
  <c r="N22" i="189" s="1"/>
  <c r="P22" i="189" s="1"/>
  <c r="D23" i="189"/>
  <c r="N23" i="189" s="1"/>
  <c r="P23" i="189" s="1"/>
  <c r="D24" i="189"/>
  <c r="N24" i="189" s="1"/>
  <c r="P24" i="189" s="1"/>
  <c r="D8" i="189"/>
  <c r="N8" i="189" s="1"/>
  <c r="P8" i="189" s="1"/>
  <c r="D5" i="189"/>
  <c r="E5" i="189" s="1"/>
  <c r="N30" i="189"/>
  <c r="O16" i="187" l="1"/>
  <c r="D16" i="188" s="1"/>
  <c r="O13" i="187"/>
  <c r="D13" i="188" s="1"/>
  <c r="N13" i="188" s="1"/>
  <c r="P13" i="188" s="1"/>
  <c r="O10" i="187"/>
  <c r="D10" i="188" s="1"/>
  <c r="N10" i="188" s="1"/>
  <c r="P10" i="188" s="1"/>
  <c r="O9" i="187"/>
  <c r="D9" i="188" s="1"/>
  <c r="E12" i="187"/>
  <c r="O12" i="187" s="1"/>
  <c r="E8" i="187"/>
  <c r="O8" i="187" s="1"/>
  <c r="D8" i="188" s="1"/>
  <c r="N8" i="188" s="1"/>
  <c r="P8" i="188" s="1"/>
  <c r="D27" i="188"/>
  <c r="N27" i="188" s="1"/>
  <c r="P27" i="188" s="1"/>
  <c r="D28" i="188"/>
  <c r="N28" i="188" s="1"/>
  <c r="P28" i="188" s="1"/>
  <c r="D29" i="188"/>
  <c r="N29" i="188" s="1"/>
  <c r="P29" i="188" s="1"/>
  <c r="D26" i="188"/>
  <c r="N26" i="188" s="1"/>
  <c r="P26" i="188" s="1"/>
  <c r="D5" i="188"/>
  <c r="E5" i="188" s="1"/>
  <c r="N30" i="188"/>
  <c r="N24" i="188"/>
  <c r="P24" i="188" s="1"/>
  <c r="N23" i="188"/>
  <c r="P23" i="188" s="1"/>
  <c r="N22" i="188"/>
  <c r="P22" i="188" s="1"/>
  <c r="N21" i="188"/>
  <c r="P21" i="188" s="1"/>
  <c r="N20" i="188"/>
  <c r="N19" i="188"/>
  <c r="P19" i="188" s="1"/>
  <c r="N18" i="188"/>
  <c r="P18" i="188" s="1"/>
  <c r="N17" i="188"/>
  <c r="P17" i="188" s="1"/>
  <c r="N16" i="188"/>
  <c r="P16" i="188" s="1"/>
  <c r="N15" i="188"/>
  <c r="P15" i="188" s="1"/>
  <c r="N14" i="188"/>
  <c r="P14" i="188" s="1"/>
  <c r="N11" i="188"/>
  <c r="P11" i="188" s="1"/>
  <c r="N9" i="188"/>
  <c r="P9" i="188" s="1"/>
  <c r="D12" i="188" l="1"/>
  <c r="N12" i="188" s="1"/>
  <c r="P12" i="188" s="1"/>
  <c r="F10" i="186"/>
  <c r="O10" i="186"/>
  <c r="D10" i="187" s="1"/>
  <c r="N10" i="187" s="1"/>
  <c r="P10" i="187" s="1"/>
  <c r="O13" i="186"/>
  <c r="D13" i="187" s="1"/>
  <c r="N13" i="187" s="1"/>
  <c r="P13" i="187" s="1"/>
  <c r="O8" i="186"/>
  <c r="D8" i="187" s="1"/>
  <c r="N8" i="187" s="1"/>
  <c r="P8" i="187" s="1"/>
  <c r="E12" i="186"/>
  <c r="O12" i="186" s="1"/>
  <c r="D12" i="187" s="1"/>
  <c r="N12" i="187" s="1"/>
  <c r="P12" i="187" s="1"/>
  <c r="D27" i="187"/>
  <c r="N27" i="187" s="1"/>
  <c r="P27" i="187" s="1"/>
  <c r="D28" i="187"/>
  <c r="N28" i="187" s="1"/>
  <c r="P28" i="187" s="1"/>
  <c r="D29" i="187"/>
  <c r="N29" i="187" s="1"/>
  <c r="P29" i="187" s="1"/>
  <c r="D26" i="187"/>
  <c r="N26" i="187" s="1"/>
  <c r="P26" i="187" s="1"/>
  <c r="D9" i="187"/>
  <c r="N9" i="187" s="1"/>
  <c r="P9" i="187" s="1"/>
  <c r="D11" i="187"/>
  <c r="N11" i="187" s="1"/>
  <c r="P11" i="187" s="1"/>
  <c r="D14" i="187"/>
  <c r="N14" i="187" s="1"/>
  <c r="P14" i="187" s="1"/>
  <c r="D15" i="187"/>
  <c r="N15" i="187" s="1"/>
  <c r="P15" i="187" s="1"/>
  <c r="D16" i="187"/>
  <c r="N16" i="187" s="1"/>
  <c r="P16" i="187" s="1"/>
  <c r="D17" i="187"/>
  <c r="N17" i="187" s="1"/>
  <c r="P17" i="187" s="1"/>
  <c r="D18" i="187"/>
  <c r="N18" i="187" s="1"/>
  <c r="P18" i="187" s="1"/>
  <c r="D19" i="187"/>
  <c r="N19" i="187" s="1"/>
  <c r="P19" i="187" s="1"/>
  <c r="D20" i="187"/>
  <c r="N20" i="187" s="1"/>
  <c r="D21" i="187"/>
  <c r="N21" i="187" s="1"/>
  <c r="P21" i="187" s="1"/>
  <c r="D22" i="187"/>
  <c r="N22" i="187" s="1"/>
  <c r="P22" i="187" s="1"/>
  <c r="D23" i="187"/>
  <c r="D24" i="187"/>
  <c r="N24" i="187" s="1"/>
  <c r="P24" i="187" s="1"/>
  <c r="D5" i="187"/>
  <c r="E5" i="187" s="1"/>
  <c r="N30" i="187"/>
  <c r="N23" i="187"/>
  <c r="P23" i="187" s="1"/>
  <c r="D9" i="186" l="1"/>
  <c r="N9" i="186" s="1"/>
  <c r="P9" i="186" s="1"/>
  <c r="D11" i="186"/>
  <c r="N11" i="186" s="1"/>
  <c r="P11" i="186" s="1"/>
  <c r="D14" i="186"/>
  <c r="N14" i="186" s="1"/>
  <c r="P14" i="186" s="1"/>
  <c r="D15" i="186"/>
  <c r="N15" i="186" s="1"/>
  <c r="P15" i="186" s="1"/>
  <c r="D16" i="186"/>
  <c r="N16" i="186" s="1"/>
  <c r="P16" i="186" s="1"/>
  <c r="D17" i="186"/>
  <c r="N17" i="186" s="1"/>
  <c r="P17" i="186" s="1"/>
  <c r="D18" i="186"/>
  <c r="N18" i="186" s="1"/>
  <c r="P18" i="186" s="1"/>
  <c r="D19" i="186"/>
  <c r="N19" i="186" s="1"/>
  <c r="P19" i="186" s="1"/>
  <c r="D20" i="186"/>
  <c r="N20" i="186" s="1"/>
  <c r="D21" i="186"/>
  <c r="N21" i="186" s="1"/>
  <c r="P21" i="186" s="1"/>
  <c r="D22" i="186"/>
  <c r="N22" i="186" s="1"/>
  <c r="P22" i="186" s="1"/>
  <c r="D23" i="186"/>
  <c r="N23" i="186" s="1"/>
  <c r="P23" i="186" s="1"/>
  <c r="D24" i="186"/>
  <c r="N24" i="186" s="1"/>
  <c r="P24" i="186" s="1"/>
  <c r="D27" i="186"/>
  <c r="N27" i="186" s="1"/>
  <c r="P27" i="186" s="1"/>
  <c r="D28" i="186"/>
  <c r="N28" i="186" s="1"/>
  <c r="P28" i="186" s="1"/>
  <c r="D29" i="186"/>
  <c r="D26" i="186"/>
  <c r="N26" i="186" s="1"/>
  <c r="P26" i="186" s="1"/>
  <c r="O10" i="185"/>
  <c r="D10" i="186" s="1"/>
  <c r="N10" i="186" s="1"/>
  <c r="P10" i="186" s="1"/>
  <c r="D5" i="185"/>
  <c r="D5" i="186"/>
  <c r="E5" i="186" s="1"/>
  <c r="O13" i="185"/>
  <c r="D13" i="186" s="1"/>
  <c r="N13" i="186" s="1"/>
  <c r="P13" i="186" s="1"/>
  <c r="O12" i="185"/>
  <c r="D12" i="186" s="1"/>
  <c r="N12" i="186" s="1"/>
  <c r="P12" i="186" s="1"/>
  <c r="O8" i="185"/>
  <c r="D8" i="186" s="1"/>
  <c r="N8" i="186" s="1"/>
  <c r="P8" i="186" s="1"/>
  <c r="E8" i="185"/>
  <c r="N30" i="186"/>
  <c r="N29" i="186"/>
  <c r="P29" i="186" s="1"/>
  <c r="O12" i="184" l="1"/>
  <c r="E9" i="184"/>
  <c r="O9" i="184" s="1"/>
  <c r="D9" i="185" s="1"/>
  <c r="O8" i="184"/>
  <c r="D8" i="185" s="1"/>
  <c r="D27" i="185"/>
  <c r="D28" i="185"/>
  <c r="D29" i="185"/>
  <c r="D26" i="185"/>
  <c r="D11" i="185"/>
  <c r="D12" i="185"/>
  <c r="D14" i="185"/>
  <c r="D15" i="185"/>
  <c r="D16" i="185"/>
  <c r="D17" i="185"/>
  <c r="D18" i="185"/>
  <c r="D19" i="185"/>
  <c r="D20" i="185"/>
  <c r="D21" i="185"/>
  <c r="D22" i="185"/>
  <c r="D23" i="185"/>
  <c r="D24" i="185"/>
  <c r="O13" i="184"/>
  <c r="D13" i="185" s="1"/>
  <c r="O10" i="184"/>
  <c r="D10" i="185" s="1"/>
  <c r="D11" i="184"/>
  <c r="D14" i="184"/>
  <c r="D15" i="184"/>
  <c r="D16" i="184"/>
  <c r="D17" i="184"/>
  <c r="D18" i="184"/>
  <c r="D19" i="184"/>
  <c r="D20" i="184"/>
  <c r="N30" i="185" l="1"/>
  <c r="N29" i="185"/>
  <c r="P29" i="185" s="1"/>
  <c r="N28" i="185"/>
  <c r="P28" i="185" s="1"/>
  <c r="N27" i="185"/>
  <c r="P27" i="185" s="1"/>
  <c r="N26" i="185"/>
  <c r="P26" i="185" s="1"/>
  <c r="N24" i="185"/>
  <c r="P24" i="185" s="1"/>
  <c r="N23" i="185"/>
  <c r="P23" i="185" s="1"/>
  <c r="N22" i="185"/>
  <c r="P22" i="185" s="1"/>
  <c r="N21" i="185"/>
  <c r="P21" i="185" s="1"/>
  <c r="N20" i="185"/>
  <c r="N19" i="185"/>
  <c r="P19" i="185" s="1"/>
  <c r="N18" i="185"/>
  <c r="P18" i="185" s="1"/>
  <c r="N17" i="185"/>
  <c r="P17" i="185" s="1"/>
  <c r="N16" i="185"/>
  <c r="P16" i="185" s="1"/>
  <c r="N15" i="185"/>
  <c r="P15" i="185" s="1"/>
  <c r="N14" i="185"/>
  <c r="P14" i="185" s="1"/>
  <c r="N13" i="185"/>
  <c r="P13" i="185" s="1"/>
  <c r="N12" i="185"/>
  <c r="P12" i="185" s="1"/>
  <c r="N11" i="185"/>
  <c r="P11" i="185" s="1"/>
  <c r="N10" i="185"/>
  <c r="P10" i="185" s="1"/>
  <c r="N9" i="185"/>
  <c r="P9" i="185" s="1"/>
  <c r="N8" i="185"/>
  <c r="P8" i="185" s="1"/>
  <c r="E5" i="185"/>
  <c r="O13" i="183" l="1"/>
  <c r="D13" i="184" s="1"/>
  <c r="O12" i="183"/>
  <c r="D12" i="184" s="1"/>
  <c r="O10" i="183"/>
  <c r="D10" i="184" s="1"/>
  <c r="O9" i="183"/>
  <c r="D9" i="184" s="1"/>
  <c r="O8" i="181"/>
  <c r="O8" i="180"/>
  <c r="D27" i="183"/>
  <c r="N27" i="183" s="1"/>
  <c r="D28" i="183"/>
  <c r="D29" i="183"/>
  <c r="N29" i="183" s="1"/>
  <c r="E8" i="183"/>
  <c r="O8" i="183" s="1"/>
  <c r="O13" i="182"/>
  <c r="D13" i="183" s="1"/>
  <c r="N13" i="183" s="1"/>
  <c r="O12" i="182"/>
  <c r="D12" i="183" s="1"/>
  <c r="O10" i="182"/>
  <c r="D10" i="183" s="1"/>
  <c r="O9" i="182"/>
  <c r="D9" i="183" s="1"/>
  <c r="E8" i="182"/>
  <c r="O8" i="182" s="1"/>
  <c r="D8" i="183" s="1"/>
  <c r="E26" i="182"/>
  <c r="N11" i="184"/>
  <c r="P11" i="184" s="1"/>
  <c r="N14" i="184"/>
  <c r="P14" i="184" s="1"/>
  <c r="N15" i="184"/>
  <c r="P15" i="184" s="1"/>
  <c r="N19" i="184"/>
  <c r="P19" i="184" s="1"/>
  <c r="D5" i="184"/>
  <c r="E5" i="184" s="1"/>
  <c r="O25" i="183"/>
  <c r="O30" i="183"/>
  <c r="D28" i="184"/>
  <c r="N28" i="184" s="1"/>
  <c r="P28" i="184" s="1"/>
  <c r="D26" i="183"/>
  <c r="D26" i="184" s="1"/>
  <c r="N26" i="184" s="1"/>
  <c r="P26" i="184" s="1"/>
  <c r="D11" i="183"/>
  <c r="N11" i="183" s="1"/>
  <c r="D14" i="183"/>
  <c r="N14" i="183" s="1"/>
  <c r="P14" i="183" s="1"/>
  <c r="D15" i="183"/>
  <c r="N15" i="183" s="1"/>
  <c r="D16" i="183"/>
  <c r="N16" i="184" s="1"/>
  <c r="P16" i="184" s="1"/>
  <c r="D17" i="183"/>
  <c r="N17" i="183" s="1"/>
  <c r="D18" i="183"/>
  <c r="N18" i="184" s="1"/>
  <c r="P18" i="184" s="1"/>
  <c r="D19" i="183"/>
  <c r="N19" i="183" s="1"/>
  <c r="D20" i="183"/>
  <c r="N20" i="183" s="1"/>
  <c r="D21" i="183"/>
  <c r="N21" i="183" s="1"/>
  <c r="D22" i="183"/>
  <c r="O22" i="183" s="1"/>
  <c r="D22" i="184" s="1"/>
  <c r="N22" i="184" s="1"/>
  <c r="P22" i="184" s="1"/>
  <c r="D23" i="183"/>
  <c r="N23" i="183" s="1"/>
  <c r="D24" i="183"/>
  <c r="O24" i="183" s="1"/>
  <c r="D24" i="184" s="1"/>
  <c r="N24" i="184" s="1"/>
  <c r="P24" i="184" s="1"/>
  <c r="D5" i="183"/>
  <c r="E5" i="183" s="1"/>
  <c r="N30" i="184"/>
  <c r="N20" i="184"/>
  <c r="N30" i="183"/>
  <c r="D8" i="184" l="1"/>
  <c r="N8" i="184" s="1"/>
  <c r="P8" i="184" s="1"/>
  <c r="N18" i="183"/>
  <c r="P18" i="183" s="1"/>
  <c r="N22" i="183"/>
  <c r="P22" i="183" s="1"/>
  <c r="N10" i="184"/>
  <c r="P10" i="184" s="1"/>
  <c r="N10" i="183"/>
  <c r="P10" i="183" s="1"/>
  <c r="N16" i="183"/>
  <c r="P16" i="183" s="1"/>
  <c r="N26" i="183"/>
  <c r="P26" i="183" s="1"/>
  <c r="N24" i="183"/>
  <c r="P24" i="183" s="1"/>
  <c r="O23" i="183"/>
  <c r="D23" i="184" s="1"/>
  <c r="N23" i="184" s="1"/>
  <c r="P23" i="184" s="1"/>
  <c r="O21" i="183"/>
  <c r="D21" i="184" s="1"/>
  <c r="N21" i="184" s="1"/>
  <c r="P21" i="184" s="1"/>
  <c r="D29" i="184"/>
  <c r="N29" i="184" s="1"/>
  <c r="P29" i="184" s="1"/>
  <c r="N28" i="183"/>
  <c r="P28" i="183" s="1"/>
  <c r="D27" i="184"/>
  <c r="N27" i="184" s="1"/>
  <c r="P27" i="184" s="1"/>
  <c r="N17" i="184"/>
  <c r="P17" i="184" s="1"/>
  <c r="N13" i="184"/>
  <c r="P13" i="184" s="1"/>
  <c r="N12" i="183"/>
  <c r="P12" i="183" s="1"/>
  <c r="N12" i="184"/>
  <c r="P12" i="184" s="1"/>
  <c r="N9" i="183"/>
  <c r="P9" i="183" s="1"/>
  <c r="N9" i="184"/>
  <c r="P9" i="184" s="1"/>
  <c r="N8" i="183"/>
  <c r="P8" i="183" s="1"/>
  <c r="P27" i="183"/>
  <c r="P19" i="183"/>
  <c r="P17" i="183"/>
  <c r="P15" i="183"/>
  <c r="P13" i="183"/>
  <c r="P11" i="183"/>
  <c r="O13" i="181"/>
  <c r="O12" i="181"/>
  <c r="O10" i="181"/>
  <c r="O9" i="181"/>
  <c r="O17" i="181"/>
  <c r="O14" i="181"/>
  <c r="E8" i="181"/>
  <c r="P21" i="183" l="1"/>
  <c r="P23" i="183"/>
  <c r="P29" i="183"/>
  <c r="D27" i="182"/>
  <c r="N27" i="182" s="1"/>
  <c r="P27" i="182" s="1"/>
  <c r="D28" i="182"/>
  <c r="N28" i="182" s="1"/>
  <c r="P28" i="182" s="1"/>
  <c r="D29" i="182"/>
  <c r="N29" i="182" s="1"/>
  <c r="P29" i="182" s="1"/>
  <c r="D26" i="182"/>
  <c r="N26" i="182" s="1"/>
  <c r="P26" i="182" s="1"/>
  <c r="D9" i="182"/>
  <c r="N9" i="182" s="1"/>
  <c r="P9" i="182" s="1"/>
  <c r="D10" i="182"/>
  <c r="N10" i="182" s="1"/>
  <c r="P10" i="182" s="1"/>
  <c r="D11" i="182"/>
  <c r="N11" i="182" s="1"/>
  <c r="P11" i="182" s="1"/>
  <c r="D12" i="182"/>
  <c r="N12" i="182" s="1"/>
  <c r="P12" i="182" s="1"/>
  <c r="D13" i="182"/>
  <c r="N13" i="182" s="1"/>
  <c r="D14" i="182"/>
  <c r="N14" i="182" s="1"/>
  <c r="P14" i="182" s="1"/>
  <c r="D15" i="182"/>
  <c r="N15" i="182" s="1"/>
  <c r="P15" i="182" s="1"/>
  <c r="D16" i="182"/>
  <c r="N16" i="182" s="1"/>
  <c r="P16" i="182" s="1"/>
  <c r="D17" i="182"/>
  <c r="N17" i="182" s="1"/>
  <c r="P17" i="182" s="1"/>
  <c r="D18" i="182"/>
  <c r="N18" i="182" s="1"/>
  <c r="P18" i="182" s="1"/>
  <c r="D19" i="182"/>
  <c r="N19" i="182" s="1"/>
  <c r="P19" i="182" s="1"/>
  <c r="D20" i="182"/>
  <c r="N20" i="182" s="1"/>
  <c r="D21" i="182"/>
  <c r="N21" i="182" s="1"/>
  <c r="P21" i="182" s="1"/>
  <c r="D22" i="182"/>
  <c r="N22" i="182" s="1"/>
  <c r="P22" i="182" s="1"/>
  <c r="D23" i="182"/>
  <c r="N23" i="182" s="1"/>
  <c r="P23" i="182" s="1"/>
  <c r="D24" i="182"/>
  <c r="N24" i="182" s="1"/>
  <c r="P24" i="182" s="1"/>
  <c r="D8" i="182"/>
  <c r="N8" i="182" s="1"/>
  <c r="P8" i="182" s="1"/>
  <c r="D5" i="182"/>
  <c r="E5" i="182" s="1"/>
  <c r="N30" i="182"/>
  <c r="P13" i="182" l="1"/>
  <c r="O13" i="180"/>
  <c r="D13" i="181" s="1"/>
  <c r="N13" i="181" s="1"/>
  <c r="P13" i="181" s="1"/>
  <c r="O12" i="180"/>
  <c r="D12" i="181" s="1"/>
  <c r="N12" i="181" s="1"/>
  <c r="P12" i="181" s="1"/>
  <c r="O10" i="180"/>
  <c r="D10" i="181" s="1"/>
  <c r="N10" i="181" s="1"/>
  <c r="P10" i="181" s="1"/>
  <c r="O9" i="180"/>
  <c r="E9" i="180"/>
  <c r="D27" i="181"/>
  <c r="N27" i="181" s="1"/>
  <c r="P27" i="181" s="1"/>
  <c r="D28" i="181"/>
  <c r="N28" i="181" s="1"/>
  <c r="P28" i="181" s="1"/>
  <c r="D29" i="181"/>
  <c r="N29" i="181" s="1"/>
  <c r="P29" i="181" s="1"/>
  <c r="D26" i="181"/>
  <c r="N26" i="181" s="1"/>
  <c r="P26" i="181" s="1"/>
  <c r="D9" i="181"/>
  <c r="N9" i="181" s="1"/>
  <c r="P9" i="181" s="1"/>
  <c r="D11" i="181"/>
  <c r="N11" i="181" s="1"/>
  <c r="P11" i="181" s="1"/>
  <c r="D14" i="181"/>
  <c r="N14" i="181" s="1"/>
  <c r="P14" i="181" s="1"/>
  <c r="D15" i="181"/>
  <c r="N15" i="181" s="1"/>
  <c r="P15" i="181" s="1"/>
  <c r="D16" i="181"/>
  <c r="N16" i="181" s="1"/>
  <c r="P16" i="181" s="1"/>
  <c r="D17" i="181"/>
  <c r="N17" i="181" s="1"/>
  <c r="P17" i="181" s="1"/>
  <c r="D18" i="181"/>
  <c r="N18" i="181" s="1"/>
  <c r="P18" i="181" s="1"/>
  <c r="D19" i="181"/>
  <c r="N19" i="181" s="1"/>
  <c r="P19" i="181" s="1"/>
  <c r="D20" i="181"/>
  <c r="N20" i="181" s="1"/>
  <c r="D21" i="181"/>
  <c r="N21" i="181" s="1"/>
  <c r="P21" i="181" s="1"/>
  <c r="D22" i="181"/>
  <c r="D23" i="181"/>
  <c r="N23" i="181" s="1"/>
  <c r="P23" i="181" s="1"/>
  <c r="D24" i="181"/>
  <c r="N24" i="181" s="1"/>
  <c r="P24" i="181" s="1"/>
  <c r="D8" i="181"/>
  <c r="N8" i="181" s="1"/>
  <c r="P8" i="181" s="1"/>
  <c r="D5" i="181"/>
  <c r="E5" i="181" s="1"/>
  <c r="N30" i="181"/>
  <c r="N22" i="181"/>
  <c r="P22" i="181" s="1"/>
  <c r="O13" i="179" l="1"/>
  <c r="O12" i="179" l="1"/>
  <c r="D12" i="180" s="1"/>
  <c r="D11" i="180"/>
  <c r="D13" i="180"/>
  <c r="D14" i="180"/>
  <c r="D15" i="180"/>
  <c r="D16" i="180"/>
  <c r="D17" i="180"/>
  <c r="D18" i="180"/>
  <c r="D19" i="180"/>
  <c r="D20" i="180"/>
  <c r="D21" i="180"/>
  <c r="D22" i="180"/>
  <c r="D23" i="180"/>
  <c r="D24" i="180"/>
  <c r="O10" i="179"/>
  <c r="D10" i="180" s="1"/>
  <c r="O9" i="179"/>
  <c r="D9" i="180" s="1"/>
  <c r="O8" i="178"/>
  <c r="E8" i="179"/>
  <c r="O8" i="179" s="1"/>
  <c r="D27" i="180" l="1"/>
  <c r="N27" i="180" s="1"/>
  <c r="P27" i="180" s="1"/>
  <c r="D28" i="180"/>
  <c r="N28" i="180" s="1"/>
  <c r="P28" i="180" s="1"/>
  <c r="D29" i="180"/>
  <c r="N29" i="180" s="1"/>
  <c r="P29" i="180" s="1"/>
  <c r="D26" i="180"/>
  <c r="N26" i="180" s="1"/>
  <c r="P26" i="180" s="1"/>
  <c r="N10" i="180"/>
  <c r="P10" i="180" s="1"/>
  <c r="N12" i="180"/>
  <c r="P12" i="180" s="1"/>
  <c r="N14" i="180"/>
  <c r="P14" i="180" s="1"/>
  <c r="N16" i="180"/>
  <c r="P16" i="180" s="1"/>
  <c r="N18" i="180"/>
  <c r="P18" i="180" s="1"/>
  <c r="D8" i="180"/>
  <c r="N8" i="180" s="1"/>
  <c r="P8" i="180" s="1"/>
  <c r="D5" i="180"/>
  <c r="E5" i="180" s="1"/>
  <c r="N30" i="180"/>
  <c r="N24" i="180"/>
  <c r="P24" i="180" s="1"/>
  <c r="N23" i="180"/>
  <c r="P23" i="180" s="1"/>
  <c r="N22" i="180"/>
  <c r="P22" i="180" s="1"/>
  <c r="N21" i="180"/>
  <c r="P21" i="180" s="1"/>
  <c r="N20" i="180"/>
  <c r="N19" i="180"/>
  <c r="P19" i="180" s="1"/>
  <c r="N17" i="180"/>
  <c r="P17" i="180" s="1"/>
  <c r="N15" i="180"/>
  <c r="P15" i="180" s="1"/>
  <c r="N13" i="180"/>
  <c r="P13" i="180" s="1"/>
  <c r="N11" i="180"/>
  <c r="P11" i="180" s="1"/>
  <c r="N9" i="180"/>
  <c r="P9" i="180" s="1"/>
  <c r="O13" i="178" l="1"/>
  <c r="D13" i="179" s="1"/>
  <c r="N13" i="179" s="1"/>
  <c r="P13" i="179" s="1"/>
  <c r="O12" i="178"/>
  <c r="D12" i="179" s="1"/>
  <c r="N12" i="179" s="1"/>
  <c r="P12" i="179" s="1"/>
  <c r="O10" i="178"/>
  <c r="E9" i="178"/>
  <c r="O9" i="178" s="1"/>
  <c r="D9" i="179" s="1"/>
  <c r="N9" i="179" s="1"/>
  <c r="P9" i="179" s="1"/>
  <c r="D27" i="179"/>
  <c r="N27" i="179" s="1"/>
  <c r="P27" i="179" s="1"/>
  <c r="D28" i="179"/>
  <c r="N28" i="179" s="1"/>
  <c r="P28" i="179" s="1"/>
  <c r="D29" i="179"/>
  <c r="N29" i="179" s="1"/>
  <c r="P29" i="179" s="1"/>
  <c r="D26" i="179"/>
  <c r="N26" i="179" s="1"/>
  <c r="P26" i="179" s="1"/>
  <c r="D10" i="179"/>
  <c r="N10" i="179" s="1"/>
  <c r="P10" i="179" s="1"/>
  <c r="D11" i="179"/>
  <c r="N11" i="179" s="1"/>
  <c r="P11" i="179" s="1"/>
  <c r="D14" i="179"/>
  <c r="N14" i="179" s="1"/>
  <c r="P14" i="179" s="1"/>
  <c r="D15" i="179"/>
  <c r="N15" i="179" s="1"/>
  <c r="P15" i="179" s="1"/>
  <c r="D16" i="179"/>
  <c r="N16" i="179" s="1"/>
  <c r="P16" i="179" s="1"/>
  <c r="D17" i="179"/>
  <c r="N17" i="179" s="1"/>
  <c r="P17" i="179" s="1"/>
  <c r="D18" i="179"/>
  <c r="D19" i="179"/>
  <c r="D20" i="179"/>
  <c r="D21" i="179"/>
  <c r="N21" i="179" s="1"/>
  <c r="P21" i="179" s="1"/>
  <c r="D22" i="179"/>
  <c r="D23" i="179"/>
  <c r="D24" i="179"/>
  <c r="N24" i="179" s="1"/>
  <c r="P24" i="179" s="1"/>
  <c r="D8" i="179"/>
  <c r="N8" i="179" s="1"/>
  <c r="P8" i="179" s="1"/>
  <c r="D5" i="179"/>
  <c r="E5" i="179" s="1"/>
  <c r="N30" i="179"/>
  <c r="N23" i="179"/>
  <c r="P23" i="179" s="1"/>
  <c r="N22" i="179"/>
  <c r="P22" i="179" s="1"/>
  <c r="N20" i="179"/>
  <c r="N19" i="179"/>
  <c r="P19" i="179" s="1"/>
  <c r="N18" i="179"/>
  <c r="P18" i="179" s="1"/>
  <c r="O8" i="176" l="1"/>
  <c r="O8" i="175"/>
  <c r="O13" i="177"/>
  <c r="D13" i="178" s="1"/>
  <c r="N13" i="178" s="1"/>
  <c r="P13" i="178" s="1"/>
  <c r="O12" i="177"/>
  <c r="D12" i="178" s="1"/>
  <c r="N12" i="178" s="1"/>
  <c r="P12" i="178" s="1"/>
  <c r="O10" i="177"/>
  <c r="D10" i="178" s="1"/>
  <c r="N10" i="178" s="1"/>
  <c r="P10" i="178" s="1"/>
  <c r="O9" i="177"/>
  <c r="D9" i="178" s="1"/>
  <c r="N9" i="178" s="1"/>
  <c r="P9" i="178" s="1"/>
  <c r="E8" i="177"/>
  <c r="O8" i="177" s="1"/>
  <c r="D8" i="178" s="1"/>
  <c r="N8" i="178" s="1"/>
  <c r="D27" i="178"/>
  <c r="N27" i="178" s="1"/>
  <c r="P27" i="178" s="1"/>
  <c r="D28" i="178"/>
  <c r="N28" i="178" s="1"/>
  <c r="P28" i="178" s="1"/>
  <c r="D29" i="178"/>
  <c r="N29" i="178" s="1"/>
  <c r="P29" i="178" s="1"/>
  <c r="D26" i="178"/>
  <c r="N26" i="178" s="1"/>
  <c r="P26" i="178" s="1"/>
  <c r="D11" i="178"/>
  <c r="N11" i="178" s="1"/>
  <c r="P11" i="178" s="1"/>
  <c r="D14" i="178"/>
  <c r="D15" i="178"/>
  <c r="D16" i="178"/>
  <c r="D17" i="178"/>
  <c r="N17" i="178" s="1"/>
  <c r="P17" i="178" s="1"/>
  <c r="D18" i="178"/>
  <c r="N18" i="178" s="1"/>
  <c r="P18" i="178" s="1"/>
  <c r="D19" i="178"/>
  <c r="N19" i="178" s="1"/>
  <c r="P19" i="178" s="1"/>
  <c r="D20" i="178"/>
  <c r="N20" i="178" s="1"/>
  <c r="D21" i="178"/>
  <c r="N21" i="178" s="1"/>
  <c r="P21" i="178" s="1"/>
  <c r="D22" i="178"/>
  <c r="N22" i="178" s="1"/>
  <c r="P22" i="178" s="1"/>
  <c r="D23" i="178"/>
  <c r="D24" i="178"/>
  <c r="N24" i="178" s="1"/>
  <c r="P24" i="178" s="1"/>
  <c r="D5" i="178"/>
  <c r="E5" i="178" s="1"/>
  <c r="N30" i="178"/>
  <c r="N23" i="178"/>
  <c r="P23" i="178" s="1"/>
  <c r="N16" i="178"/>
  <c r="P16" i="178" s="1"/>
  <c r="N15" i="178"/>
  <c r="P15" i="178" s="1"/>
  <c r="N14" i="178"/>
  <c r="P14" i="178" s="1"/>
  <c r="P8" i="178" l="1"/>
  <c r="D27" i="177"/>
  <c r="N27" i="177" s="1"/>
  <c r="P27" i="177" s="1"/>
  <c r="D28" i="177"/>
  <c r="D29" i="177"/>
  <c r="N29" i="177" s="1"/>
  <c r="P29" i="177" s="1"/>
  <c r="D26" i="177"/>
  <c r="N26" i="177" s="1"/>
  <c r="P26" i="177" s="1"/>
  <c r="D27" i="176"/>
  <c r="N27" i="176" s="1"/>
  <c r="P27" i="176" s="1"/>
  <c r="D28" i="176"/>
  <c r="N28" i="176" s="1"/>
  <c r="P28" i="176" s="1"/>
  <c r="D29" i="176"/>
  <c r="N29" i="176" s="1"/>
  <c r="P29" i="176" s="1"/>
  <c r="O13" i="176"/>
  <c r="O12" i="176"/>
  <c r="O9" i="176"/>
  <c r="D9" i="177" s="1"/>
  <c r="N9" i="177" s="1"/>
  <c r="P9" i="177" s="1"/>
  <c r="O10" i="176"/>
  <c r="D8" i="177"/>
  <c r="N8" i="177" s="1"/>
  <c r="P8" i="177" s="1"/>
  <c r="O13" i="175"/>
  <c r="D13" i="176" s="1"/>
  <c r="N13" i="176" s="1"/>
  <c r="O10" i="175"/>
  <c r="D10" i="176" s="1"/>
  <c r="N10" i="176" s="1"/>
  <c r="P10" i="176" s="1"/>
  <c r="D8" i="176"/>
  <c r="N8" i="176" s="1"/>
  <c r="E9" i="175"/>
  <c r="O9" i="175" s="1"/>
  <c r="D9" i="176" s="1"/>
  <c r="N9" i="176" s="1"/>
  <c r="O12" i="175"/>
  <c r="D12" i="176" s="1"/>
  <c r="N12" i="176" s="1"/>
  <c r="D10" i="177"/>
  <c r="N10" i="177" s="1"/>
  <c r="P10" i="177" s="1"/>
  <c r="D11" i="177"/>
  <c r="N11" i="177" s="1"/>
  <c r="P11" i="177" s="1"/>
  <c r="D12" i="177"/>
  <c r="N12" i="177" s="1"/>
  <c r="P12" i="177" s="1"/>
  <c r="D13" i="177"/>
  <c r="N13" i="177" s="1"/>
  <c r="P13" i="177" s="1"/>
  <c r="D14" i="177"/>
  <c r="N14" i="177" s="1"/>
  <c r="P14" i="177" s="1"/>
  <c r="D15" i="177"/>
  <c r="N15" i="177" s="1"/>
  <c r="P15" i="177" s="1"/>
  <c r="D16" i="177"/>
  <c r="N16" i="177" s="1"/>
  <c r="P16" i="177" s="1"/>
  <c r="D17" i="177"/>
  <c r="N17" i="177" s="1"/>
  <c r="P17" i="177" s="1"/>
  <c r="D18" i="177"/>
  <c r="N18" i="177" s="1"/>
  <c r="P18" i="177" s="1"/>
  <c r="D19" i="177"/>
  <c r="N19" i="177" s="1"/>
  <c r="P19" i="177" s="1"/>
  <c r="D20" i="177"/>
  <c r="N20" i="177" s="1"/>
  <c r="D21" i="177"/>
  <c r="N21" i="177" s="1"/>
  <c r="P21" i="177" s="1"/>
  <c r="D22" i="177"/>
  <c r="N22" i="177" s="1"/>
  <c r="P22" i="177" s="1"/>
  <c r="D23" i="177"/>
  <c r="N23" i="177" s="1"/>
  <c r="P23" i="177" s="1"/>
  <c r="D24" i="177"/>
  <c r="D5" i="177"/>
  <c r="E5" i="177" s="1"/>
  <c r="N30" i="177"/>
  <c r="N28" i="177"/>
  <c r="P28" i="177" s="1"/>
  <c r="N24" i="177"/>
  <c r="P24" i="177" s="1"/>
  <c r="D26" i="176"/>
  <c r="N26" i="176" s="1"/>
  <c r="P26" i="176" s="1"/>
  <c r="D11" i="176"/>
  <c r="N11" i="176" s="1"/>
  <c r="P11" i="176" s="1"/>
  <c r="D14" i="176"/>
  <c r="N14" i="176" s="1"/>
  <c r="P14" i="176" s="1"/>
  <c r="D15" i="176"/>
  <c r="N15" i="176" s="1"/>
  <c r="P15" i="176" s="1"/>
  <c r="D16" i="176"/>
  <c r="N16" i="176" s="1"/>
  <c r="P16" i="176" s="1"/>
  <c r="D17" i="176"/>
  <c r="N17" i="176" s="1"/>
  <c r="P17" i="176" s="1"/>
  <c r="D18" i="176"/>
  <c r="N18" i="176" s="1"/>
  <c r="P18" i="176" s="1"/>
  <c r="D19" i="176"/>
  <c r="N19" i="176" s="1"/>
  <c r="P19" i="176" s="1"/>
  <c r="D20" i="176"/>
  <c r="N20" i="176" s="1"/>
  <c r="D21" i="176"/>
  <c r="N21" i="176" s="1"/>
  <c r="P21" i="176" s="1"/>
  <c r="D22" i="176"/>
  <c r="N22" i="176" s="1"/>
  <c r="P22" i="176" s="1"/>
  <c r="D23" i="176"/>
  <c r="N23" i="176" s="1"/>
  <c r="P23" i="176" s="1"/>
  <c r="D24" i="176"/>
  <c r="N24" i="176" s="1"/>
  <c r="P24" i="176" s="1"/>
  <c r="D5" i="176"/>
  <c r="E5" i="176" s="1"/>
  <c r="N30" i="176"/>
  <c r="P13" i="176" l="1"/>
  <c r="P12" i="176"/>
  <c r="P9" i="176"/>
  <c r="P8" i="176"/>
  <c r="D27" i="175"/>
  <c r="D28" i="175"/>
  <c r="D29" i="175"/>
  <c r="D26" i="175"/>
  <c r="D5" i="175"/>
  <c r="D9" i="175"/>
  <c r="D10" i="175"/>
  <c r="D11" i="175"/>
  <c r="D14" i="175"/>
  <c r="D15" i="175"/>
  <c r="D16" i="175"/>
  <c r="D17" i="175"/>
  <c r="D18" i="175"/>
  <c r="D19" i="175"/>
  <c r="D20" i="175"/>
  <c r="D21" i="175"/>
  <c r="D22" i="175"/>
  <c r="D23" i="175"/>
  <c r="D24" i="175"/>
  <c r="O13" i="174"/>
  <c r="D13" i="175" s="1"/>
  <c r="O12" i="174"/>
  <c r="D12" i="175" s="1"/>
  <c r="E26" i="174"/>
  <c r="E8" i="174"/>
  <c r="O8" i="174" s="1"/>
  <c r="D8" i="175" s="1"/>
  <c r="N30" i="175" l="1"/>
  <c r="N29" i="175"/>
  <c r="P29" i="175" s="1"/>
  <c r="N28" i="175"/>
  <c r="P28" i="175" s="1"/>
  <c r="N27" i="175"/>
  <c r="P27" i="175" s="1"/>
  <c r="N26" i="175"/>
  <c r="P26" i="175" s="1"/>
  <c r="N24" i="175"/>
  <c r="P24" i="175" s="1"/>
  <c r="N23" i="175"/>
  <c r="P23" i="175" s="1"/>
  <c r="N22" i="175"/>
  <c r="P22" i="175" s="1"/>
  <c r="N21" i="175"/>
  <c r="P21" i="175" s="1"/>
  <c r="N20" i="175"/>
  <c r="N19" i="175"/>
  <c r="P19" i="175" s="1"/>
  <c r="N18" i="175"/>
  <c r="P18" i="175" s="1"/>
  <c r="N17" i="175"/>
  <c r="P17" i="175" s="1"/>
  <c r="N16" i="175"/>
  <c r="P16" i="175" s="1"/>
  <c r="N15" i="175"/>
  <c r="P15" i="175" s="1"/>
  <c r="N14" i="175"/>
  <c r="P14" i="175" s="1"/>
  <c r="N13" i="175"/>
  <c r="N12" i="175"/>
  <c r="N11" i="175"/>
  <c r="P11" i="175" s="1"/>
  <c r="N10" i="175"/>
  <c r="P10" i="175" s="1"/>
  <c r="N9" i="175"/>
  <c r="P9" i="175" s="1"/>
  <c r="N8" i="175"/>
  <c r="P8" i="175" s="1"/>
  <c r="E5" i="175"/>
  <c r="P12" i="175" l="1"/>
  <c r="P13" i="175"/>
  <c r="O13" i="173" l="1"/>
  <c r="O12" i="173"/>
  <c r="D12" i="174" s="1"/>
  <c r="N12" i="174" s="1"/>
  <c r="P12" i="174" s="1"/>
  <c r="O10" i="173"/>
  <c r="D10" i="174" s="1"/>
  <c r="N10" i="174" s="1"/>
  <c r="P10" i="174" s="1"/>
  <c r="E8" i="173"/>
  <c r="O8" i="173" s="1"/>
  <c r="D8" i="174" s="1"/>
  <c r="N8" i="174" s="1"/>
  <c r="P8" i="174" s="1"/>
  <c r="D5" i="174"/>
  <c r="E5" i="174" s="1"/>
  <c r="D27" i="174"/>
  <c r="D28" i="174"/>
  <c r="N28" i="174" s="1"/>
  <c r="P28" i="174" s="1"/>
  <c r="D29" i="174"/>
  <c r="N29" i="174" s="1"/>
  <c r="P29" i="174" s="1"/>
  <c r="D26" i="174"/>
  <c r="N26" i="174" s="1"/>
  <c r="P26" i="174" s="1"/>
  <c r="D11" i="174"/>
  <c r="N11" i="174" s="1"/>
  <c r="P11" i="174" s="1"/>
  <c r="D13" i="174"/>
  <c r="N13" i="174" s="1"/>
  <c r="P13" i="174" s="1"/>
  <c r="D14" i="174"/>
  <c r="N14" i="174" s="1"/>
  <c r="P14" i="174" s="1"/>
  <c r="D15" i="174"/>
  <c r="N15" i="174" s="1"/>
  <c r="P15" i="174" s="1"/>
  <c r="D16" i="174"/>
  <c r="N16" i="174" s="1"/>
  <c r="P16" i="174" s="1"/>
  <c r="D17" i="174"/>
  <c r="N17" i="174" s="1"/>
  <c r="P17" i="174" s="1"/>
  <c r="D18" i="174"/>
  <c r="N18" i="174" s="1"/>
  <c r="P18" i="174" s="1"/>
  <c r="D19" i="174"/>
  <c r="N19" i="174" s="1"/>
  <c r="P19" i="174" s="1"/>
  <c r="D20" i="174"/>
  <c r="N20" i="174" s="1"/>
  <c r="D21" i="174"/>
  <c r="N21" i="174" s="1"/>
  <c r="P21" i="174" s="1"/>
  <c r="D22" i="174"/>
  <c r="N22" i="174" s="1"/>
  <c r="P22" i="174" s="1"/>
  <c r="D23" i="174"/>
  <c r="N23" i="174" s="1"/>
  <c r="P23" i="174" s="1"/>
  <c r="D24" i="174"/>
  <c r="N24" i="174" s="1"/>
  <c r="P24" i="174" s="1"/>
  <c r="N30" i="174"/>
  <c r="N27" i="174"/>
  <c r="P27" i="174" s="1"/>
  <c r="O10" i="172" l="1"/>
  <c r="D10" i="173" s="1"/>
  <c r="N10" i="173" s="1"/>
  <c r="P10" i="173" s="1"/>
  <c r="O9" i="173"/>
  <c r="D9" i="174" s="1"/>
  <c r="N9" i="174" s="1"/>
  <c r="P9" i="174" s="1"/>
  <c r="D27" i="173"/>
  <c r="D28" i="173"/>
  <c r="D29" i="173"/>
  <c r="D26" i="173"/>
  <c r="D5" i="173"/>
  <c r="E5" i="173" s="1"/>
  <c r="D11" i="173"/>
  <c r="D14" i="173"/>
  <c r="D15" i="173"/>
  <c r="N15" i="173" s="1"/>
  <c r="P15" i="173" s="1"/>
  <c r="D16" i="173"/>
  <c r="D17" i="173"/>
  <c r="D18" i="173"/>
  <c r="D19" i="173"/>
  <c r="N19" i="173" s="1"/>
  <c r="P19" i="173" s="1"/>
  <c r="D20" i="173"/>
  <c r="D21" i="173"/>
  <c r="D22" i="173"/>
  <c r="D23" i="173"/>
  <c r="N23" i="173" s="1"/>
  <c r="P23" i="173" s="1"/>
  <c r="D24" i="173"/>
  <c r="O13" i="172"/>
  <c r="D13" i="173" s="1"/>
  <c r="N13" i="173" s="1"/>
  <c r="P13" i="173" s="1"/>
  <c r="E9" i="171"/>
  <c r="O9" i="172"/>
  <c r="D9" i="173" s="1"/>
  <c r="E23" i="166"/>
  <c r="E12" i="172"/>
  <c r="O12" i="172" s="1"/>
  <c r="D12" i="173" s="1"/>
  <c r="N12" i="173" s="1"/>
  <c r="P12" i="173" s="1"/>
  <c r="E8" i="172"/>
  <c r="O8" i="172" s="1"/>
  <c r="D8" i="173" s="1"/>
  <c r="N8" i="173" s="1"/>
  <c r="P8" i="173" s="1"/>
  <c r="N30" i="173"/>
  <c r="N29" i="173"/>
  <c r="P29" i="173" s="1"/>
  <c r="N28" i="173"/>
  <c r="P28" i="173" s="1"/>
  <c r="N27" i="173"/>
  <c r="P27" i="173" s="1"/>
  <c r="N26" i="173"/>
  <c r="P26" i="173" s="1"/>
  <c r="N24" i="173"/>
  <c r="P24" i="173" s="1"/>
  <c r="N22" i="173"/>
  <c r="P22" i="173" s="1"/>
  <c r="N21" i="173"/>
  <c r="P21" i="173" s="1"/>
  <c r="N20" i="173"/>
  <c r="N18" i="173"/>
  <c r="P18" i="173" s="1"/>
  <c r="N17" i="173"/>
  <c r="P17" i="173" s="1"/>
  <c r="N16" i="173"/>
  <c r="P16" i="173" s="1"/>
  <c r="N14" i="173"/>
  <c r="P14" i="173" s="1"/>
  <c r="N11" i="173"/>
  <c r="P11" i="173" s="1"/>
  <c r="D27" i="172" l="1"/>
  <c r="D28" i="172"/>
  <c r="N28" i="172" s="1"/>
  <c r="P28" i="172" s="1"/>
  <c r="D29" i="172"/>
  <c r="D26" i="172"/>
  <c r="D11" i="172"/>
  <c r="N11" i="172" s="1"/>
  <c r="P11" i="172" s="1"/>
  <c r="D14" i="172"/>
  <c r="N14" i="172" s="1"/>
  <c r="P14" i="172" s="1"/>
  <c r="D15" i="172"/>
  <c r="N15" i="172" s="1"/>
  <c r="P15" i="172" s="1"/>
  <c r="D16" i="172"/>
  <c r="N16" i="172" s="1"/>
  <c r="P16" i="172" s="1"/>
  <c r="D17" i="172"/>
  <c r="N17" i="172" s="1"/>
  <c r="P17" i="172" s="1"/>
  <c r="D18" i="172"/>
  <c r="N18" i="172" s="1"/>
  <c r="P18" i="172" s="1"/>
  <c r="D19" i="172"/>
  <c r="N19" i="172" s="1"/>
  <c r="P19" i="172" s="1"/>
  <c r="D20" i="172"/>
  <c r="N20" i="172" s="1"/>
  <c r="D21" i="172"/>
  <c r="N21" i="172" s="1"/>
  <c r="P21" i="172" s="1"/>
  <c r="D22" i="172"/>
  <c r="N22" i="172" s="1"/>
  <c r="P22" i="172" s="1"/>
  <c r="D23" i="172"/>
  <c r="N23" i="172" s="1"/>
  <c r="P23" i="172" s="1"/>
  <c r="D24" i="172"/>
  <c r="N24" i="172" s="1"/>
  <c r="P24" i="172" s="1"/>
  <c r="O13" i="171"/>
  <c r="D13" i="172" s="1"/>
  <c r="N13" i="172" s="1"/>
  <c r="O12" i="171"/>
  <c r="D12" i="172" s="1"/>
  <c r="N12" i="172" s="1"/>
  <c r="O10" i="171"/>
  <c r="D10" i="172" s="1"/>
  <c r="N10" i="172" s="1"/>
  <c r="P10" i="172" s="1"/>
  <c r="O9" i="171"/>
  <c r="N9" i="173" s="1"/>
  <c r="P9" i="173" s="1"/>
  <c r="D5" i="172"/>
  <c r="E5" i="172" s="1"/>
  <c r="N30" i="172"/>
  <c r="N29" i="172"/>
  <c r="P29" i="172" s="1"/>
  <c r="N27" i="172"/>
  <c r="P27" i="172" s="1"/>
  <c r="N26" i="172"/>
  <c r="P26" i="172" s="1"/>
  <c r="D9" i="172" l="1"/>
  <c r="N9" i="172" s="1"/>
  <c r="P9" i="172" s="1"/>
  <c r="P12" i="172"/>
  <c r="P13" i="172"/>
  <c r="E8" i="170"/>
  <c r="O8" i="170" l="1"/>
  <c r="O8" i="169"/>
  <c r="D8" i="170" s="1"/>
  <c r="O12" i="170"/>
  <c r="D12" i="171" s="1"/>
  <c r="N12" i="171" s="1"/>
  <c r="P12" i="171" s="1"/>
  <c r="O12" i="169"/>
  <c r="D8" i="171"/>
  <c r="N8" i="171" s="1"/>
  <c r="O8" i="171"/>
  <c r="D8" i="172" s="1"/>
  <c r="N8" i="172" s="1"/>
  <c r="P8" i="172" s="1"/>
  <c r="O9" i="170"/>
  <c r="E8" i="166"/>
  <c r="D27" i="171"/>
  <c r="D28" i="171"/>
  <c r="N28" i="171" s="1"/>
  <c r="P28" i="171" s="1"/>
  <c r="D29" i="171"/>
  <c r="N29" i="171" s="1"/>
  <c r="P29" i="171" s="1"/>
  <c r="D26" i="171"/>
  <c r="N26" i="171" s="1"/>
  <c r="P26" i="171" s="1"/>
  <c r="D9" i="171"/>
  <c r="N9" i="171" s="1"/>
  <c r="P9" i="171" s="1"/>
  <c r="D10" i="171"/>
  <c r="N10" i="171" s="1"/>
  <c r="P10" i="171" s="1"/>
  <c r="D11" i="171"/>
  <c r="N11" i="171" s="1"/>
  <c r="P11" i="171" s="1"/>
  <c r="D13" i="171"/>
  <c r="N13" i="171" s="1"/>
  <c r="D14" i="171"/>
  <c r="N14" i="171" s="1"/>
  <c r="P14" i="171" s="1"/>
  <c r="D15" i="171"/>
  <c r="N15" i="171" s="1"/>
  <c r="P15" i="171" s="1"/>
  <c r="D16" i="171"/>
  <c r="N16" i="171" s="1"/>
  <c r="P16" i="171" s="1"/>
  <c r="D17" i="171"/>
  <c r="N17" i="171" s="1"/>
  <c r="P17" i="171" s="1"/>
  <c r="D18" i="171"/>
  <c r="N18" i="171" s="1"/>
  <c r="P18" i="171" s="1"/>
  <c r="D19" i="171"/>
  <c r="N19" i="171" s="1"/>
  <c r="P19" i="171" s="1"/>
  <c r="D20" i="171"/>
  <c r="N20" i="171" s="1"/>
  <c r="D21" i="171"/>
  <c r="N21" i="171" s="1"/>
  <c r="P21" i="171" s="1"/>
  <c r="D22" i="171"/>
  <c r="N22" i="171" s="1"/>
  <c r="P22" i="171" s="1"/>
  <c r="D23" i="171"/>
  <c r="N23" i="171" s="1"/>
  <c r="P23" i="171" s="1"/>
  <c r="D24" i="171"/>
  <c r="N24" i="171" s="1"/>
  <c r="P24" i="171" s="1"/>
  <c r="N30" i="171"/>
  <c r="N27" i="171"/>
  <c r="P27" i="171" s="1"/>
  <c r="D5" i="171"/>
  <c r="E5" i="171" s="1"/>
  <c r="P13" i="171" l="1"/>
  <c r="P8" i="171"/>
  <c r="D11" i="170"/>
  <c r="D12" i="170"/>
  <c r="D14" i="170"/>
  <c r="D15" i="170"/>
  <c r="D16" i="170"/>
  <c r="D17" i="170"/>
  <c r="D18" i="170"/>
  <c r="D19" i="170"/>
  <c r="D20" i="170"/>
  <c r="D21" i="170"/>
  <c r="D22" i="170"/>
  <c r="D23" i="170"/>
  <c r="D24" i="170"/>
  <c r="D27" i="170"/>
  <c r="D28" i="170"/>
  <c r="D29" i="170"/>
  <c r="D26" i="170"/>
  <c r="O13" i="169"/>
  <c r="D13" i="170" s="1"/>
  <c r="O10" i="169"/>
  <c r="D10" i="170" s="1"/>
  <c r="E9" i="169"/>
  <c r="O9" i="169" s="1"/>
  <c r="D9" i="170" s="1"/>
  <c r="O13" i="168"/>
  <c r="O12" i="168"/>
  <c r="O10" i="168"/>
  <c r="E8" i="168"/>
  <c r="O8" i="168" s="1"/>
  <c r="D5" i="170" l="1"/>
  <c r="E5" i="170" s="1"/>
  <c r="N30" i="170"/>
  <c r="N29" i="170"/>
  <c r="P29" i="170" s="1"/>
  <c r="N28" i="170"/>
  <c r="P28" i="170" s="1"/>
  <c r="N27" i="170"/>
  <c r="P27" i="170" s="1"/>
  <c r="N26" i="170"/>
  <c r="P26" i="170" s="1"/>
  <c r="N24" i="170"/>
  <c r="P24" i="170" s="1"/>
  <c r="N23" i="170"/>
  <c r="P23" i="170" s="1"/>
  <c r="N22" i="170"/>
  <c r="P22" i="170" s="1"/>
  <c r="N21" i="170"/>
  <c r="P21" i="170" s="1"/>
  <c r="N20" i="170"/>
  <c r="N19" i="170"/>
  <c r="P19" i="170" s="1"/>
  <c r="N18" i="170"/>
  <c r="P18" i="170" s="1"/>
  <c r="N17" i="170"/>
  <c r="P17" i="170" s="1"/>
  <c r="N16" i="170"/>
  <c r="P16" i="170" s="1"/>
  <c r="N15" i="170"/>
  <c r="P15" i="170" s="1"/>
  <c r="N14" i="170"/>
  <c r="P14" i="170" s="1"/>
  <c r="N13" i="170"/>
  <c r="P13" i="170" s="1"/>
  <c r="N12" i="170"/>
  <c r="P12" i="170" s="1"/>
  <c r="N11" i="170"/>
  <c r="P11" i="170" s="1"/>
  <c r="N10" i="170"/>
  <c r="P10" i="170" s="1"/>
  <c r="N9" i="170"/>
  <c r="P9" i="170" s="1"/>
  <c r="N8" i="170"/>
  <c r="P8" i="170" s="1"/>
  <c r="D27" i="169"/>
  <c r="D28" i="169"/>
  <c r="D29" i="169"/>
  <c r="D26" i="169"/>
  <c r="N26" i="169" s="1"/>
  <c r="P26" i="169" s="1"/>
  <c r="D9" i="169"/>
  <c r="N9" i="169" s="1"/>
  <c r="P9" i="169" s="1"/>
  <c r="D10" i="169"/>
  <c r="N10" i="169" s="1"/>
  <c r="P10" i="169" s="1"/>
  <c r="D11" i="169"/>
  <c r="N11" i="169" s="1"/>
  <c r="P11" i="169" s="1"/>
  <c r="D12" i="169"/>
  <c r="N12" i="169" s="1"/>
  <c r="P12" i="169" s="1"/>
  <c r="D13" i="169"/>
  <c r="N13" i="169" s="1"/>
  <c r="P13" i="169" s="1"/>
  <c r="D14" i="169"/>
  <c r="N14" i="169" s="1"/>
  <c r="P14" i="169" s="1"/>
  <c r="D15" i="169"/>
  <c r="N15" i="169" s="1"/>
  <c r="P15" i="169" s="1"/>
  <c r="D16" i="169"/>
  <c r="N16" i="169" s="1"/>
  <c r="P16" i="169" s="1"/>
  <c r="D17" i="169"/>
  <c r="N17" i="169" s="1"/>
  <c r="P17" i="169" s="1"/>
  <c r="D18" i="169"/>
  <c r="N18" i="169" s="1"/>
  <c r="P18" i="169" s="1"/>
  <c r="D19" i="169"/>
  <c r="N19" i="169" s="1"/>
  <c r="P19" i="169" s="1"/>
  <c r="D20" i="169"/>
  <c r="N20" i="169" s="1"/>
  <c r="D21" i="169"/>
  <c r="N21" i="169" s="1"/>
  <c r="P21" i="169" s="1"/>
  <c r="D22" i="169"/>
  <c r="N22" i="169" s="1"/>
  <c r="P22" i="169" s="1"/>
  <c r="D23" i="169"/>
  <c r="N23" i="169" s="1"/>
  <c r="P23" i="169" s="1"/>
  <c r="D24" i="169"/>
  <c r="D8" i="169"/>
  <c r="N8" i="169" s="1"/>
  <c r="P8" i="169" s="1"/>
  <c r="N30" i="169"/>
  <c r="N29" i="169"/>
  <c r="P29" i="169" s="1"/>
  <c r="N28" i="169"/>
  <c r="P28" i="169" s="1"/>
  <c r="N27" i="169"/>
  <c r="P27" i="169" s="1"/>
  <c r="N24" i="169"/>
  <c r="P24" i="169" s="1"/>
  <c r="D5" i="169"/>
  <c r="E5" i="169" s="1"/>
  <c r="D27" i="168" l="1"/>
  <c r="N27" i="168" s="1"/>
  <c r="P27" i="168" s="1"/>
  <c r="D28" i="168"/>
  <c r="D29" i="168"/>
  <c r="N29" i="168" s="1"/>
  <c r="P29" i="168" s="1"/>
  <c r="D26" i="168"/>
  <c r="N26" i="168" s="1"/>
  <c r="P26" i="168" s="1"/>
  <c r="D9" i="168"/>
  <c r="N9" i="168" s="1"/>
  <c r="P9" i="168" s="1"/>
  <c r="D11" i="168"/>
  <c r="N11" i="168" s="1"/>
  <c r="P11" i="168" s="1"/>
  <c r="D14" i="168"/>
  <c r="N14" i="168" s="1"/>
  <c r="P14" i="168" s="1"/>
  <c r="D15" i="168"/>
  <c r="N15" i="168" s="1"/>
  <c r="P15" i="168" s="1"/>
  <c r="D16" i="168"/>
  <c r="N16" i="168" s="1"/>
  <c r="P16" i="168" s="1"/>
  <c r="D17" i="168"/>
  <c r="N17" i="168" s="1"/>
  <c r="P17" i="168" s="1"/>
  <c r="D18" i="168"/>
  <c r="N18" i="168" s="1"/>
  <c r="P18" i="168" s="1"/>
  <c r="D19" i="168"/>
  <c r="N19" i="168" s="1"/>
  <c r="P19" i="168" s="1"/>
  <c r="D20" i="168"/>
  <c r="N20" i="168" s="1"/>
  <c r="D21" i="168"/>
  <c r="N21" i="168" s="1"/>
  <c r="P21" i="168" s="1"/>
  <c r="D22" i="168"/>
  <c r="N22" i="168" s="1"/>
  <c r="P22" i="168" s="1"/>
  <c r="D23" i="168"/>
  <c r="N23" i="168" s="1"/>
  <c r="P23" i="168" s="1"/>
  <c r="D24" i="168"/>
  <c r="N24" i="168" s="1"/>
  <c r="P24" i="168" s="1"/>
  <c r="O13" i="167"/>
  <c r="D13" i="168" s="1"/>
  <c r="N13" i="168" s="1"/>
  <c r="P13" i="168" s="1"/>
  <c r="O12" i="167"/>
  <c r="D12" i="168" s="1"/>
  <c r="N12" i="168" s="1"/>
  <c r="P12" i="168" s="1"/>
  <c r="O10" i="167"/>
  <c r="D10" i="168" s="1"/>
  <c r="N10" i="168" s="1"/>
  <c r="P10" i="168" s="1"/>
  <c r="E8" i="167"/>
  <c r="O8" i="167" s="1"/>
  <c r="D8" i="168" s="1"/>
  <c r="N8" i="168" s="1"/>
  <c r="P8" i="168" s="1"/>
  <c r="D5" i="168"/>
  <c r="E5" i="168" s="1"/>
  <c r="N30" i="168"/>
  <c r="N28" i="168"/>
  <c r="P28" i="168" s="1"/>
  <c r="D9" i="167" l="1"/>
  <c r="D11" i="167"/>
  <c r="D13" i="167"/>
  <c r="D14" i="167"/>
  <c r="D15" i="167"/>
  <c r="D16" i="167"/>
  <c r="D17" i="167"/>
  <c r="D18" i="167"/>
  <c r="D19" i="167"/>
  <c r="D20" i="167"/>
  <c r="D21" i="167"/>
  <c r="D22" i="167"/>
  <c r="D23" i="167"/>
  <c r="D24" i="167"/>
  <c r="D27" i="167"/>
  <c r="D28" i="167"/>
  <c r="D29" i="167"/>
  <c r="D26" i="167"/>
  <c r="O8" i="166"/>
  <c r="O12" i="166"/>
  <c r="D12" i="167" s="1"/>
  <c r="O10" i="166"/>
  <c r="D10" i="167" s="1"/>
  <c r="D11" i="166"/>
  <c r="D14" i="166"/>
  <c r="D15" i="166"/>
  <c r="D16" i="166"/>
  <c r="D17" i="166"/>
  <c r="D18" i="166"/>
  <c r="D19" i="166"/>
  <c r="D20" i="166"/>
  <c r="D21" i="166"/>
  <c r="D22" i="166"/>
  <c r="D23" i="166"/>
  <c r="D24" i="166"/>
  <c r="N17" i="167" l="1"/>
  <c r="P17" i="167" s="1"/>
  <c r="N18" i="167"/>
  <c r="P18" i="167" s="1"/>
  <c r="N19" i="167"/>
  <c r="P19" i="167" s="1"/>
  <c r="D8" i="167"/>
  <c r="N8" i="167" s="1"/>
  <c r="P8" i="167" s="1"/>
  <c r="D5" i="167"/>
  <c r="E5" i="167" s="1"/>
  <c r="N30" i="167"/>
  <c r="N29" i="167"/>
  <c r="P29" i="167" s="1"/>
  <c r="N28" i="167"/>
  <c r="P28" i="167" s="1"/>
  <c r="N27" i="167"/>
  <c r="P27" i="167" s="1"/>
  <c r="N26" i="167"/>
  <c r="P26" i="167" s="1"/>
  <c r="N24" i="167"/>
  <c r="P24" i="167" s="1"/>
  <c r="N23" i="167"/>
  <c r="P23" i="167" s="1"/>
  <c r="N22" i="167"/>
  <c r="P22" i="167" s="1"/>
  <c r="N21" i="167"/>
  <c r="P21" i="167" s="1"/>
  <c r="N20" i="167"/>
  <c r="N16" i="167"/>
  <c r="P16" i="167" s="1"/>
  <c r="N15" i="167"/>
  <c r="P15" i="167" s="1"/>
  <c r="N14" i="167"/>
  <c r="P14" i="167" s="1"/>
  <c r="N13" i="167"/>
  <c r="P13" i="167" s="1"/>
  <c r="N12" i="167"/>
  <c r="P12" i="167" s="1"/>
  <c r="N11" i="167"/>
  <c r="P11" i="167" s="1"/>
  <c r="N10" i="167"/>
  <c r="P10" i="167" s="1"/>
  <c r="N9" i="167"/>
  <c r="P9" i="167" s="1"/>
  <c r="O8" i="165" l="1"/>
  <c r="O12" i="165" l="1"/>
  <c r="D12" i="166" s="1"/>
  <c r="O13" i="165"/>
  <c r="D13" i="166" s="1"/>
  <c r="O10" i="165"/>
  <c r="D10" i="166" s="1"/>
  <c r="D27" i="166" l="1"/>
  <c r="N27" i="166" s="1"/>
  <c r="P27" i="166" s="1"/>
  <c r="D28" i="166"/>
  <c r="N28" i="166" s="1"/>
  <c r="P28" i="166" s="1"/>
  <c r="D29" i="166"/>
  <c r="N29" i="166" s="1"/>
  <c r="P29" i="166" s="1"/>
  <c r="D26" i="166"/>
  <c r="N26" i="166" s="1"/>
  <c r="P26" i="166" s="1"/>
  <c r="N13" i="166"/>
  <c r="P13" i="166" s="1"/>
  <c r="N14" i="166"/>
  <c r="P14" i="166" s="1"/>
  <c r="N16" i="166"/>
  <c r="P16" i="166" s="1"/>
  <c r="N19" i="166"/>
  <c r="P19" i="166" s="1"/>
  <c r="D5" i="166"/>
  <c r="E5" i="166" s="1"/>
  <c r="N30" i="166"/>
  <c r="N24" i="166"/>
  <c r="P24" i="166" s="1"/>
  <c r="N23" i="166"/>
  <c r="P23" i="166" s="1"/>
  <c r="N22" i="166"/>
  <c r="P22" i="166" s="1"/>
  <c r="N21" i="166"/>
  <c r="P21" i="166" s="1"/>
  <c r="N20" i="166"/>
  <c r="N18" i="166"/>
  <c r="P18" i="166" s="1"/>
  <c r="N17" i="166"/>
  <c r="P17" i="166" s="1"/>
  <c r="N15" i="166"/>
  <c r="P15" i="166" s="1"/>
  <c r="N12" i="166"/>
  <c r="P12" i="166" s="1"/>
  <c r="N11" i="166"/>
  <c r="P11" i="166" s="1"/>
  <c r="N10" i="166"/>
  <c r="P10" i="166" s="1"/>
  <c r="O8" i="162"/>
  <c r="O8" i="161"/>
  <c r="E9" i="165"/>
  <c r="O9" i="165" s="1"/>
  <c r="D9" i="166" s="1"/>
  <c r="N9" i="166" s="1"/>
  <c r="P9" i="166" s="1"/>
  <c r="O13" i="164"/>
  <c r="O12" i="164"/>
  <c r="F10" i="164"/>
  <c r="O13" i="163"/>
  <c r="O10" i="163"/>
  <c r="O10" i="164"/>
  <c r="O9" i="163"/>
  <c r="E8" i="164"/>
  <c r="O8" i="164" s="1"/>
  <c r="E10" i="161"/>
  <c r="D10" i="163"/>
  <c r="D11" i="163"/>
  <c r="D12" i="163"/>
  <c r="D13" i="163"/>
  <c r="D14" i="163"/>
  <c r="D15" i="163"/>
  <c r="D16" i="163"/>
  <c r="D17" i="163"/>
  <c r="D18" i="163"/>
  <c r="D19" i="163"/>
  <c r="D20" i="163"/>
  <c r="D21" i="163"/>
  <c r="D22" i="163"/>
  <c r="D23" i="163"/>
  <c r="D24" i="163"/>
  <c r="E8" i="163"/>
  <c r="O8" i="163" s="1"/>
  <c r="O9" i="162"/>
  <c r="D9" i="163" s="1"/>
  <c r="D11" i="161"/>
  <c r="D14" i="161"/>
  <c r="D15" i="161"/>
  <c r="D16" i="161"/>
  <c r="D17" i="161"/>
  <c r="D18" i="161"/>
  <c r="D19" i="161"/>
  <c r="D20" i="161"/>
  <c r="D21" i="161"/>
  <c r="D22" i="161"/>
  <c r="D23" i="161"/>
  <c r="D24" i="161"/>
  <c r="E9" i="160" l="1"/>
  <c r="O9" i="160" s="1"/>
  <c r="D9" i="161" s="1"/>
  <c r="E10" i="162"/>
  <c r="O9" i="161" l="1"/>
  <c r="D27" i="165" l="1"/>
  <c r="N27" i="165" s="1"/>
  <c r="P27" i="165" s="1"/>
  <c r="D28" i="165"/>
  <c r="N28" i="165" s="1"/>
  <c r="P28" i="165" s="1"/>
  <c r="D29" i="165"/>
  <c r="N29" i="165" s="1"/>
  <c r="P29" i="165" s="1"/>
  <c r="D26" i="165"/>
  <c r="N26" i="165" s="1"/>
  <c r="P26" i="165" s="1"/>
  <c r="D9" i="165"/>
  <c r="N9" i="165" s="1"/>
  <c r="P9" i="165" s="1"/>
  <c r="D10" i="165"/>
  <c r="N10" i="165" s="1"/>
  <c r="P10" i="165" s="1"/>
  <c r="D11" i="165"/>
  <c r="N11" i="165" s="1"/>
  <c r="P11" i="165" s="1"/>
  <c r="D12" i="165"/>
  <c r="N12" i="165" s="1"/>
  <c r="P12" i="165" s="1"/>
  <c r="D13" i="165"/>
  <c r="N13" i="165" s="1"/>
  <c r="P13" i="165" s="1"/>
  <c r="D14" i="165"/>
  <c r="N14" i="165" s="1"/>
  <c r="P14" i="165" s="1"/>
  <c r="D15" i="165"/>
  <c r="N15" i="165" s="1"/>
  <c r="P15" i="165" s="1"/>
  <c r="D16" i="165"/>
  <c r="N16" i="165" s="1"/>
  <c r="P16" i="165" s="1"/>
  <c r="D17" i="165"/>
  <c r="N17" i="165" s="1"/>
  <c r="P17" i="165" s="1"/>
  <c r="D18" i="165"/>
  <c r="N18" i="165" s="1"/>
  <c r="P18" i="165" s="1"/>
  <c r="D19" i="165"/>
  <c r="N19" i="165" s="1"/>
  <c r="P19" i="165" s="1"/>
  <c r="D20" i="165"/>
  <c r="N20" i="165" s="1"/>
  <c r="D21" i="165"/>
  <c r="N21" i="165" s="1"/>
  <c r="P21" i="165" s="1"/>
  <c r="D22" i="165"/>
  <c r="N22" i="165" s="1"/>
  <c r="P22" i="165" s="1"/>
  <c r="D23" i="165"/>
  <c r="N23" i="165" s="1"/>
  <c r="P23" i="165" s="1"/>
  <c r="D24" i="165"/>
  <c r="N24" i="165" s="1"/>
  <c r="P24" i="165" s="1"/>
  <c r="D8" i="165"/>
  <c r="N8" i="165" s="1"/>
  <c r="D5" i="165"/>
  <c r="E5" i="165" s="1"/>
  <c r="N30" i="165"/>
  <c r="D5" i="164"/>
  <c r="D27" i="163"/>
  <c r="N27" i="163" s="1"/>
  <c r="P27" i="163" s="1"/>
  <c r="D28" i="163"/>
  <c r="D29" i="163"/>
  <c r="N29" i="163" s="1"/>
  <c r="P29" i="163" s="1"/>
  <c r="D26" i="163"/>
  <c r="N26" i="163" s="1"/>
  <c r="P26" i="163" s="1"/>
  <c r="N9" i="163"/>
  <c r="N10" i="163"/>
  <c r="N11" i="163"/>
  <c r="P11" i="163" s="1"/>
  <c r="N13" i="163"/>
  <c r="P13" i="163" s="1"/>
  <c r="N15" i="163"/>
  <c r="P15" i="163" s="1"/>
  <c r="N17" i="163"/>
  <c r="P17" i="163" s="1"/>
  <c r="N18" i="163"/>
  <c r="P18" i="163" s="1"/>
  <c r="N19" i="163"/>
  <c r="P19" i="163" s="1"/>
  <c r="N21" i="163"/>
  <c r="P21" i="163" s="1"/>
  <c r="N23" i="163"/>
  <c r="P23" i="163" s="1"/>
  <c r="D8" i="163"/>
  <c r="N8" i="163" s="1"/>
  <c r="D5" i="163"/>
  <c r="E5" i="163" s="1"/>
  <c r="D27" i="162"/>
  <c r="N27" i="162" s="1"/>
  <c r="P27" i="162" s="1"/>
  <c r="D28" i="162"/>
  <c r="N28" i="162" s="1"/>
  <c r="P28" i="162" s="1"/>
  <c r="D29" i="162"/>
  <c r="N29" i="162" s="1"/>
  <c r="P29" i="162" s="1"/>
  <c r="D26" i="162"/>
  <c r="N26" i="162" s="1"/>
  <c r="P26" i="162" s="1"/>
  <c r="D9" i="162"/>
  <c r="N9" i="162" s="1"/>
  <c r="D10" i="162"/>
  <c r="N10" i="162" s="1"/>
  <c r="D11" i="162"/>
  <c r="N11" i="162" s="1"/>
  <c r="P11" i="162" s="1"/>
  <c r="D12" i="162"/>
  <c r="N12" i="162" s="1"/>
  <c r="P12" i="162" s="1"/>
  <c r="D13" i="162"/>
  <c r="N13" i="162" s="1"/>
  <c r="P13" i="162" s="1"/>
  <c r="D14" i="162"/>
  <c r="D15" i="162"/>
  <c r="N15" i="162" s="1"/>
  <c r="P15" i="162" s="1"/>
  <c r="D16" i="162"/>
  <c r="N16" i="162" s="1"/>
  <c r="P16" i="162" s="1"/>
  <c r="D17" i="162"/>
  <c r="N17" i="162" s="1"/>
  <c r="P17" i="162" s="1"/>
  <c r="D18" i="162"/>
  <c r="N18" i="162" s="1"/>
  <c r="P18" i="162" s="1"/>
  <c r="D19" i="162"/>
  <c r="N19" i="162" s="1"/>
  <c r="P19" i="162" s="1"/>
  <c r="D20" i="162"/>
  <c r="N20" i="162" s="1"/>
  <c r="D21" i="162"/>
  <c r="N21" i="162" s="1"/>
  <c r="P21" i="162" s="1"/>
  <c r="D22" i="162"/>
  <c r="N22" i="162" s="1"/>
  <c r="P22" i="162" s="1"/>
  <c r="D23" i="162"/>
  <c r="N23" i="162" s="1"/>
  <c r="P23" i="162" s="1"/>
  <c r="D24" i="162"/>
  <c r="N24" i="162" s="1"/>
  <c r="P24" i="162" s="1"/>
  <c r="D8" i="162"/>
  <c r="N8" i="162" s="1"/>
  <c r="D27" i="164"/>
  <c r="D28" i="164"/>
  <c r="D29" i="164"/>
  <c r="D26" i="164"/>
  <c r="N26" i="164" s="1"/>
  <c r="P26" i="164" s="1"/>
  <c r="D9" i="164"/>
  <c r="N9" i="164" s="1"/>
  <c r="P9" i="164" s="1"/>
  <c r="D10" i="164"/>
  <c r="N10" i="164" s="1"/>
  <c r="P10" i="164" s="1"/>
  <c r="D11" i="164"/>
  <c r="N11" i="164" s="1"/>
  <c r="P11" i="164" s="1"/>
  <c r="D12" i="164"/>
  <c r="N12" i="164" s="1"/>
  <c r="P12" i="164" s="1"/>
  <c r="D13" i="164"/>
  <c r="N13" i="164" s="1"/>
  <c r="P13" i="164" s="1"/>
  <c r="D14" i="164"/>
  <c r="N14" i="164" s="1"/>
  <c r="P14" i="164" s="1"/>
  <c r="D15" i="164"/>
  <c r="N15" i="164" s="1"/>
  <c r="P15" i="164" s="1"/>
  <c r="D16" i="164"/>
  <c r="N16" i="164" s="1"/>
  <c r="P16" i="164" s="1"/>
  <c r="D17" i="164"/>
  <c r="N17" i="164" s="1"/>
  <c r="P17" i="164" s="1"/>
  <c r="D18" i="164"/>
  <c r="N18" i="164" s="1"/>
  <c r="P18" i="164" s="1"/>
  <c r="D19" i="164"/>
  <c r="N19" i="164" s="1"/>
  <c r="P19" i="164" s="1"/>
  <c r="D20" i="164"/>
  <c r="N20" i="164" s="1"/>
  <c r="D21" i="164"/>
  <c r="N21" i="164" s="1"/>
  <c r="P21" i="164" s="1"/>
  <c r="D22" i="164"/>
  <c r="N22" i="164" s="1"/>
  <c r="P22" i="164" s="1"/>
  <c r="D23" i="164"/>
  <c r="N23" i="164" s="1"/>
  <c r="P23" i="164" s="1"/>
  <c r="D24" i="164"/>
  <c r="N24" i="164" s="1"/>
  <c r="P24" i="164" s="1"/>
  <c r="D8" i="164"/>
  <c r="N8" i="164" s="1"/>
  <c r="P8" i="164" s="1"/>
  <c r="N30" i="164"/>
  <c r="N29" i="164"/>
  <c r="P29" i="164" s="1"/>
  <c r="N28" i="164"/>
  <c r="P28" i="164" s="1"/>
  <c r="N27" i="164"/>
  <c r="P27" i="164" s="1"/>
  <c r="E5" i="164"/>
  <c r="N30" i="163"/>
  <c r="N28" i="163"/>
  <c r="P28" i="163" s="1"/>
  <c r="N24" i="163"/>
  <c r="P24" i="163" s="1"/>
  <c r="N22" i="163"/>
  <c r="P22" i="163" s="1"/>
  <c r="N20" i="163"/>
  <c r="N16" i="163"/>
  <c r="P16" i="163" s="1"/>
  <c r="N14" i="163"/>
  <c r="P14" i="163" s="1"/>
  <c r="N12" i="163"/>
  <c r="P12" i="163" s="1"/>
  <c r="N30" i="162"/>
  <c r="N14" i="162"/>
  <c r="P14" i="162" s="1"/>
  <c r="D5" i="162"/>
  <c r="E5" i="162" s="1"/>
  <c r="P8" i="163" l="1"/>
  <c r="P9" i="163"/>
  <c r="P10" i="163"/>
  <c r="P8" i="162"/>
  <c r="P9" i="162"/>
  <c r="P10" i="162"/>
  <c r="D27" i="161"/>
  <c r="N27" i="161" s="1"/>
  <c r="P27" i="161" s="1"/>
  <c r="D28" i="161"/>
  <c r="N28" i="161" s="1"/>
  <c r="P28" i="161" s="1"/>
  <c r="D29" i="161"/>
  <c r="N29" i="161" s="1"/>
  <c r="P29" i="161" s="1"/>
  <c r="D26" i="161"/>
  <c r="N26" i="161" s="1"/>
  <c r="P26" i="161" s="1"/>
  <c r="D5" i="161"/>
  <c r="E5" i="161" s="1"/>
  <c r="N30" i="161"/>
  <c r="N24" i="161"/>
  <c r="P24" i="161" s="1"/>
  <c r="N23" i="161"/>
  <c r="P23" i="161" s="1"/>
  <c r="N22" i="161"/>
  <c r="P22" i="161" s="1"/>
  <c r="N21" i="161"/>
  <c r="P21" i="161" s="1"/>
  <c r="N20" i="161"/>
  <c r="N19" i="161"/>
  <c r="P19" i="161" s="1"/>
  <c r="N18" i="161"/>
  <c r="P18" i="161" s="1"/>
  <c r="N17" i="161"/>
  <c r="P17" i="161" s="1"/>
  <c r="N16" i="161"/>
  <c r="P16" i="161" s="1"/>
  <c r="N15" i="161"/>
  <c r="P15" i="161" s="1"/>
  <c r="N14" i="161"/>
  <c r="P14" i="161" s="1"/>
  <c r="N11" i="161"/>
  <c r="P11" i="161" s="1"/>
  <c r="M10" i="157" l="1"/>
  <c r="M8" i="157" l="1"/>
  <c r="O13" i="160"/>
  <c r="D13" i="161" s="1"/>
  <c r="N13" i="161" s="1"/>
  <c r="P13" i="161" s="1"/>
  <c r="O12" i="160"/>
  <c r="D12" i="161" s="1"/>
  <c r="N12" i="161" s="1"/>
  <c r="P12" i="161" s="1"/>
  <c r="O10" i="160"/>
  <c r="D10" i="161" s="1"/>
  <c r="N10" i="161" s="1"/>
  <c r="P10" i="161" s="1"/>
  <c r="N9" i="161"/>
  <c r="P9" i="161" s="1"/>
  <c r="O8" i="160"/>
  <c r="D8" i="161" s="1"/>
  <c r="N8" i="161" s="1"/>
  <c r="P8" i="161" s="1"/>
  <c r="D27" i="160"/>
  <c r="D28" i="160"/>
  <c r="D29" i="160"/>
  <c r="D26" i="160"/>
  <c r="D9" i="160"/>
  <c r="D10" i="160"/>
  <c r="D11" i="160"/>
  <c r="D12" i="160"/>
  <c r="D14" i="160"/>
  <c r="D15" i="160"/>
  <c r="D16" i="160"/>
  <c r="D17" i="160"/>
  <c r="D18" i="160"/>
  <c r="D19" i="160"/>
  <c r="D20" i="160"/>
  <c r="D21" i="160"/>
  <c r="D22" i="160"/>
  <c r="D23" i="160"/>
  <c r="D24" i="160"/>
  <c r="D8" i="160"/>
  <c r="D5" i="160"/>
  <c r="O13" i="159"/>
  <c r="D13" i="160" s="1"/>
  <c r="D5" i="159"/>
  <c r="D9" i="159"/>
  <c r="D10" i="159"/>
  <c r="D11" i="159"/>
  <c r="D12" i="159"/>
  <c r="D13" i="159"/>
  <c r="D14" i="159"/>
  <c r="D15" i="159"/>
  <c r="D16" i="159"/>
  <c r="D17" i="159"/>
  <c r="D18" i="159"/>
  <c r="D19" i="159"/>
  <c r="D20" i="159"/>
  <c r="D21" i="159"/>
  <c r="D22" i="159"/>
  <c r="D23" i="159"/>
  <c r="D24" i="159"/>
  <c r="D8" i="159"/>
  <c r="E8" i="159"/>
  <c r="N30" i="160" l="1"/>
  <c r="N29" i="160"/>
  <c r="P29" i="160" s="1"/>
  <c r="N28" i="160"/>
  <c r="P28" i="160" s="1"/>
  <c r="N27" i="160"/>
  <c r="P27" i="160" s="1"/>
  <c r="N26" i="160"/>
  <c r="P26" i="160" s="1"/>
  <c r="N24" i="160"/>
  <c r="P24" i="160" s="1"/>
  <c r="N23" i="160"/>
  <c r="P23" i="160" s="1"/>
  <c r="N22" i="160"/>
  <c r="P22" i="160" s="1"/>
  <c r="N21" i="160"/>
  <c r="P21" i="160" s="1"/>
  <c r="N20" i="160"/>
  <c r="N19" i="160"/>
  <c r="P19" i="160" s="1"/>
  <c r="N18" i="160"/>
  <c r="P18" i="160" s="1"/>
  <c r="N17" i="160"/>
  <c r="P17" i="160" s="1"/>
  <c r="N16" i="160"/>
  <c r="P16" i="160" s="1"/>
  <c r="N15" i="160"/>
  <c r="P15" i="160" s="1"/>
  <c r="N14" i="160"/>
  <c r="P14" i="160" s="1"/>
  <c r="N13" i="160"/>
  <c r="P13" i="160" s="1"/>
  <c r="N12" i="160"/>
  <c r="P12" i="160" s="1"/>
  <c r="N11" i="160"/>
  <c r="P11" i="160" s="1"/>
  <c r="N10" i="160"/>
  <c r="P10" i="160" s="1"/>
  <c r="N9" i="160"/>
  <c r="P9" i="160" s="1"/>
  <c r="N8" i="160"/>
  <c r="P8" i="160" s="1"/>
  <c r="E5" i="160"/>
  <c r="D27" i="159" l="1"/>
  <c r="D28" i="159"/>
  <c r="D29" i="159"/>
  <c r="D26" i="159"/>
  <c r="N27" i="159" l="1"/>
  <c r="P27" i="159" s="1"/>
  <c r="N29" i="159"/>
  <c r="P29" i="159" s="1"/>
  <c r="E5" i="159"/>
  <c r="D5" i="158"/>
  <c r="N30" i="159"/>
  <c r="N28" i="159"/>
  <c r="P28" i="159" s="1"/>
  <c r="N26" i="159"/>
  <c r="P26" i="159" s="1"/>
  <c r="N24" i="159"/>
  <c r="P24" i="159" s="1"/>
  <c r="N23" i="159"/>
  <c r="P23" i="159" s="1"/>
  <c r="N22" i="159"/>
  <c r="P22" i="159" s="1"/>
  <c r="N21" i="159"/>
  <c r="P21" i="159" s="1"/>
  <c r="N20" i="159"/>
  <c r="N19" i="159"/>
  <c r="P19" i="159" s="1"/>
  <c r="N18" i="159"/>
  <c r="P18" i="159" s="1"/>
  <c r="N17" i="159"/>
  <c r="P17" i="159" s="1"/>
  <c r="N16" i="159"/>
  <c r="P16" i="159" s="1"/>
  <c r="N15" i="159"/>
  <c r="P15" i="159" s="1"/>
  <c r="N14" i="159"/>
  <c r="P14" i="159" s="1"/>
  <c r="N13" i="159"/>
  <c r="P13" i="159" s="1"/>
  <c r="N12" i="159"/>
  <c r="P12" i="159" s="1"/>
  <c r="N11" i="159"/>
  <c r="P11" i="159" s="1"/>
  <c r="N10" i="159"/>
  <c r="P10" i="159" s="1"/>
  <c r="N9" i="159"/>
  <c r="P9" i="159" s="1"/>
  <c r="N8" i="159"/>
  <c r="P8" i="159" s="1"/>
  <c r="F10" i="154"/>
  <c r="M9" i="157"/>
  <c r="D9" i="158" s="1"/>
  <c r="E9" i="157"/>
  <c r="D8" i="158"/>
  <c r="E29" i="158"/>
  <c r="E8" i="158"/>
  <c r="D10" i="158"/>
  <c r="D11" i="158"/>
  <c r="D14" i="158"/>
  <c r="D15" i="158"/>
  <c r="D16" i="158"/>
  <c r="D17" i="158"/>
  <c r="D18" i="158"/>
  <c r="D19" i="158"/>
  <c r="D20" i="158"/>
  <c r="D21" i="158"/>
  <c r="D22" i="158"/>
  <c r="D23" i="158"/>
  <c r="D24" i="158"/>
  <c r="M13" i="157"/>
  <c r="D13" i="158" s="1"/>
  <c r="M12" i="157"/>
  <c r="D12" i="158" s="1"/>
  <c r="D5" i="157"/>
  <c r="E5" i="157" s="1"/>
  <c r="E8" i="157"/>
  <c r="N30" i="158" l="1"/>
  <c r="N24" i="158"/>
  <c r="P24" i="158" s="1"/>
  <c r="N23" i="158"/>
  <c r="P23" i="158" s="1"/>
  <c r="N22" i="158"/>
  <c r="P22" i="158" s="1"/>
  <c r="N21" i="158"/>
  <c r="P21" i="158" s="1"/>
  <c r="N20" i="158"/>
  <c r="N19" i="158"/>
  <c r="P19" i="158" s="1"/>
  <c r="N18" i="158"/>
  <c r="P18" i="158" s="1"/>
  <c r="N17" i="158"/>
  <c r="P17" i="158" s="1"/>
  <c r="N16" i="158"/>
  <c r="P16" i="158" s="1"/>
  <c r="N15" i="158"/>
  <c r="P15" i="158" s="1"/>
  <c r="N14" i="158"/>
  <c r="P14" i="158" s="1"/>
  <c r="N13" i="158"/>
  <c r="P13" i="158" s="1"/>
  <c r="N12" i="158"/>
  <c r="P12" i="158" s="1"/>
  <c r="N11" i="158"/>
  <c r="P11" i="158" s="1"/>
  <c r="N10" i="158"/>
  <c r="P10" i="158" s="1"/>
  <c r="N9" i="158"/>
  <c r="P9" i="158" s="1"/>
  <c r="N8" i="158"/>
  <c r="P8" i="158" s="1"/>
  <c r="E5" i="158"/>
  <c r="D9" i="157" l="1"/>
  <c r="L9" i="157" s="1"/>
  <c r="N9" i="157" s="1"/>
  <c r="D10" i="157"/>
  <c r="L10" i="157" s="1"/>
  <c r="N10" i="157" s="1"/>
  <c r="D11" i="157"/>
  <c r="L11" i="157" s="1"/>
  <c r="N11" i="157" s="1"/>
  <c r="D13" i="157"/>
  <c r="L13" i="157" s="1"/>
  <c r="N13" i="157" s="1"/>
  <c r="D14" i="157"/>
  <c r="L14" i="157" s="1"/>
  <c r="N14" i="157" s="1"/>
  <c r="D15" i="157"/>
  <c r="L15" i="157" s="1"/>
  <c r="N15" i="157" s="1"/>
  <c r="D16" i="157"/>
  <c r="L16" i="157" s="1"/>
  <c r="N16" i="157" s="1"/>
  <c r="D17" i="157"/>
  <c r="L17" i="157" s="1"/>
  <c r="N17" i="157" s="1"/>
  <c r="D18" i="157"/>
  <c r="L18" i="157" s="1"/>
  <c r="N18" i="157" s="1"/>
  <c r="D19" i="157"/>
  <c r="L19" i="157" s="1"/>
  <c r="N19" i="157" s="1"/>
  <c r="D20" i="157"/>
  <c r="L20" i="157" s="1"/>
  <c r="D21" i="157"/>
  <c r="L21" i="157" s="1"/>
  <c r="N21" i="157" s="1"/>
  <c r="D22" i="157"/>
  <c r="L22" i="157" s="1"/>
  <c r="N22" i="157" s="1"/>
  <c r="D23" i="157"/>
  <c r="L23" i="157" s="1"/>
  <c r="N23" i="157" s="1"/>
  <c r="D24" i="157"/>
  <c r="L24" i="157" s="1"/>
  <c r="N24" i="157" s="1"/>
  <c r="M8" i="155"/>
  <c r="D8" i="157" s="1"/>
  <c r="L8" i="157" s="1"/>
  <c r="N8" i="157" s="1"/>
  <c r="M12" i="155"/>
  <c r="D12" i="157" s="1"/>
  <c r="L12" i="157" s="1"/>
  <c r="N12" i="157" s="1"/>
  <c r="E8" i="155"/>
  <c r="L30" i="157"/>
  <c r="M8" i="154" l="1"/>
  <c r="D8" i="155" s="1"/>
  <c r="L8" i="155" s="1"/>
  <c r="N8" i="155" s="1"/>
  <c r="D10" i="155"/>
  <c r="L10" i="155" s="1"/>
  <c r="N10" i="155" s="1"/>
  <c r="D11" i="155"/>
  <c r="L11" i="155" s="1"/>
  <c r="N11" i="155" s="1"/>
  <c r="D12" i="155"/>
  <c r="L12" i="155" s="1"/>
  <c r="N12" i="155" s="1"/>
  <c r="D13" i="155"/>
  <c r="L13" i="155" s="1"/>
  <c r="N13" i="155" s="1"/>
  <c r="D14" i="155"/>
  <c r="L14" i="155" s="1"/>
  <c r="N14" i="155" s="1"/>
  <c r="D15" i="155"/>
  <c r="L15" i="155" s="1"/>
  <c r="N15" i="155" s="1"/>
  <c r="D16" i="155"/>
  <c r="L16" i="155" s="1"/>
  <c r="N16" i="155" s="1"/>
  <c r="D17" i="155"/>
  <c r="L17" i="155" s="1"/>
  <c r="N17" i="155" s="1"/>
  <c r="D18" i="155"/>
  <c r="L18" i="155" s="1"/>
  <c r="N18" i="155" s="1"/>
  <c r="D19" i="155"/>
  <c r="L19" i="155" s="1"/>
  <c r="N19" i="155" s="1"/>
  <c r="D20" i="155"/>
  <c r="L20" i="155" s="1"/>
  <c r="D21" i="155"/>
  <c r="L21" i="155" s="1"/>
  <c r="N21" i="155" s="1"/>
  <c r="D22" i="155"/>
  <c r="L22" i="155" s="1"/>
  <c r="N22" i="155" s="1"/>
  <c r="D23" i="155"/>
  <c r="L23" i="155" s="1"/>
  <c r="N23" i="155" s="1"/>
  <c r="D24" i="155"/>
  <c r="L24" i="155" s="1"/>
  <c r="N24" i="155" s="1"/>
  <c r="D5" i="155"/>
  <c r="E5" i="155" s="1"/>
  <c r="M9" i="154"/>
  <c r="D9" i="155" s="1"/>
  <c r="L9" i="155" s="1"/>
  <c r="N9" i="155" s="1"/>
  <c r="E9" i="154"/>
  <c r="D9" i="154"/>
  <c r="D11" i="154"/>
  <c r="D12" i="154"/>
  <c r="D13" i="154"/>
  <c r="D14" i="154"/>
  <c r="D15" i="154"/>
  <c r="D16" i="154"/>
  <c r="D17" i="154"/>
  <c r="D18" i="154"/>
  <c r="D19" i="154"/>
  <c r="D20" i="154"/>
  <c r="D21" i="154"/>
  <c r="D22" i="154"/>
  <c r="D23" i="154"/>
  <c r="D24" i="154"/>
  <c r="D5" i="154"/>
  <c r="E13" i="150"/>
  <c r="M8" i="153"/>
  <c r="D8" i="154" s="1"/>
  <c r="M10" i="153"/>
  <c r="D10" i="154" s="1"/>
  <c r="E8" i="153"/>
  <c r="L30" i="155"/>
  <c r="L30" i="154" l="1"/>
  <c r="L24" i="154"/>
  <c r="N24" i="154" s="1"/>
  <c r="L23" i="154"/>
  <c r="N23" i="154" s="1"/>
  <c r="L22" i="154"/>
  <c r="N22" i="154" s="1"/>
  <c r="L21" i="154"/>
  <c r="N21" i="154" s="1"/>
  <c r="L20" i="154"/>
  <c r="L19" i="154"/>
  <c r="N19" i="154" s="1"/>
  <c r="L18" i="154"/>
  <c r="N18" i="154" s="1"/>
  <c r="L17" i="154"/>
  <c r="N17" i="154" s="1"/>
  <c r="L16" i="154"/>
  <c r="N16" i="154" s="1"/>
  <c r="L15" i="154"/>
  <c r="N15" i="154" s="1"/>
  <c r="L14" i="154"/>
  <c r="N14" i="154" s="1"/>
  <c r="L13" i="154"/>
  <c r="N13" i="154" s="1"/>
  <c r="L12" i="154"/>
  <c r="N12" i="154" s="1"/>
  <c r="L11" i="154"/>
  <c r="N11" i="154" s="1"/>
  <c r="L10" i="154"/>
  <c r="N10" i="154" s="1"/>
  <c r="L9" i="154"/>
  <c r="N9" i="154" s="1"/>
  <c r="L8" i="154"/>
  <c r="N8" i="154" s="1"/>
  <c r="E5" i="154"/>
  <c r="E8" i="151" l="1"/>
  <c r="D13" i="153"/>
  <c r="L13" i="153" s="1"/>
  <c r="N13" i="153" s="1"/>
  <c r="M12" i="151"/>
  <c r="M8" i="151"/>
  <c r="D8" i="153" s="1"/>
  <c r="L8" i="153" s="1"/>
  <c r="N8" i="153" s="1"/>
  <c r="E10" i="151"/>
  <c r="M10" i="151" s="1"/>
  <c r="D10" i="153" s="1"/>
  <c r="L10" i="153" s="1"/>
  <c r="N10" i="153" s="1"/>
  <c r="D5" i="153"/>
  <c r="E5" i="153" s="1"/>
  <c r="D9" i="153"/>
  <c r="L9" i="153" s="1"/>
  <c r="N9" i="153" s="1"/>
  <c r="D11" i="153"/>
  <c r="L11" i="153" s="1"/>
  <c r="N11" i="153" s="1"/>
  <c r="D12" i="153"/>
  <c r="L12" i="153" s="1"/>
  <c r="N12" i="153" s="1"/>
  <c r="D14" i="153"/>
  <c r="L14" i="153" s="1"/>
  <c r="N14" i="153" s="1"/>
  <c r="D15" i="153"/>
  <c r="L15" i="153" s="1"/>
  <c r="N15" i="153" s="1"/>
  <c r="D16" i="153"/>
  <c r="L16" i="153" s="1"/>
  <c r="N16" i="153" s="1"/>
  <c r="D17" i="153"/>
  <c r="L17" i="153" s="1"/>
  <c r="N17" i="153" s="1"/>
  <c r="D18" i="153"/>
  <c r="L18" i="153" s="1"/>
  <c r="N18" i="153" s="1"/>
  <c r="D19" i="153"/>
  <c r="L19" i="153" s="1"/>
  <c r="N19" i="153" s="1"/>
  <c r="D20" i="153"/>
  <c r="L20" i="153" s="1"/>
  <c r="D21" i="153"/>
  <c r="L21" i="153" s="1"/>
  <c r="N21" i="153" s="1"/>
  <c r="D22" i="153"/>
  <c r="L22" i="153" s="1"/>
  <c r="N22" i="153" s="1"/>
  <c r="D23" i="153"/>
  <c r="L23" i="153" s="1"/>
  <c r="N23" i="153" s="1"/>
  <c r="D24" i="153"/>
  <c r="L24" i="153" s="1"/>
  <c r="N24" i="153" s="1"/>
  <c r="L30" i="153"/>
  <c r="D9" i="151" l="1"/>
  <c r="D11" i="151"/>
  <c r="D13" i="151"/>
  <c r="D14" i="151"/>
  <c r="D15" i="151"/>
  <c r="D16" i="151"/>
  <c r="D17" i="151"/>
  <c r="D18" i="151"/>
  <c r="D19" i="151"/>
  <c r="D20" i="151"/>
  <c r="D21" i="151"/>
  <c r="D22" i="151"/>
  <c r="D23" i="151"/>
  <c r="D24" i="151"/>
  <c r="M12" i="150"/>
  <c r="D12" i="151" s="1"/>
  <c r="M10" i="150"/>
  <c r="D10" i="151" s="1"/>
  <c r="L9" i="151" l="1"/>
  <c r="N9" i="151" s="1"/>
  <c r="L10" i="151"/>
  <c r="N10" i="151" s="1"/>
  <c r="L11" i="151"/>
  <c r="N11" i="151" s="1"/>
  <c r="L12" i="151"/>
  <c r="N12" i="151" s="1"/>
  <c r="L13" i="151"/>
  <c r="N13" i="151" s="1"/>
  <c r="L15" i="151"/>
  <c r="N15" i="151" s="1"/>
  <c r="L16" i="151"/>
  <c r="N16" i="151" s="1"/>
  <c r="L17" i="151"/>
  <c r="N17" i="151" s="1"/>
  <c r="L18" i="151"/>
  <c r="N18" i="151" s="1"/>
  <c r="L19" i="151"/>
  <c r="N19" i="151" s="1"/>
  <c r="L20" i="151"/>
  <c r="L21" i="151"/>
  <c r="N21" i="151" s="1"/>
  <c r="L23" i="151"/>
  <c r="N23" i="151" s="1"/>
  <c r="L24" i="151"/>
  <c r="N24" i="151" s="1"/>
  <c r="D8" i="151"/>
  <c r="L8" i="151" s="1"/>
  <c r="N8" i="151" s="1"/>
  <c r="D5" i="151"/>
  <c r="E5" i="151" s="1"/>
  <c r="L30" i="151"/>
  <c r="L22" i="151"/>
  <c r="N22" i="151" s="1"/>
  <c r="L14" i="151"/>
  <c r="N14" i="151" s="1"/>
  <c r="M10" i="149" l="1"/>
  <c r="L12" i="148" l="1"/>
  <c r="D10" i="150"/>
  <c r="D11" i="150"/>
  <c r="D14" i="150"/>
  <c r="D15" i="150"/>
  <c r="D16" i="150"/>
  <c r="D17" i="150"/>
  <c r="D18" i="150"/>
  <c r="D19" i="150"/>
  <c r="D20" i="150"/>
  <c r="D21" i="150"/>
  <c r="D22" i="150"/>
  <c r="D23" i="150"/>
  <c r="D24" i="150"/>
  <c r="M13" i="149"/>
  <c r="D13" i="150" s="1"/>
  <c r="M12" i="149"/>
  <c r="D12" i="150" s="1"/>
  <c r="M9" i="149"/>
  <c r="D9" i="150" s="1"/>
  <c r="M8" i="149"/>
  <c r="D8" i="150" s="1"/>
  <c r="E12" i="149"/>
  <c r="E8" i="149"/>
  <c r="L24" i="150" l="1"/>
  <c r="N24" i="150" s="1"/>
  <c r="D5" i="150"/>
  <c r="E5" i="150" s="1"/>
  <c r="D5" i="149"/>
  <c r="L30" i="150"/>
  <c r="L30" i="149" l="1"/>
  <c r="L10" i="148"/>
  <c r="L13" i="148"/>
  <c r="L9" i="148"/>
  <c r="D9" i="149" s="1"/>
  <c r="L9" i="149" s="1"/>
  <c r="L9" i="150" s="1"/>
  <c r="N9" i="150" s="1"/>
  <c r="L8" i="148"/>
  <c r="D27" i="149"/>
  <c r="D28" i="149"/>
  <c r="L28" i="149" s="1"/>
  <c r="D29" i="149"/>
  <c r="D26" i="149"/>
  <c r="D10" i="149"/>
  <c r="D11" i="149"/>
  <c r="L11" i="149" s="1"/>
  <c r="L11" i="150" s="1"/>
  <c r="N11" i="150" s="1"/>
  <c r="D12" i="149"/>
  <c r="D13" i="149"/>
  <c r="L13" i="149" s="1"/>
  <c r="L13" i="150" s="1"/>
  <c r="N13" i="150" s="1"/>
  <c r="D14" i="149"/>
  <c r="D15" i="149"/>
  <c r="L15" i="149" s="1"/>
  <c r="L15" i="150" s="1"/>
  <c r="N15" i="150" s="1"/>
  <c r="D16" i="149"/>
  <c r="D17" i="149"/>
  <c r="L17" i="149" s="1"/>
  <c r="L17" i="150" s="1"/>
  <c r="N17" i="150" s="1"/>
  <c r="D18" i="149"/>
  <c r="D19" i="149"/>
  <c r="L19" i="149" s="1"/>
  <c r="D20" i="149"/>
  <c r="L20" i="149" s="1"/>
  <c r="L20" i="150" s="1"/>
  <c r="D21" i="149"/>
  <c r="L21" i="149" s="1"/>
  <c r="D22" i="149"/>
  <c r="D23" i="149"/>
  <c r="L23" i="149" s="1"/>
  <c r="D24" i="149"/>
  <c r="L24" i="149" s="1"/>
  <c r="D8" i="149"/>
  <c r="L8" i="149" s="1"/>
  <c r="L8" i="150" s="1"/>
  <c r="N8" i="150" s="1"/>
  <c r="E5" i="149"/>
  <c r="L26" i="149" l="1"/>
  <c r="D26" i="150" s="1"/>
  <c r="L26" i="150" s="1"/>
  <c r="D26" i="151" s="1"/>
  <c r="L26" i="151" s="1"/>
  <c r="L29" i="149"/>
  <c r="D29" i="150" s="1"/>
  <c r="L29" i="150" s="1"/>
  <c r="D29" i="151" s="1"/>
  <c r="L29" i="151" s="1"/>
  <c r="L27" i="149"/>
  <c r="D27" i="150" s="1"/>
  <c r="L27" i="150" s="1"/>
  <c r="L21" i="150"/>
  <c r="N21" i="150" s="1"/>
  <c r="N21" i="149"/>
  <c r="L22" i="149"/>
  <c r="L22" i="150" s="1"/>
  <c r="N22" i="150" s="1"/>
  <c r="N26" i="150"/>
  <c r="L18" i="149"/>
  <c r="L18" i="150" s="1"/>
  <c r="N18" i="150" s="1"/>
  <c r="L16" i="149"/>
  <c r="L16" i="150" s="1"/>
  <c r="N16" i="150" s="1"/>
  <c r="L14" i="149"/>
  <c r="L14" i="150" s="1"/>
  <c r="N14" i="150" s="1"/>
  <c r="L12" i="149"/>
  <c r="L12" i="150" s="1"/>
  <c r="N12" i="150" s="1"/>
  <c r="L10" i="149"/>
  <c r="L10" i="150" s="1"/>
  <c r="N10" i="150" s="1"/>
  <c r="N23" i="149"/>
  <c r="L23" i="150"/>
  <c r="N23" i="150" s="1"/>
  <c r="N19" i="149"/>
  <c r="L19" i="150"/>
  <c r="N19" i="150" s="1"/>
  <c r="N28" i="149"/>
  <c r="D28" i="150"/>
  <c r="L28" i="150" s="1"/>
  <c r="D28" i="151" s="1"/>
  <c r="N17" i="149"/>
  <c r="N8" i="149"/>
  <c r="N24" i="149"/>
  <c r="N15" i="149"/>
  <c r="N13" i="149"/>
  <c r="N11" i="149"/>
  <c r="N9" i="149"/>
  <c r="D27" i="148"/>
  <c r="K27" i="148" s="1"/>
  <c r="M27" i="148" s="1"/>
  <c r="D28" i="148"/>
  <c r="K28" i="148" s="1"/>
  <c r="M28" i="148" s="1"/>
  <c r="D29" i="148"/>
  <c r="K29" i="148" s="1"/>
  <c r="M29" i="148" s="1"/>
  <c r="D26" i="148"/>
  <c r="K26" i="148" s="1"/>
  <c r="M26" i="148" s="1"/>
  <c r="D11" i="148"/>
  <c r="K11" i="148" s="1"/>
  <c r="M11" i="148" s="1"/>
  <c r="D14" i="148"/>
  <c r="K14" i="148" s="1"/>
  <c r="M14" i="148" s="1"/>
  <c r="D15" i="148"/>
  <c r="K15" i="148" s="1"/>
  <c r="M15" i="148" s="1"/>
  <c r="D16" i="148"/>
  <c r="K16" i="148" s="1"/>
  <c r="M16" i="148" s="1"/>
  <c r="D17" i="148"/>
  <c r="K17" i="148" s="1"/>
  <c r="M17" i="148" s="1"/>
  <c r="D18" i="148"/>
  <c r="K18" i="148" s="1"/>
  <c r="M18" i="148" s="1"/>
  <c r="D19" i="148"/>
  <c r="K19" i="148" s="1"/>
  <c r="M19" i="148" s="1"/>
  <c r="D20" i="148"/>
  <c r="K20" i="148" s="1"/>
  <c r="D21" i="148"/>
  <c r="K21" i="148" s="1"/>
  <c r="M21" i="148" s="1"/>
  <c r="D22" i="148"/>
  <c r="K22" i="148" s="1"/>
  <c r="M22" i="148" s="1"/>
  <c r="D23" i="148"/>
  <c r="K23" i="148" s="1"/>
  <c r="M23" i="148" s="1"/>
  <c r="D5" i="148"/>
  <c r="E5" i="148" s="1"/>
  <c r="D24" i="148"/>
  <c r="K24" i="148" s="1"/>
  <c r="M24" i="148" s="1"/>
  <c r="L13" i="147"/>
  <c r="D13" i="148" s="1"/>
  <c r="K13" i="148" s="1"/>
  <c r="M13" i="148" s="1"/>
  <c r="L12" i="147"/>
  <c r="D12" i="148" s="1"/>
  <c r="K12" i="148" s="1"/>
  <c r="L10" i="147"/>
  <c r="D10" i="148" s="1"/>
  <c r="K10" i="148" s="1"/>
  <c r="M10" i="148" s="1"/>
  <c r="L9" i="146"/>
  <c r="D9" i="147" s="1"/>
  <c r="L9" i="145"/>
  <c r="L9" i="144"/>
  <c r="L9" i="147"/>
  <c r="D9" i="148" s="1"/>
  <c r="K9" i="148" s="1"/>
  <c r="M9" i="148" s="1"/>
  <c r="L8" i="147"/>
  <c r="D8" i="148" s="1"/>
  <c r="K8" i="148" s="1"/>
  <c r="M8" i="148" s="1"/>
  <c r="E13" i="147"/>
  <c r="E8" i="147"/>
  <c r="D11" i="147"/>
  <c r="D14" i="147"/>
  <c r="D15" i="147"/>
  <c r="D16" i="147"/>
  <c r="D17" i="147"/>
  <c r="D18" i="147"/>
  <c r="D19" i="147"/>
  <c r="D20" i="147"/>
  <c r="D21" i="147"/>
  <c r="D22" i="147"/>
  <c r="D23" i="147"/>
  <c r="D24" i="147"/>
  <c r="L8" i="146"/>
  <c r="D8" i="147" s="1"/>
  <c r="L12" i="140"/>
  <c r="L8" i="144"/>
  <c r="N29" i="150" l="1"/>
  <c r="D27" i="151"/>
  <c r="L27" i="151" s="1"/>
  <c r="N27" i="150"/>
  <c r="N27" i="149"/>
  <c r="N22" i="149"/>
  <c r="N29" i="149"/>
  <c r="N26" i="149"/>
  <c r="N26" i="151"/>
  <c r="D26" i="153"/>
  <c r="L26" i="153" s="1"/>
  <c r="N10" i="149"/>
  <c r="N18" i="149"/>
  <c r="N14" i="149"/>
  <c r="N12" i="149"/>
  <c r="N16" i="149"/>
  <c r="N29" i="151"/>
  <c r="D29" i="153"/>
  <c r="L29" i="153" s="1"/>
  <c r="N28" i="150"/>
  <c r="L28" i="151"/>
  <c r="M12" i="148"/>
  <c r="D5" i="147"/>
  <c r="D27" i="147"/>
  <c r="K27" i="147" s="1"/>
  <c r="M27" i="147" s="1"/>
  <c r="D28" i="147"/>
  <c r="D29" i="147"/>
  <c r="K29" i="147" s="1"/>
  <c r="M29" i="147" s="1"/>
  <c r="D26" i="147"/>
  <c r="K26" i="147" s="1"/>
  <c r="M26" i="147" s="1"/>
  <c r="K8" i="147"/>
  <c r="M8" i="147" s="1"/>
  <c r="L13" i="146"/>
  <c r="D13" i="147" s="1"/>
  <c r="L12" i="145"/>
  <c r="D12" i="146" s="1"/>
  <c r="K12" i="146" s="1"/>
  <c r="L12" i="144"/>
  <c r="L12" i="146"/>
  <c r="D12" i="147" s="1"/>
  <c r="K12" i="147" s="1"/>
  <c r="M12" i="147" s="1"/>
  <c r="L10" i="146"/>
  <c r="D10" i="147" s="1"/>
  <c r="D5" i="146"/>
  <c r="E5" i="146" s="1"/>
  <c r="D27" i="146"/>
  <c r="K27" i="146" s="1"/>
  <c r="M27" i="146" s="1"/>
  <c r="D28" i="146"/>
  <c r="K28" i="146" s="1"/>
  <c r="M28" i="146" s="1"/>
  <c r="D29" i="146"/>
  <c r="K29" i="146" s="1"/>
  <c r="M29" i="146" s="1"/>
  <c r="D26" i="146"/>
  <c r="K26" i="146" s="1"/>
  <c r="M26" i="146" s="1"/>
  <c r="D9" i="146"/>
  <c r="K9" i="146" s="1"/>
  <c r="D11" i="146"/>
  <c r="K11" i="146" s="1"/>
  <c r="M11" i="146" s="1"/>
  <c r="D14" i="146"/>
  <c r="K14" i="146" s="1"/>
  <c r="M14" i="146" s="1"/>
  <c r="D15" i="146"/>
  <c r="K15" i="146" s="1"/>
  <c r="M15" i="146" s="1"/>
  <c r="D16" i="146"/>
  <c r="K16" i="146" s="1"/>
  <c r="M16" i="146" s="1"/>
  <c r="D17" i="146"/>
  <c r="K17" i="146" s="1"/>
  <c r="M17" i="146" s="1"/>
  <c r="D18" i="146"/>
  <c r="K18" i="146" s="1"/>
  <c r="M18" i="146" s="1"/>
  <c r="D19" i="146"/>
  <c r="K19" i="146" s="1"/>
  <c r="M19" i="146" s="1"/>
  <c r="D20" i="146"/>
  <c r="K20" i="146" s="1"/>
  <c r="D21" i="146"/>
  <c r="K21" i="146" s="1"/>
  <c r="M21" i="146" s="1"/>
  <c r="D22" i="146"/>
  <c r="K22" i="146" s="1"/>
  <c r="M22" i="146" s="1"/>
  <c r="D23" i="146"/>
  <c r="K23" i="146" s="1"/>
  <c r="M23" i="146" s="1"/>
  <c r="L13" i="145"/>
  <c r="D13" i="146" s="1"/>
  <c r="K13" i="146" s="1"/>
  <c r="M13" i="146" s="1"/>
  <c r="L10" i="145"/>
  <c r="D10" i="146" s="1"/>
  <c r="K10" i="146" s="1"/>
  <c r="L8" i="145"/>
  <c r="D8" i="146" s="1"/>
  <c r="K8" i="146" s="1"/>
  <c r="M8" i="146" s="1"/>
  <c r="D5" i="145"/>
  <c r="E5" i="145" s="1"/>
  <c r="E29" i="145"/>
  <c r="E26" i="145"/>
  <c r="D27" i="145"/>
  <c r="K27" i="145" s="1"/>
  <c r="M27" i="145" s="1"/>
  <c r="D28" i="145"/>
  <c r="K28" i="145" s="1"/>
  <c r="M28" i="145" s="1"/>
  <c r="D29" i="145"/>
  <c r="K29" i="145" s="1"/>
  <c r="M29" i="145" s="1"/>
  <c r="D26" i="145"/>
  <c r="D9" i="145"/>
  <c r="D11" i="145"/>
  <c r="K11" i="145" s="1"/>
  <c r="M11" i="145" s="1"/>
  <c r="D12" i="145"/>
  <c r="K12" i="145" s="1"/>
  <c r="D14" i="145"/>
  <c r="K14" i="145" s="1"/>
  <c r="M14" i="145" s="1"/>
  <c r="D15" i="145"/>
  <c r="K15" i="145" s="1"/>
  <c r="M15" i="145" s="1"/>
  <c r="D16" i="145"/>
  <c r="K16" i="145" s="1"/>
  <c r="M16" i="145" s="1"/>
  <c r="D17" i="145"/>
  <c r="K17" i="145" s="1"/>
  <c r="M17" i="145" s="1"/>
  <c r="D18" i="145"/>
  <c r="K18" i="145" s="1"/>
  <c r="M18" i="145" s="1"/>
  <c r="D19" i="145"/>
  <c r="K19" i="145" s="1"/>
  <c r="M19" i="145" s="1"/>
  <c r="D20" i="145"/>
  <c r="K20" i="145" s="1"/>
  <c r="D21" i="145"/>
  <c r="K21" i="145" s="1"/>
  <c r="M21" i="145" s="1"/>
  <c r="D22" i="145"/>
  <c r="K22" i="145" s="1"/>
  <c r="M22" i="145" s="1"/>
  <c r="D23" i="145"/>
  <c r="K23" i="145" s="1"/>
  <c r="M23" i="145" s="1"/>
  <c r="D8" i="145"/>
  <c r="E9" i="145"/>
  <c r="L13" i="144"/>
  <c r="D13" i="145" s="1"/>
  <c r="K13" i="145" s="1"/>
  <c r="L10" i="144"/>
  <c r="D10" i="145" s="1"/>
  <c r="K10" i="145" s="1"/>
  <c r="E9" i="144"/>
  <c r="D27" i="144"/>
  <c r="D28" i="144"/>
  <c r="D29" i="144"/>
  <c r="D26" i="144"/>
  <c r="D27" i="143"/>
  <c r="D28" i="143"/>
  <c r="D29" i="143"/>
  <c r="E12" i="143"/>
  <c r="L13" i="142"/>
  <c r="L13" i="143"/>
  <c r="L12" i="143"/>
  <c r="L10" i="143"/>
  <c r="L10" i="142"/>
  <c r="L8" i="143"/>
  <c r="K28" i="147"/>
  <c r="M28" i="147" s="1"/>
  <c r="K24" i="147"/>
  <c r="M24" i="147" s="1"/>
  <c r="K23" i="147"/>
  <c r="M23" i="147" s="1"/>
  <c r="K22" i="147"/>
  <c r="M22" i="147" s="1"/>
  <c r="K21" i="147"/>
  <c r="M21" i="147" s="1"/>
  <c r="K20" i="147"/>
  <c r="K19" i="147"/>
  <c r="M19" i="147" s="1"/>
  <c r="K18" i="147"/>
  <c r="M18" i="147" s="1"/>
  <c r="K17" i="147"/>
  <c r="M17" i="147" s="1"/>
  <c r="K16" i="147"/>
  <c r="M16" i="147" s="1"/>
  <c r="K15" i="147"/>
  <c r="M15" i="147" s="1"/>
  <c r="K14" i="147"/>
  <c r="M14" i="147" s="1"/>
  <c r="K13" i="147"/>
  <c r="M13" i="147" s="1"/>
  <c r="K11" i="147"/>
  <c r="M11" i="147" s="1"/>
  <c r="K10" i="147"/>
  <c r="M10" i="147" s="1"/>
  <c r="K9" i="147"/>
  <c r="M9" i="147" s="1"/>
  <c r="E5" i="147"/>
  <c r="D24" i="146"/>
  <c r="K24" i="146" s="1"/>
  <c r="M24" i="146" s="1"/>
  <c r="D24" i="145"/>
  <c r="K24" i="145" s="1"/>
  <c r="M24" i="145" s="1"/>
  <c r="K26" i="145" l="1"/>
  <c r="M26" i="145" s="1"/>
  <c r="M10" i="145"/>
  <c r="M10" i="146"/>
  <c r="M12" i="146"/>
  <c r="K9" i="145"/>
  <c r="M9" i="145" s="1"/>
  <c r="D27" i="153"/>
  <c r="L27" i="153" s="1"/>
  <c r="N27" i="151"/>
  <c r="N26" i="153"/>
  <c r="D26" i="154"/>
  <c r="L26" i="154" s="1"/>
  <c r="N29" i="153"/>
  <c r="D29" i="154"/>
  <c r="L29" i="154" s="1"/>
  <c r="N28" i="151"/>
  <c r="D28" i="153"/>
  <c r="L28" i="153" s="1"/>
  <c r="M9" i="146"/>
  <c r="M13" i="145"/>
  <c r="M12" i="145"/>
  <c r="K8" i="145"/>
  <c r="M8" i="145" s="1"/>
  <c r="D9" i="144"/>
  <c r="K9" i="144" s="1"/>
  <c r="M9" i="144" s="1"/>
  <c r="D10" i="144"/>
  <c r="K10" i="144" s="1"/>
  <c r="M10" i="144" s="1"/>
  <c r="D11" i="144"/>
  <c r="K11" i="144" s="1"/>
  <c r="M11" i="144" s="1"/>
  <c r="D12" i="144"/>
  <c r="K12" i="144" s="1"/>
  <c r="M12" i="144" s="1"/>
  <c r="D13" i="144"/>
  <c r="K13" i="144" s="1"/>
  <c r="M13" i="144" s="1"/>
  <c r="D14" i="144"/>
  <c r="K14" i="144" s="1"/>
  <c r="M14" i="144" s="1"/>
  <c r="D15" i="144"/>
  <c r="K15" i="144" s="1"/>
  <c r="M15" i="144" s="1"/>
  <c r="D16" i="144"/>
  <c r="K16" i="144" s="1"/>
  <c r="M16" i="144" s="1"/>
  <c r="D17" i="144"/>
  <c r="K17" i="144" s="1"/>
  <c r="M17" i="144" s="1"/>
  <c r="D18" i="144"/>
  <c r="K18" i="144" s="1"/>
  <c r="M18" i="144" s="1"/>
  <c r="D19" i="144"/>
  <c r="K19" i="144" s="1"/>
  <c r="M19" i="144" s="1"/>
  <c r="D20" i="144"/>
  <c r="K20" i="144" s="1"/>
  <c r="D21" i="144"/>
  <c r="K21" i="144" s="1"/>
  <c r="M21" i="144" s="1"/>
  <c r="D22" i="144"/>
  <c r="K22" i="144" s="1"/>
  <c r="M22" i="144" s="1"/>
  <c r="D23" i="144"/>
  <c r="K23" i="144" s="1"/>
  <c r="M23" i="144" s="1"/>
  <c r="D24" i="144"/>
  <c r="K24" i="144" s="1"/>
  <c r="M24" i="144" s="1"/>
  <c r="D8" i="144"/>
  <c r="K8" i="144" s="1"/>
  <c r="M8" i="144" s="1"/>
  <c r="D5" i="144"/>
  <c r="E5" i="144" s="1"/>
  <c r="K29" i="144"/>
  <c r="M29" i="144" s="1"/>
  <c r="K28" i="144"/>
  <c r="M28" i="144" s="1"/>
  <c r="K27" i="144"/>
  <c r="M27" i="144" s="1"/>
  <c r="K26" i="144"/>
  <c r="M26" i="144" s="1"/>
  <c r="N27" i="153" l="1"/>
  <c r="D27" i="154"/>
  <c r="L27" i="154" s="1"/>
  <c r="N28" i="153"/>
  <c r="D28" i="154"/>
  <c r="L28" i="154" s="1"/>
  <c r="N26" i="154"/>
  <c r="D26" i="155"/>
  <c r="L26" i="155" s="1"/>
  <c r="N29" i="154"/>
  <c r="D29" i="155"/>
  <c r="L29" i="155" s="1"/>
  <c r="E8" i="143"/>
  <c r="L13" i="141"/>
  <c r="L13" i="140"/>
  <c r="L13" i="139"/>
  <c r="E12" i="142"/>
  <c r="L12" i="142"/>
  <c r="L9" i="141"/>
  <c r="L9" i="140"/>
  <c r="L9" i="139"/>
  <c r="E9" i="139"/>
  <c r="L9" i="142"/>
  <c r="E8" i="142"/>
  <c r="L8" i="142"/>
  <c r="D8" i="143" s="1"/>
  <c r="K8" i="143" s="1"/>
  <c r="M8" i="143" s="1"/>
  <c r="D26" i="143"/>
  <c r="K26" i="143" s="1"/>
  <c r="M26" i="143" s="1"/>
  <c r="D9" i="143"/>
  <c r="K9" i="143" s="1"/>
  <c r="M9" i="143" s="1"/>
  <c r="D10" i="143"/>
  <c r="K10" i="143" s="1"/>
  <c r="M10" i="143" s="1"/>
  <c r="D11" i="143"/>
  <c r="K11" i="143" s="1"/>
  <c r="M11" i="143" s="1"/>
  <c r="D12" i="143"/>
  <c r="D13" i="143"/>
  <c r="K13" i="143" s="1"/>
  <c r="M13" i="143" s="1"/>
  <c r="D14" i="143"/>
  <c r="K14" i="143" s="1"/>
  <c r="M14" i="143" s="1"/>
  <c r="D15" i="143"/>
  <c r="K15" i="143" s="1"/>
  <c r="M15" i="143" s="1"/>
  <c r="D16" i="143"/>
  <c r="K16" i="143" s="1"/>
  <c r="M16" i="143" s="1"/>
  <c r="D17" i="143"/>
  <c r="K17" i="143" s="1"/>
  <c r="M17" i="143" s="1"/>
  <c r="D18" i="143"/>
  <c r="K18" i="143" s="1"/>
  <c r="M18" i="143" s="1"/>
  <c r="D19" i="143"/>
  <c r="K19" i="143" s="1"/>
  <c r="M19" i="143" s="1"/>
  <c r="D20" i="143"/>
  <c r="K20" i="143" s="1"/>
  <c r="D21" i="143"/>
  <c r="K21" i="143" s="1"/>
  <c r="M21" i="143" s="1"/>
  <c r="D22" i="143"/>
  <c r="K22" i="143" s="1"/>
  <c r="M22" i="143" s="1"/>
  <c r="D23" i="143"/>
  <c r="K23" i="143" s="1"/>
  <c r="M23" i="143" s="1"/>
  <c r="D24" i="143"/>
  <c r="K24" i="143" s="1"/>
  <c r="M24" i="143" s="1"/>
  <c r="D5" i="143"/>
  <c r="E5" i="143" s="1"/>
  <c r="K29" i="143"/>
  <c r="M29" i="143" s="1"/>
  <c r="K28" i="143"/>
  <c r="M28" i="143" s="1"/>
  <c r="K27" i="143"/>
  <c r="M27" i="143" s="1"/>
  <c r="N27" i="154" l="1"/>
  <c r="D27" i="155"/>
  <c r="L27" i="155" s="1"/>
  <c r="N26" i="155"/>
  <c r="D26" i="157"/>
  <c r="L26" i="157" s="1"/>
  <c r="N28" i="154"/>
  <c r="D28" i="155"/>
  <c r="L28" i="155" s="1"/>
  <c r="N29" i="155"/>
  <c r="D29" i="157"/>
  <c r="L29" i="157" s="1"/>
  <c r="K12" i="143"/>
  <c r="M12" i="143" s="1"/>
  <c r="L10" i="141"/>
  <c r="L8" i="141"/>
  <c r="L12" i="141"/>
  <c r="N27" i="155" l="1"/>
  <c r="D27" i="157"/>
  <c r="L27" i="157" s="1"/>
  <c r="N29" i="157"/>
  <c r="D29" i="158"/>
  <c r="N29" i="158" s="1"/>
  <c r="P29" i="158" s="1"/>
  <c r="N28" i="155"/>
  <c r="D28" i="157"/>
  <c r="L28" i="157" s="1"/>
  <c r="N26" i="157"/>
  <c r="D26" i="158"/>
  <c r="N26" i="158" s="1"/>
  <c r="P26" i="158" s="1"/>
  <c r="D27" i="142"/>
  <c r="D28" i="142"/>
  <c r="D29" i="142"/>
  <c r="D26" i="142"/>
  <c r="D9" i="142"/>
  <c r="K9" i="142" s="1"/>
  <c r="M9" i="142" s="1"/>
  <c r="D10" i="142"/>
  <c r="K10" i="142" s="1"/>
  <c r="M10" i="142" s="1"/>
  <c r="D11" i="142"/>
  <c r="K11" i="142" s="1"/>
  <c r="M11" i="142" s="1"/>
  <c r="D12" i="142"/>
  <c r="K12" i="142" s="1"/>
  <c r="M12" i="142" s="1"/>
  <c r="D13" i="142"/>
  <c r="K13" i="142" s="1"/>
  <c r="M13" i="142" s="1"/>
  <c r="D14" i="142"/>
  <c r="K14" i="142" s="1"/>
  <c r="M14" i="142" s="1"/>
  <c r="D15" i="142"/>
  <c r="K15" i="142" s="1"/>
  <c r="M15" i="142" s="1"/>
  <c r="D16" i="142"/>
  <c r="K16" i="142" s="1"/>
  <c r="M16" i="142" s="1"/>
  <c r="D17" i="142"/>
  <c r="K17" i="142" s="1"/>
  <c r="M17" i="142" s="1"/>
  <c r="D18" i="142"/>
  <c r="K18" i="142" s="1"/>
  <c r="M18" i="142" s="1"/>
  <c r="D19" i="142"/>
  <c r="K19" i="142" s="1"/>
  <c r="M19" i="142" s="1"/>
  <c r="D20" i="142"/>
  <c r="K20" i="142" s="1"/>
  <c r="D21" i="142"/>
  <c r="K21" i="142" s="1"/>
  <c r="M21" i="142" s="1"/>
  <c r="D22" i="142"/>
  <c r="K22" i="142" s="1"/>
  <c r="M22" i="142" s="1"/>
  <c r="D23" i="142"/>
  <c r="K23" i="142" s="1"/>
  <c r="M23" i="142" s="1"/>
  <c r="D24" i="142"/>
  <c r="K24" i="142" s="1"/>
  <c r="M24" i="142" s="1"/>
  <c r="D8" i="142"/>
  <c r="K8" i="142" s="1"/>
  <c r="M8" i="142" s="1"/>
  <c r="D5" i="142"/>
  <c r="E5" i="142" s="1"/>
  <c r="K29" i="142"/>
  <c r="M29" i="142" s="1"/>
  <c r="K28" i="142"/>
  <c r="M28" i="142" s="1"/>
  <c r="K27" i="142"/>
  <c r="M27" i="142" s="1"/>
  <c r="K26" i="142"/>
  <c r="M26" i="142" s="1"/>
  <c r="N27" i="157" l="1"/>
  <c r="D27" i="158"/>
  <c r="N27" i="158" s="1"/>
  <c r="P27" i="158" s="1"/>
  <c r="N28" i="157"/>
  <c r="D28" i="158"/>
  <c r="N28" i="158" s="1"/>
  <c r="P28" i="158" s="1"/>
  <c r="E8" i="141"/>
  <c r="L10" i="140"/>
  <c r="D10" i="141" s="1"/>
  <c r="K10" i="141" s="1"/>
  <c r="M10" i="141" s="1"/>
  <c r="L8" i="139"/>
  <c r="D8" i="140" s="1"/>
  <c r="L8" i="140"/>
  <c r="D8" i="141" s="1"/>
  <c r="E13" i="140"/>
  <c r="E8" i="140"/>
  <c r="L10" i="138"/>
  <c r="D10" i="139" s="1"/>
  <c r="K10" i="139" s="1"/>
  <c r="E10" i="138"/>
  <c r="L12" i="139"/>
  <c r="D12" i="140" s="1"/>
  <c r="K12" i="140" s="1"/>
  <c r="M12" i="140" s="1"/>
  <c r="L10" i="139"/>
  <c r="D10" i="140" s="1"/>
  <c r="K10" i="140" s="1"/>
  <c r="M10" i="140" s="1"/>
  <c r="L9" i="137"/>
  <c r="D9" i="138" s="1"/>
  <c r="L9" i="138"/>
  <c r="D9" i="139" s="1"/>
  <c r="K9" i="139" s="1"/>
  <c r="M9" i="139" s="1"/>
  <c r="L13" i="138"/>
  <c r="D13" i="139" s="1"/>
  <c r="K13" i="139" s="1"/>
  <c r="M13" i="139" s="1"/>
  <c r="L12" i="138"/>
  <c r="D12" i="139" s="1"/>
  <c r="K12" i="139" s="1"/>
  <c r="D10" i="138"/>
  <c r="D11" i="138"/>
  <c r="D13" i="138"/>
  <c r="D14" i="138"/>
  <c r="D15" i="138"/>
  <c r="D16" i="138"/>
  <c r="D17" i="138"/>
  <c r="D18" i="138"/>
  <c r="D19" i="138"/>
  <c r="D20" i="138"/>
  <c r="D21" i="138"/>
  <c r="D22" i="138"/>
  <c r="D23" i="138"/>
  <c r="D24" i="138"/>
  <c r="L8" i="138"/>
  <c r="D8" i="139" s="1"/>
  <c r="K8" i="139" s="1"/>
  <c r="D9" i="140"/>
  <c r="K9" i="140" s="1"/>
  <c r="M9" i="140" s="1"/>
  <c r="D11" i="140"/>
  <c r="K11" i="140" s="1"/>
  <c r="M11" i="140" s="1"/>
  <c r="D13" i="140"/>
  <c r="D14" i="140"/>
  <c r="K14" i="140" s="1"/>
  <c r="M14" i="140" s="1"/>
  <c r="D15" i="140"/>
  <c r="K15" i="140" s="1"/>
  <c r="M15" i="140" s="1"/>
  <c r="D16" i="140"/>
  <c r="K16" i="140" s="1"/>
  <c r="M16" i="140" s="1"/>
  <c r="D17" i="140"/>
  <c r="K17" i="140" s="1"/>
  <c r="M17" i="140" s="1"/>
  <c r="D18" i="140"/>
  <c r="K18" i="140" s="1"/>
  <c r="M18" i="140" s="1"/>
  <c r="D19" i="140"/>
  <c r="K19" i="140" s="1"/>
  <c r="M19" i="140" s="1"/>
  <c r="D20" i="140"/>
  <c r="K20" i="140" s="1"/>
  <c r="D21" i="140"/>
  <c r="K21" i="140" s="1"/>
  <c r="M21" i="140" s="1"/>
  <c r="D22" i="140"/>
  <c r="K22" i="140" s="1"/>
  <c r="M22" i="140" s="1"/>
  <c r="D23" i="140"/>
  <c r="K23" i="140" s="1"/>
  <c r="M23" i="140" s="1"/>
  <c r="D24" i="140"/>
  <c r="K24" i="140" s="1"/>
  <c r="M24" i="140" s="1"/>
  <c r="D27" i="140"/>
  <c r="K27" i="140" s="1"/>
  <c r="M27" i="140" s="1"/>
  <c r="D28" i="140"/>
  <c r="K28" i="140" s="1"/>
  <c r="M28" i="140" s="1"/>
  <c r="D29" i="140"/>
  <c r="K29" i="140" s="1"/>
  <c r="M29" i="140" s="1"/>
  <c r="D26" i="140"/>
  <c r="K26" i="140" s="1"/>
  <c r="M26" i="140" s="1"/>
  <c r="D27" i="141"/>
  <c r="K27" i="141" s="1"/>
  <c r="M27" i="141" s="1"/>
  <c r="D28" i="141"/>
  <c r="K28" i="141" s="1"/>
  <c r="M28" i="141" s="1"/>
  <c r="D29" i="141"/>
  <c r="K29" i="141" s="1"/>
  <c r="M29" i="141" s="1"/>
  <c r="D26" i="141"/>
  <c r="K26" i="141" s="1"/>
  <c r="M26" i="141" s="1"/>
  <c r="D9" i="141"/>
  <c r="K9" i="141" s="1"/>
  <c r="M9" i="141" s="1"/>
  <c r="D11" i="141"/>
  <c r="K11" i="141" s="1"/>
  <c r="M11" i="141" s="1"/>
  <c r="D12" i="141"/>
  <c r="K12" i="141" s="1"/>
  <c r="M12" i="141" s="1"/>
  <c r="D13" i="141"/>
  <c r="K13" i="141" s="1"/>
  <c r="M13" i="141" s="1"/>
  <c r="D14" i="141"/>
  <c r="K14" i="141" s="1"/>
  <c r="M14" i="141" s="1"/>
  <c r="D15" i="141"/>
  <c r="K15" i="141" s="1"/>
  <c r="M15" i="141" s="1"/>
  <c r="D16" i="141"/>
  <c r="K16" i="141" s="1"/>
  <c r="M16" i="141" s="1"/>
  <c r="D17" i="141"/>
  <c r="K17" i="141" s="1"/>
  <c r="M17" i="141" s="1"/>
  <c r="D18" i="141"/>
  <c r="K18" i="141" s="1"/>
  <c r="M18" i="141" s="1"/>
  <c r="D19" i="141"/>
  <c r="K19" i="141" s="1"/>
  <c r="M19" i="141" s="1"/>
  <c r="D20" i="141"/>
  <c r="K20" i="141" s="1"/>
  <c r="D21" i="141"/>
  <c r="K21" i="141" s="1"/>
  <c r="M21" i="141" s="1"/>
  <c r="D22" i="141"/>
  <c r="K22" i="141" s="1"/>
  <c r="M22" i="141" s="1"/>
  <c r="D23" i="141"/>
  <c r="K23" i="141" s="1"/>
  <c r="M23" i="141" s="1"/>
  <c r="D24" i="141"/>
  <c r="K24" i="141" s="1"/>
  <c r="M24" i="141" s="1"/>
  <c r="D5" i="141"/>
  <c r="E5" i="141" s="1"/>
  <c r="D5" i="140"/>
  <c r="E5" i="140" s="1"/>
  <c r="D27" i="139"/>
  <c r="K27" i="139" s="1"/>
  <c r="M27" i="139" s="1"/>
  <c r="D28" i="139"/>
  <c r="K28" i="139" s="1"/>
  <c r="M28" i="139" s="1"/>
  <c r="D29" i="139"/>
  <c r="K29" i="139" s="1"/>
  <c r="M29" i="139" s="1"/>
  <c r="D26" i="139"/>
  <c r="K26" i="139" s="1"/>
  <c r="M26" i="139" s="1"/>
  <c r="D11" i="139"/>
  <c r="K11" i="139" s="1"/>
  <c r="M11" i="139" s="1"/>
  <c r="D14" i="139"/>
  <c r="K14" i="139" s="1"/>
  <c r="M14" i="139" s="1"/>
  <c r="D15" i="139"/>
  <c r="K15" i="139" s="1"/>
  <c r="M15" i="139" s="1"/>
  <c r="D16" i="139"/>
  <c r="K16" i="139" s="1"/>
  <c r="M16" i="139" s="1"/>
  <c r="D17" i="139"/>
  <c r="K17" i="139" s="1"/>
  <c r="M17" i="139" s="1"/>
  <c r="D18" i="139"/>
  <c r="K18" i="139" s="1"/>
  <c r="M18" i="139" s="1"/>
  <c r="D19" i="139"/>
  <c r="K19" i="139" s="1"/>
  <c r="M19" i="139" s="1"/>
  <c r="D20" i="139"/>
  <c r="K20" i="139" s="1"/>
  <c r="D21" i="139"/>
  <c r="K21" i="139" s="1"/>
  <c r="M21" i="139" s="1"/>
  <c r="D22" i="139"/>
  <c r="K22" i="139" s="1"/>
  <c r="M22" i="139" s="1"/>
  <c r="D23" i="139"/>
  <c r="K23" i="139" s="1"/>
  <c r="M23" i="139" s="1"/>
  <c r="D24" i="139"/>
  <c r="K24" i="139" s="1"/>
  <c r="M24" i="139" s="1"/>
  <c r="D5" i="139"/>
  <c r="E5" i="139" s="1"/>
  <c r="M10" i="139" l="1"/>
  <c r="M12" i="139"/>
  <c r="K13" i="140"/>
  <c r="M13" i="140" s="1"/>
  <c r="K8" i="141"/>
  <c r="M8" i="141" s="1"/>
  <c r="M8" i="139"/>
  <c r="K8" i="140"/>
  <c r="M8" i="140" s="1"/>
  <c r="L12" i="136"/>
  <c r="D12" i="137" s="1"/>
  <c r="L12" i="137"/>
  <c r="D12" i="138" s="1"/>
  <c r="D11" i="137"/>
  <c r="D13" i="137"/>
  <c r="D14" i="137"/>
  <c r="D15" i="137"/>
  <c r="D16" i="137"/>
  <c r="D17" i="137"/>
  <c r="D18" i="137"/>
  <c r="D19" i="137"/>
  <c r="D20" i="137"/>
  <c r="D21" i="137"/>
  <c r="D22" i="137"/>
  <c r="D23" i="137"/>
  <c r="D24" i="137"/>
  <c r="E8" i="137"/>
  <c r="L8" i="136"/>
  <c r="L8" i="137"/>
  <c r="L10" i="136"/>
  <c r="D10" i="137" s="1"/>
  <c r="L9" i="136"/>
  <c r="D9" i="137" s="1"/>
  <c r="E9" i="136"/>
  <c r="E8" i="136"/>
  <c r="D27" i="138" l="1"/>
  <c r="D28" i="138"/>
  <c r="D29" i="138"/>
  <c r="D26" i="138"/>
  <c r="K26" i="138" s="1"/>
  <c r="M26" i="138" s="1"/>
  <c r="K9" i="138"/>
  <c r="M9" i="138" s="1"/>
  <c r="K11" i="138"/>
  <c r="M11" i="138" s="1"/>
  <c r="K13" i="138"/>
  <c r="M13" i="138" s="1"/>
  <c r="K15" i="138"/>
  <c r="M15" i="138" s="1"/>
  <c r="K17" i="138"/>
  <c r="M17" i="138" s="1"/>
  <c r="K19" i="138"/>
  <c r="M19" i="138" s="1"/>
  <c r="K21" i="138"/>
  <c r="M21" i="138" s="1"/>
  <c r="K23" i="138"/>
  <c r="M23" i="138" s="1"/>
  <c r="D8" i="138"/>
  <c r="K8" i="138" s="1"/>
  <c r="M8" i="138" s="1"/>
  <c r="D5" i="138"/>
  <c r="E5" i="138" s="1"/>
  <c r="D27" i="137"/>
  <c r="K27" i="137" s="1"/>
  <c r="M27" i="137" s="1"/>
  <c r="D28" i="137"/>
  <c r="K28" i="137" s="1"/>
  <c r="M28" i="137" s="1"/>
  <c r="D29" i="137"/>
  <c r="K29" i="137" s="1"/>
  <c r="M29" i="137" s="1"/>
  <c r="D26" i="137"/>
  <c r="K26" i="137" s="1"/>
  <c r="M26" i="137" s="1"/>
  <c r="K9" i="137"/>
  <c r="M9" i="137" s="1"/>
  <c r="K11" i="137"/>
  <c r="M11" i="137" s="1"/>
  <c r="K13" i="137"/>
  <c r="M13" i="137" s="1"/>
  <c r="K15" i="137"/>
  <c r="M15" i="137" s="1"/>
  <c r="K17" i="137"/>
  <c r="M17" i="137" s="1"/>
  <c r="K19" i="137"/>
  <c r="M19" i="137" s="1"/>
  <c r="K21" i="137"/>
  <c r="M21" i="137" s="1"/>
  <c r="K23" i="137"/>
  <c r="M23" i="137" s="1"/>
  <c r="D8" i="137"/>
  <c r="K8" i="137" s="1"/>
  <c r="M8" i="137" s="1"/>
  <c r="D5" i="137"/>
  <c r="E5" i="137" s="1"/>
  <c r="K29" i="138"/>
  <c r="M29" i="138" s="1"/>
  <c r="K28" i="138"/>
  <c r="M28" i="138" s="1"/>
  <c r="K27" i="138"/>
  <c r="M27" i="138" s="1"/>
  <c r="K24" i="138"/>
  <c r="M24" i="138" s="1"/>
  <c r="K22" i="138"/>
  <c r="M22" i="138" s="1"/>
  <c r="K20" i="138"/>
  <c r="K18" i="138"/>
  <c r="M18" i="138" s="1"/>
  <c r="K16" i="138"/>
  <c r="M16" i="138" s="1"/>
  <c r="K14" i="138"/>
  <c r="M14" i="138" s="1"/>
  <c r="K12" i="138"/>
  <c r="M12" i="138" s="1"/>
  <c r="K10" i="138"/>
  <c r="M10" i="138" s="1"/>
  <c r="K24" i="137"/>
  <c r="M24" i="137" s="1"/>
  <c r="K22" i="137"/>
  <c r="M22" i="137" s="1"/>
  <c r="K20" i="137"/>
  <c r="K18" i="137"/>
  <c r="M18" i="137" s="1"/>
  <c r="K16" i="137"/>
  <c r="M16" i="137" s="1"/>
  <c r="K14" i="137"/>
  <c r="M14" i="137" s="1"/>
  <c r="K12" i="137"/>
  <c r="M12" i="137" s="1"/>
  <c r="K10" i="137"/>
  <c r="M10" i="137" s="1"/>
  <c r="D27" i="136" l="1"/>
  <c r="K27" i="136" s="1"/>
  <c r="M27" i="136" s="1"/>
  <c r="D28" i="136"/>
  <c r="K28" i="136" s="1"/>
  <c r="M28" i="136" s="1"/>
  <c r="D29" i="136"/>
  <c r="K29" i="136" s="1"/>
  <c r="M29" i="136" s="1"/>
  <c r="D26" i="136"/>
  <c r="K26" i="136" s="1"/>
  <c r="M26" i="136" s="1"/>
  <c r="D11" i="136"/>
  <c r="K11" i="136" s="1"/>
  <c r="M11" i="136" s="1"/>
  <c r="D14" i="136"/>
  <c r="K14" i="136" s="1"/>
  <c r="M14" i="136" s="1"/>
  <c r="D15" i="136"/>
  <c r="K15" i="136" s="1"/>
  <c r="M15" i="136" s="1"/>
  <c r="D16" i="136"/>
  <c r="K16" i="136" s="1"/>
  <c r="M16" i="136" s="1"/>
  <c r="D17" i="136"/>
  <c r="K17" i="136" s="1"/>
  <c r="M17" i="136" s="1"/>
  <c r="D18" i="136"/>
  <c r="K18" i="136" s="1"/>
  <c r="M18" i="136" s="1"/>
  <c r="D19" i="136"/>
  <c r="K19" i="136" s="1"/>
  <c r="M19" i="136" s="1"/>
  <c r="D20" i="136"/>
  <c r="K20" i="136" s="1"/>
  <c r="D21" i="136"/>
  <c r="K21" i="136" s="1"/>
  <c r="M21" i="136" s="1"/>
  <c r="D22" i="136"/>
  <c r="K22" i="136" s="1"/>
  <c r="M22" i="136" s="1"/>
  <c r="D23" i="136"/>
  <c r="D24" i="136"/>
  <c r="K24" i="136" s="1"/>
  <c r="M24" i="136" s="1"/>
  <c r="L13" i="135"/>
  <c r="D13" i="136" s="1"/>
  <c r="K13" i="136" s="1"/>
  <c r="M13" i="136" s="1"/>
  <c r="L12" i="135"/>
  <c r="D12" i="136" s="1"/>
  <c r="K12" i="136" s="1"/>
  <c r="M12" i="136" s="1"/>
  <c r="L10" i="135"/>
  <c r="D10" i="136" s="1"/>
  <c r="K10" i="136" s="1"/>
  <c r="M10" i="136" s="1"/>
  <c r="E8" i="135"/>
  <c r="L9" i="135"/>
  <c r="D9" i="136" s="1"/>
  <c r="K9" i="136" s="1"/>
  <c r="M9" i="136" s="1"/>
  <c r="L8" i="135"/>
  <c r="D8" i="136" s="1"/>
  <c r="K8" i="136" s="1"/>
  <c r="M8" i="136" s="1"/>
  <c r="E13" i="135"/>
  <c r="D5" i="136"/>
  <c r="E5" i="136" s="1"/>
  <c r="K23" i="136"/>
  <c r="M23" i="136" s="1"/>
  <c r="D11" i="134" l="1"/>
  <c r="D14" i="134"/>
  <c r="D15" i="134"/>
  <c r="D16" i="134"/>
  <c r="D17" i="134"/>
  <c r="D18" i="134"/>
  <c r="D19" i="134"/>
  <c r="D20" i="134"/>
  <c r="D21" i="134"/>
  <c r="D22" i="134"/>
  <c r="D23" i="134"/>
  <c r="D24" i="134"/>
  <c r="D27" i="134"/>
  <c r="D28" i="134"/>
  <c r="D29" i="134"/>
  <c r="D26" i="134"/>
  <c r="D27" i="135"/>
  <c r="K27" i="135" s="1"/>
  <c r="M27" i="135" s="1"/>
  <c r="D28" i="135"/>
  <c r="K28" i="135" s="1"/>
  <c r="M28" i="135" s="1"/>
  <c r="D29" i="135"/>
  <c r="K29" i="135" s="1"/>
  <c r="M29" i="135" s="1"/>
  <c r="L8" i="134"/>
  <c r="D8" i="135" s="1"/>
  <c r="K8" i="135" s="1"/>
  <c r="M8" i="135" s="1"/>
  <c r="E13" i="134"/>
  <c r="L12" i="134"/>
  <c r="D11" i="135"/>
  <c r="K11" i="135" s="1"/>
  <c r="M11" i="135" s="1"/>
  <c r="D12" i="135"/>
  <c r="K12" i="135" s="1"/>
  <c r="M12" i="135" s="1"/>
  <c r="D14" i="135"/>
  <c r="K14" i="135" s="1"/>
  <c r="M14" i="135" s="1"/>
  <c r="D15" i="135"/>
  <c r="K15" i="135" s="1"/>
  <c r="M15" i="135" s="1"/>
  <c r="D16" i="135"/>
  <c r="K16" i="135" s="1"/>
  <c r="M16" i="135" s="1"/>
  <c r="D17" i="135"/>
  <c r="K17" i="135" s="1"/>
  <c r="M17" i="135" s="1"/>
  <c r="D18" i="135"/>
  <c r="K18" i="135" s="1"/>
  <c r="M18" i="135" s="1"/>
  <c r="D19" i="135"/>
  <c r="K19" i="135" s="1"/>
  <c r="M19" i="135" s="1"/>
  <c r="D20" i="135"/>
  <c r="K20" i="135" s="1"/>
  <c r="D21" i="135"/>
  <c r="K21" i="135" s="1"/>
  <c r="M21" i="135" s="1"/>
  <c r="D22" i="135"/>
  <c r="K22" i="135" s="1"/>
  <c r="M22" i="135" s="1"/>
  <c r="D23" i="135"/>
  <c r="K23" i="135" s="1"/>
  <c r="M23" i="135" s="1"/>
  <c r="D24" i="135"/>
  <c r="K24" i="135" s="1"/>
  <c r="M24" i="135" s="1"/>
  <c r="D26" i="135"/>
  <c r="K26" i="135" s="1"/>
  <c r="M26" i="135" s="1"/>
  <c r="L13" i="134"/>
  <c r="D13" i="135" s="1"/>
  <c r="K13" i="135" s="1"/>
  <c r="M13" i="135" s="1"/>
  <c r="L10" i="134"/>
  <c r="D10" i="135" s="1"/>
  <c r="K10" i="135" s="1"/>
  <c r="M10" i="135" s="1"/>
  <c r="L9" i="134"/>
  <c r="D9" i="135" s="1"/>
  <c r="K9" i="135" s="1"/>
  <c r="M9" i="135" s="1"/>
  <c r="E12" i="134"/>
  <c r="E8" i="134"/>
  <c r="E10" i="133"/>
  <c r="D5" i="135"/>
  <c r="E5" i="135" s="1"/>
  <c r="D5" i="134" l="1"/>
  <c r="D27" i="133"/>
  <c r="D28" i="133"/>
  <c r="D29" i="133"/>
  <c r="D26" i="133"/>
  <c r="L13" i="133"/>
  <c r="D13" i="134" s="1"/>
  <c r="L12" i="133"/>
  <c r="D12" i="134" s="1"/>
  <c r="L10" i="133"/>
  <c r="D10" i="134" s="1"/>
  <c r="L9" i="133"/>
  <c r="D9" i="134" s="1"/>
  <c r="L8" i="133"/>
  <c r="D8" i="134" s="1"/>
  <c r="L8" i="132"/>
  <c r="D8" i="133" s="1"/>
  <c r="L8" i="131"/>
  <c r="D8" i="132" s="1"/>
  <c r="E12" i="133"/>
  <c r="D11" i="133"/>
  <c r="D14" i="133"/>
  <c r="D15" i="133"/>
  <c r="D16" i="133"/>
  <c r="D17" i="133"/>
  <c r="D18" i="133"/>
  <c r="D19" i="133"/>
  <c r="D20" i="133"/>
  <c r="D21" i="133"/>
  <c r="D22" i="133"/>
  <c r="D23" i="133"/>
  <c r="D24" i="133"/>
  <c r="L13" i="132"/>
  <c r="D13" i="133" s="1"/>
  <c r="L12" i="132"/>
  <c r="D12" i="133" s="1"/>
  <c r="L10" i="130"/>
  <c r="F10" i="130"/>
  <c r="L10" i="131"/>
  <c r="D10" i="132" s="1"/>
  <c r="L10" i="132"/>
  <c r="D10" i="133" s="1"/>
  <c r="L9" i="132"/>
  <c r="D9" i="133" s="1"/>
  <c r="D11" i="132"/>
  <c r="D14" i="132"/>
  <c r="D15" i="132"/>
  <c r="D16" i="132"/>
  <c r="D17" i="132"/>
  <c r="D18" i="132"/>
  <c r="D19" i="132"/>
  <c r="D20" i="132"/>
  <c r="D21" i="132"/>
  <c r="D22" i="132"/>
  <c r="D23" i="132"/>
  <c r="D24" i="132"/>
  <c r="D27" i="132"/>
  <c r="D28" i="132"/>
  <c r="D29" i="132"/>
  <c r="D26" i="132"/>
  <c r="L13" i="131"/>
  <c r="D13" i="132" s="1"/>
  <c r="L12" i="131"/>
  <c r="D12" i="132" s="1"/>
  <c r="E28" i="131" l="1"/>
  <c r="E26" i="131"/>
  <c r="E9" i="131"/>
  <c r="L9" i="131" s="1"/>
  <c r="D9" i="132" s="1"/>
  <c r="K9" i="132" s="1"/>
  <c r="M9" i="132" s="1"/>
  <c r="E5" i="134"/>
  <c r="K29" i="134"/>
  <c r="M29" i="134" s="1"/>
  <c r="K28" i="134"/>
  <c r="M28" i="134" s="1"/>
  <c r="K27" i="134"/>
  <c r="M27" i="134" s="1"/>
  <c r="K26" i="134"/>
  <c r="M26" i="134" s="1"/>
  <c r="K24" i="134"/>
  <c r="M24" i="134" s="1"/>
  <c r="K23" i="134"/>
  <c r="M23" i="134" s="1"/>
  <c r="K22" i="134"/>
  <c r="M22" i="134" s="1"/>
  <c r="K21" i="134"/>
  <c r="M21" i="134" s="1"/>
  <c r="K20" i="134"/>
  <c r="K19" i="134"/>
  <c r="M19" i="134" s="1"/>
  <c r="K18" i="134"/>
  <c r="M18" i="134" s="1"/>
  <c r="K17" i="134"/>
  <c r="M17" i="134" s="1"/>
  <c r="K16" i="134"/>
  <c r="M16" i="134" s="1"/>
  <c r="K15" i="134"/>
  <c r="M15" i="134" s="1"/>
  <c r="K14" i="134"/>
  <c r="M14" i="134" s="1"/>
  <c r="K13" i="134"/>
  <c r="M13" i="134" s="1"/>
  <c r="K12" i="134"/>
  <c r="M12" i="134" s="1"/>
  <c r="K11" i="134"/>
  <c r="M11" i="134" s="1"/>
  <c r="K10" i="134"/>
  <c r="M10" i="134" s="1"/>
  <c r="K9" i="134"/>
  <c r="M9" i="134" s="1"/>
  <c r="K8" i="134"/>
  <c r="M8" i="134" s="1"/>
  <c r="D5" i="133"/>
  <c r="E5" i="133" s="1"/>
  <c r="D5" i="132"/>
  <c r="E5" i="132" s="1"/>
  <c r="K29" i="133"/>
  <c r="M29" i="133" s="1"/>
  <c r="K28" i="133"/>
  <c r="M28" i="133" s="1"/>
  <c r="K27" i="133"/>
  <c r="M27" i="133" s="1"/>
  <c r="K26" i="133"/>
  <c r="M26" i="133" s="1"/>
  <c r="K24" i="133"/>
  <c r="M24" i="133" s="1"/>
  <c r="K23" i="133"/>
  <c r="M23" i="133" s="1"/>
  <c r="K22" i="133"/>
  <c r="M22" i="133" s="1"/>
  <c r="K21" i="133"/>
  <c r="M21" i="133" s="1"/>
  <c r="K20" i="133"/>
  <c r="K19" i="133"/>
  <c r="M19" i="133" s="1"/>
  <c r="K18" i="133"/>
  <c r="M18" i="133" s="1"/>
  <c r="K17" i="133"/>
  <c r="M17" i="133" s="1"/>
  <c r="K16" i="133"/>
  <c r="M16" i="133" s="1"/>
  <c r="K15" i="133"/>
  <c r="M15" i="133" s="1"/>
  <c r="K14" i="133"/>
  <c r="M14" i="133" s="1"/>
  <c r="K13" i="133"/>
  <c r="M13" i="133" s="1"/>
  <c r="K12" i="133"/>
  <c r="M12" i="133" s="1"/>
  <c r="K11" i="133"/>
  <c r="M11" i="133" s="1"/>
  <c r="K10" i="133"/>
  <c r="M10" i="133" s="1"/>
  <c r="K9" i="133"/>
  <c r="M9" i="133" s="1"/>
  <c r="K8" i="133"/>
  <c r="M8" i="133" s="1"/>
  <c r="K29" i="132"/>
  <c r="M29" i="132" s="1"/>
  <c r="K28" i="132"/>
  <c r="M28" i="132" s="1"/>
  <c r="K27" i="132"/>
  <c r="M27" i="132" s="1"/>
  <c r="K26" i="132"/>
  <c r="M26" i="132" s="1"/>
  <c r="K24" i="132"/>
  <c r="M24" i="132" s="1"/>
  <c r="K23" i="132"/>
  <c r="M23" i="132" s="1"/>
  <c r="K22" i="132"/>
  <c r="M22" i="132" s="1"/>
  <c r="K21" i="132"/>
  <c r="M21" i="132" s="1"/>
  <c r="K20" i="132"/>
  <c r="K19" i="132"/>
  <c r="M19" i="132" s="1"/>
  <c r="K18" i="132"/>
  <c r="M18" i="132" s="1"/>
  <c r="K17" i="132"/>
  <c r="M17" i="132" s="1"/>
  <c r="K16" i="132"/>
  <c r="M16" i="132" s="1"/>
  <c r="K15" i="132"/>
  <c r="M15" i="132" s="1"/>
  <c r="K14" i="132"/>
  <c r="M14" i="132" s="1"/>
  <c r="K13" i="132"/>
  <c r="M13" i="132" s="1"/>
  <c r="K12" i="132"/>
  <c r="M12" i="132" s="1"/>
  <c r="K11" i="132"/>
  <c r="M11" i="132" s="1"/>
  <c r="K10" i="132"/>
  <c r="M10" i="132" s="1"/>
  <c r="K8" i="132"/>
  <c r="M8" i="132" s="1"/>
  <c r="D27" i="131" l="1"/>
  <c r="K27" i="131" s="1"/>
  <c r="M27" i="131" s="1"/>
  <c r="D28" i="131"/>
  <c r="D29" i="131"/>
  <c r="K29" i="131" s="1"/>
  <c r="M29" i="131" s="1"/>
  <c r="D26" i="131"/>
  <c r="K26" i="131" s="1"/>
  <c r="M26" i="131" s="1"/>
  <c r="D9" i="131"/>
  <c r="K9" i="131" s="1"/>
  <c r="M9" i="131" s="1"/>
  <c r="D10" i="131"/>
  <c r="K10" i="131" s="1"/>
  <c r="M10" i="131" s="1"/>
  <c r="D11" i="131"/>
  <c r="K11" i="131" s="1"/>
  <c r="M11" i="131" s="1"/>
  <c r="D14" i="131"/>
  <c r="K14" i="131" s="1"/>
  <c r="M14" i="131" s="1"/>
  <c r="D15" i="131"/>
  <c r="K15" i="131" s="1"/>
  <c r="M15" i="131" s="1"/>
  <c r="D16" i="131"/>
  <c r="K16" i="131" s="1"/>
  <c r="M16" i="131" s="1"/>
  <c r="D17" i="131"/>
  <c r="K17" i="131" s="1"/>
  <c r="M17" i="131" s="1"/>
  <c r="D18" i="131"/>
  <c r="K18" i="131" s="1"/>
  <c r="M18" i="131" s="1"/>
  <c r="D19" i="131"/>
  <c r="K19" i="131" s="1"/>
  <c r="M19" i="131" s="1"/>
  <c r="D20" i="131"/>
  <c r="K20" i="131" s="1"/>
  <c r="D21" i="131"/>
  <c r="K21" i="131" s="1"/>
  <c r="M21" i="131" s="1"/>
  <c r="D22" i="131"/>
  <c r="K22" i="131" s="1"/>
  <c r="M22" i="131" s="1"/>
  <c r="D23" i="131"/>
  <c r="D24" i="131"/>
  <c r="K24" i="131" s="1"/>
  <c r="M24" i="131" s="1"/>
  <c r="D5" i="131"/>
  <c r="E5" i="131" s="1"/>
  <c r="K28" i="131"/>
  <c r="M28" i="131" s="1"/>
  <c r="K23" i="131"/>
  <c r="M23" i="131" s="1"/>
  <c r="L13" i="130"/>
  <c r="D13" i="131" s="1"/>
  <c r="K13" i="131" s="1"/>
  <c r="M13" i="131" s="1"/>
  <c r="E12" i="130"/>
  <c r="E12" i="129"/>
  <c r="L12" i="130"/>
  <c r="D12" i="131" s="1"/>
  <c r="K12" i="131" s="1"/>
  <c r="M12" i="131" s="1"/>
  <c r="L10" i="129"/>
  <c r="E8" i="130"/>
  <c r="L8" i="129"/>
  <c r="L8" i="130"/>
  <c r="D8" i="131" s="1"/>
  <c r="K8" i="131" s="1"/>
  <c r="M8" i="131" s="1"/>
  <c r="D5" i="130" l="1"/>
  <c r="E5" i="130" s="1"/>
  <c r="D9" i="130"/>
  <c r="K9" i="130" s="1"/>
  <c r="M9" i="130" s="1"/>
  <c r="D10" i="130"/>
  <c r="K10" i="130" s="1"/>
  <c r="M10" i="130" s="1"/>
  <c r="D11" i="130"/>
  <c r="K11" i="130" s="1"/>
  <c r="M11" i="130" s="1"/>
  <c r="D12" i="130"/>
  <c r="K12" i="130" s="1"/>
  <c r="M12" i="130" s="1"/>
  <c r="D13" i="130"/>
  <c r="K13" i="130" s="1"/>
  <c r="M13" i="130" s="1"/>
  <c r="D14" i="130"/>
  <c r="K14" i="130" s="1"/>
  <c r="M14" i="130" s="1"/>
  <c r="D15" i="130"/>
  <c r="K15" i="130" s="1"/>
  <c r="M15" i="130" s="1"/>
  <c r="D16" i="130"/>
  <c r="K16" i="130" s="1"/>
  <c r="M16" i="130" s="1"/>
  <c r="D17" i="130"/>
  <c r="K17" i="130" s="1"/>
  <c r="M17" i="130" s="1"/>
  <c r="D18" i="130"/>
  <c r="K18" i="130" s="1"/>
  <c r="M18" i="130" s="1"/>
  <c r="D19" i="130"/>
  <c r="K19" i="130" s="1"/>
  <c r="M19" i="130" s="1"/>
  <c r="D20" i="130"/>
  <c r="K20" i="130" s="1"/>
  <c r="D21" i="130"/>
  <c r="K21" i="130" s="1"/>
  <c r="M21" i="130" s="1"/>
  <c r="D22" i="130"/>
  <c r="K22" i="130" s="1"/>
  <c r="M22" i="130" s="1"/>
  <c r="D23" i="130"/>
  <c r="K23" i="130" s="1"/>
  <c r="M23" i="130" s="1"/>
  <c r="D24" i="130"/>
  <c r="K24" i="130" s="1"/>
  <c r="M24" i="130" s="1"/>
  <c r="D8" i="130"/>
  <c r="K8" i="130" s="1"/>
  <c r="D27" i="130"/>
  <c r="K27" i="130" s="1"/>
  <c r="M27" i="130" s="1"/>
  <c r="D28" i="130"/>
  <c r="K28" i="130" s="1"/>
  <c r="M28" i="130" s="1"/>
  <c r="D29" i="130"/>
  <c r="K29" i="130" s="1"/>
  <c r="M29" i="130" s="1"/>
  <c r="D26" i="130"/>
  <c r="K26" i="130" s="1"/>
  <c r="M26" i="130" s="1"/>
  <c r="M8" i="130" l="1"/>
  <c r="L8" i="128" l="1"/>
  <c r="D8" i="129" s="1"/>
  <c r="E8" i="128"/>
  <c r="L8" i="127"/>
  <c r="L8" i="125"/>
  <c r="E8" i="129"/>
  <c r="E12" i="128"/>
  <c r="L13" i="128"/>
  <c r="D13" i="129" s="1"/>
  <c r="K13" i="129" s="1"/>
  <c r="M13" i="129" s="1"/>
  <c r="L12" i="128"/>
  <c r="D12" i="129" s="1"/>
  <c r="L10" i="128"/>
  <c r="D10" i="129" s="1"/>
  <c r="K10" i="129" s="1"/>
  <c r="M10" i="129" s="1"/>
  <c r="E10" i="127"/>
  <c r="E9" i="126"/>
  <c r="E26" i="128"/>
  <c r="D27" i="129"/>
  <c r="K27" i="129" s="1"/>
  <c r="M27" i="129" s="1"/>
  <c r="D28" i="129"/>
  <c r="K28" i="129" s="1"/>
  <c r="M28" i="129" s="1"/>
  <c r="D29" i="129"/>
  <c r="K29" i="129" s="1"/>
  <c r="M29" i="129" s="1"/>
  <c r="D26" i="129"/>
  <c r="K26" i="129" s="1"/>
  <c r="M26" i="129" s="1"/>
  <c r="D9" i="129"/>
  <c r="K9" i="129" s="1"/>
  <c r="M9" i="129" s="1"/>
  <c r="D11" i="129"/>
  <c r="K11" i="129" s="1"/>
  <c r="M11" i="129" s="1"/>
  <c r="D14" i="129"/>
  <c r="K14" i="129" s="1"/>
  <c r="M14" i="129" s="1"/>
  <c r="D15" i="129"/>
  <c r="K15" i="129" s="1"/>
  <c r="M15" i="129" s="1"/>
  <c r="D16" i="129"/>
  <c r="K16" i="129" s="1"/>
  <c r="M16" i="129" s="1"/>
  <c r="D17" i="129"/>
  <c r="K17" i="129" s="1"/>
  <c r="M17" i="129" s="1"/>
  <c r="D18" i="129"/>
  <c r="K18" i="129" s="1"/>
  <c r="M18" i="129" s="1"/>
  <c r="D19" i="129"/>
  <c r="K19" i="129" s="1"/>
  <c r="M19" i="129" s="1"/>
  <c r="D20" i="129"/>
  <c r="K20" i="129" s="1"/>
  <c r="D21" i="129"/>
  <c r="K21" i="129" s="1"/>
  <c r="M21" i="129" s="1"/>
  <c r="D22" i="129"/>
  <c r="K22" i="129" s="1"/>
  <c r="M22" i="129" s="1"/>
  <c r="D23" i="129"/>
  <c r="K23" i="129" s="1"/>
  <c r="M23" i="129" s="1"/>
  <c r="D24" i="129"/>
  <c r="K24" i="129" s="1"/>
  <c r="M24" i="129" s="1"/>
  <c r="D5" i="129"/>
  <c r="E5" i="129" s="1"/>
  <c r="K8" i="129" l="1"/>
  <c r="M8" i="129" s="1"/>
  <c r="K12" i="129"/>
  <c r="M12" i="129" s="1"/>
  <c r="D27" i="128" l="1"/>
  <c r="K27" i="128" s="1"/>
  <c r="M27" i="128" s="1"/>
  <c r="D28" i="128"/>
  <c r="K28" i="128" s="1"/>
  <c r="M28" i="128" s="1"/>
  <c r="D29" i="128"/>
  <c r="K29" i="128" s="1"/>
  <c r="M29" i="128" s="1"/>
  <c r="D26" i="128"/>
  <c r="K26" i="128" s="1"/>
  <c r="M26" i="128" s="1"/>
  <c r="D9" i="128"/>
  <c r="K9" i="128" s="1"/>
  <c r="M9" i="128" s="1"/>
  <c r="D11" i="128"/>
  <c r="K11" i="128" s="1"/>
  <c r="M11" i="128" s="1"/>
  <c r="D12" i="128"/>
  <c r="K12" i="128" s="1"/>
  <c r="M12" i="128" s="1"/>
  <c r="D13" i="128"/>
  <c r="K13" i="128" s="1"/>
  <c r="M13" i="128" s="1"/>
  <c r="D14" i="128"/>
  <c r="K14" i="128" s="1"/>
  <c r="M14" i="128" s="1"/>
  <c r="D15" i="128"/>
  <c r="K15" i="128" s="1"/>
  <c r="M15" i="128" s="1"/>
  <c r="D16" i="128"/>
  <c r="K16" i="128" s="1"/>
  <c r="M16" i="128" s="1"/>
  <c r="D17" i="128"/>
  <c r="K17" i="128" s="1"/>
  <c r="M17" i="128" s="1"/>
  <c r="D18" i="128"/>
  <c r="K18" i="128" s="1"/>
  <c r="M18" i="128" s="1"/>
  <c r="D19" i="128"/>
  <c r="K19" i="128" s="1"/>
  <c r="M19" i="128" s="1"/>
  <c r="K20" i="128"/>
  <c r="D21" i="128"/>
  <c r="K21" i="128" s="1"/>
  <c r="D22" i="128"/>
  <c r="K22" i="128" s="1"/>
  <c r="D23" i="128"/>
  <c r="K23" i="128" s="1"/>
  <c r="M23" i="128" s="1"/>
  <c r="D24" i="128"/>
  <c r="K24" i="128" s="1"/>
  <c r="M24" i="128" s="1"/>
  <c r="D8" i="128"/>
  <c r="M22" i="128"/>
  <c r="M21" i="128"/>
  <c r="D5" i="128"/>
  <c r="E5" i="128" s="1"/>
  <c r="M12" i="126"/>
  <c r="L10" i="127"/>
  <c r="D10" i="128" s="1"/>
  <c r="K10" i="128" s="1"/>
  <c r="K8" i="128" l="1"/>
  <c r="M8" i="128" s="1"/>
  <c r="M10" i="128"/>
  <c r="D27" i="125"/>
  <c r="D28" i="125"/>
  <c r="D29" i="125"/>
  <c r="D27" i="124"/>
  <c r="D28" i="124"/>
  <c r="D29" i="124"/>
  <c r="D27" i="123" l="1"/>
  <c r="D28" i="123"/>
  <c r="D29" i="123"/>
  <c r="D27" i="121"/>
  <c r="D28" i="121"/>
  <c r="D29" i="121"/>
  <c r="D27" i="119"/>
  <c r="D28" i="119"/>
  <c r="D29" i="119"/>
  <c r="D27" i="118"/>
  <c r="D28" i="118"/>
  <c r="D29" i="118"/>
  <c r="D27" i="117"/>
  <c r="D28" i="117"/>
  <c r="D29" i="117"/>
  <c r="D27" i="115"/>
  <c r="D28" i="115"/>
  <c r="D29" i="115"/>
  <c r="D27" i="112"/>
  <c r="D28" i="112"/>
  <c r="D29" i="112"/>
  <c r="D27" i="110"/>
  <c r="D28" i="110"/>
  <c r="D29" i="110"/>
  <c r="D27" i="109"/>
  <c r="D28" i="109"/>
  <c r="D29" i="109"/>
  <c r="D27" i="108"/>
  <c r="D28" i="108"/>
  <c r="D29" i="108"/>
  <c r="D27" i="107"/>
  <c r="D28" i="107"/>
  <c r="D29" i="107"/>
  <c r="D26" i="106"/>
  <c r="D5" i="127" l="1"/>
  <c r="M10" i="126" l="1"/>
  <c r="E8" i="126"/>
  <c r="E5" i="127" l="1"/>
  <c r="D27" i="126" l="1"/>
  <c r="D28" i="126"/>
  <c r="D29" i="126"/>
  <c r="L10" i="125"/>
  <c r="E12" i="125"/>
  <c r="E10" i="125"/>
  <c r="D26" i="126"/>
  <c r="D9" i="125"/>
  <c r="D11" i="125"/>
  <c r="D13" i="125"/>
  <c r="D14" i="125"/>
  <c r="D15" i="125"/>
  <c r="D16" i="125"/>
  <c r="D17" i="125"/>
  <c r="D18" i="125"/>
  <c r="D19" i="125"/>
  <c r="D20" i="125"/>
  <c r="D21" i="125"/>
  <c r="D22" i="125"/>
  <c r="D23" i="125"/>
  <c r="D24" i="125"/>
  <c r="L27" i="126" l="1"/>
  <c r="L29" i="126"/>
  <c r="D9" i="126"/>
  <c r="L9" i="126" s="1"/>
  <c r="D10" i="126"/>
  <c r="L10" i="126" s="1"/>
  <c r="D11" i="126"/>
  <c r="L11" i="126" s="1"/>
  <c r="D12" i="126"/>
  <c r="L12" i="126" s="1"/>
  <c r="D13" i="126"/>
  <c r="L13" i="126" s="1"/>
  <c r="D14" i="126"/>
  <c r="L14" i="126" s="1"/>
  <c r="D15" i="126"/>
  <c r="L15" i="126" s="1"/>
  <c r="D16" i="126"/>
  <c r="L16" i="126" s="1"/>
  <c r="D17" i="126"/>
  <c r="L17" i="126" s="1"/>
  <c r="D18" i="126"/>
  <c r="L18" i="126" s="1"/>
  <c r="D19" i="126"/>
  <c r="L19" i="126" s="1"/>
  <c r="D20" i="126"/>
  <c r="L20" i="126" s="1"/>
  <c r="D20" i="127" s="1"/>
  <c r="K20" i="127" s="1"/>
  <c r="D21" i="126"/>
  <c r="L21" i="126" s="1"/>
  <c r="D22" i="126"/>
  <c r="L22" i="126" s="1"/>
  <c r="D23" i="126"/>
  <c r="L23" i="126" s="1"/>
  <c r="D24" i="126"/>
  <c r="L24" i="126" s="1"/>
  <c r="D8" i="126"/>
  <c r="L8" i="126" s="1"/>
  <c r="L28" i="126"/>
  <c r="L26" i="126"/>
  <c r="D5" i="126"/>
  <c r="E5" i="126" s="1"/>
  <c r="D9" i="124"/>
  <c r="D10" i="124"/>
  <c r="D11" i="124"/>
  <c r="D12" i="124"/>
  <c r="D13" i="124"/>
  <c r="D14" i="124"/>
  <c r="D15" i="124"/>
  <c r="D16" i="124"/>
  <c r="D17" i="124"/>
  <c r="D18" i="124"/>
  <c r="D19" i="124"/>
  <c r="D20" i="124"/>
  <c r="D21" i="124"/>
  <c r="D22" i="124"/>
  <c r="D23" i="124"/>
  <c r="D24" i="124"/>
  <c r="D26" i="124"/>
  <c r="L12" i="124"/>
  <c r="D12" i="125" s="1"/>
  <c r="K12" i="125" s="1"/>
  <c r="M12" i="125" s="1"/>
  <c r="L10" i="124"/>
  <c r="D10" i="125" s="1"/>
  <c r="K10" i="125" s="1"/>
  <c r="M10" i="125" s="1"/>
  <c r="L8" i="124"/>
  <c r="D8" i="125" s="1"/>
  <c r="K8" i="125" s="1"/>
  <c r="M8" i="125" s="1"/>
  <c r="K28" i="125"/>
  <c r="M28" i="125" s="1"/>
  <c r="D26" i="125"/>
  <c r="K26" i="125" s="1"/>
  <c r="M26" i="125" s="1"/>
  <c r="K9" i="125"/>
  <c r="M9" i="125" s="1"/>
  <c r="K11" i="125"/>
  <c r="M11" i="125" s="1"/>
  <c r="K13" i="125"/>
  <c r="M13" i="125" s="1"/>
  <c r="K14" i="125"/>
  <c r="M14" i="125" s="1"/>
  <c r="K15" i="125"/>
  <c r="M15" i="125" s="1"/>
  <c r="K16" i="125"/>
  <c r="M16" i="125" s="1"/>
  <c r="K17" i="125"/>
  <c r="M17" i="125" s="1"/>
  <c r="K18" i="125"/>
  <c r="M18" i="125" s="1"/>
  <c r="K19" i="125"/>
  <c r="M19" i="125" s="1"/>
  <c r="K20" i="125"/>
  <c r="K21" i="125"/>
  <c r="M21" i="125" s="1"/>
  <c r="K23" i="125"/>
  <c r="M23" i="125" s="1"/>
  <c r="K24" i="125"/>
  <c r="M24" i="125" s="1"/>
  <c r="D5" i="125"/>
  <c r="E5" i="125" s="1"/>
  <c r="K29" i="125"/>
  <c r="M29" i="125" s="1"/>
  <c r="K27" i="125"/>
  <c r="M27" i="125" s="1"/>
  <c r="K22" i="125"/>
  <c r="M22" i="125" s="1"/>
  <c r="N8" i="126" l="1"/>
  <c r="D8" i="127"/>
  <c r="K8" i="127" s="1"/>
  <c r="M8" i="127" s="1"/>
  <c r="N21" i="126"/>
  <c r="D21" i="127"/>
  <c r="K21" i="127" s="1"/>
  <c r="M21" i="127" s="1"/>
  <c r="N19" i="126"/>
  <c r="D19" i="127"/>
  <c r="K19" i="127" s="1"/>
  <c r="M19" i="127" s="1"/>
  <c r="N15" i="126"/>
  <c r="D15" i="127"/>
  <c r="K15" i="127" s="1"/>
  <c r="M15" i="127" s="1"/>
  <c r="N11" i="126"/>
  <c r="D11" i="127"/>
  <c r="K11" i="127" s="1"/>
  <c r="M11" i="127" s="1"/>
  <c r="N24" i="126"/>
  <c r="D24" i="127"/>
  <c r="K24" i="127" s="1"/>
  <c r="M24" i="127" s="1"/>
  <c r="N22" i="126"/>
  <c r="D22" i="127"/>
  <c r="K22" i="127" s="1"/>
  <c r="M22" i="127" s="1"/>
  <c r="N18" i="126"/>
  <c r="D18" i="127"/>
  <c r="K18" i="127" s="1"/>
  <c r="M18" i="127" s="1"/>
  <c r="N16" i="126"/>
  <c r="D16" i="127"/>
  <c r="K16" i="127" s="1"/>
  <c r="M16" i="127" s="1"/>
  <c r="N14" i="126"/>
  <c r="D14" i="127"/>
  <c r="K14" i="127" s="1"/>
  <c r="M14" i="127" s="1"/>
  <c r="N12" i="126"/>
  <c r="D12" i="127"/>
  <c r="K12" i="127" s="1"/>
  <c r="M12" i="127" s="1"/>
  <c r="N10" i="126"/>
  <c r="D10" i="127"/>
  <c r="K10" i="127" s="1"/>
  <c r="M10" i="127" s="1"/>
  <c r="N23" i="126"/>
  <c r="D23" i="127"/>
  <c r="K23" i="127" s="1"/>
  <c r="M23" i="127" s="1"/>
  <c r="N17" i="126"/>
  <c r="D17" i="127"/>
  <c r="K17" i="127" s="1"/>
  <c r="M17" i="127" s="1"/>
  <c r="N13" i="126"/>
  <c r="D13" i="127"/>
  <c r="K13" i="127" s="1"/>
  <c r="M13" i="127" s="1"/>
  <c r="N9" i="126"/>
  <c r="D9" i="127"/>
  <c r="K9" i="127" s="1"/>
  <c r="M9" i="127" s="1"/>
  <c r="N29" i="126"/>
  <c r="D29" i="127"/>
  <c r="K29" i="127" s="1"/>
  <c r="M29" i="127" s="1"/>
  <c r="N28" i="126"/>
  <c r="D28" i="127"/>
  <c r="K28" i="127" s="1"/>
  <c r="M28" i="127" s="1"/>
  <c r="N27" i="126"/>
  <c r="D27" i="127"/>
  <c r="K27" i="127" s="1"/>
  <c r="M27" i="127" s="1"/>
  <c r="N26" i="126"/>
  <c r="D26" i="127"/>
  <c r="K26" i="127" s="1"/>
  <c r="M26" i="127" s="1"/>
  <c r="K27" i="124"/>
  <c r="M27" i="124" s="1"/>
  <c r="K29" i="124"/>
  <c r="M29" i="124" s="1"/>
  <c r="K10" i="124"/>
  <c r="M10" i="124" s="1"/>
  <c r="K11" i="124"/>
  <c r="M11" i="124" s="1"/>
  <c r="K12" i="124"/>
  <c r="M12" i="124" s="1"/>
  <c r="K13" i="124"/>
  <c r="M13" i="124" s="1"/>
  <c r="K14" i="124"/>
  <c r="M14" i="124" s="1"/>
  <c r="K15" i="124"/>
  <c r="M15" i="124" s="1"/>
  <c r="K16" i="124"/>
  <c r="M16" i="124" s="1"/>
  <c r="K17" i="124"/>
  <c r="M17" i="124" s="1"/>
  <c r="K19" i="124"/>
  <c r="M19" i="124" s="1"/>
  <c r="K21" i="124"/>
  <c r="M21" i="124" s="1"/>
  <c r="K23" i="124"/>
  <c r="M23" i="124" s="1"/>
  <c r="D5" i="124"/>
  <c r="K28" i="124"/>
  <c r="M28" i="124" s="1"/>
  <c r="K26" i="124"/>
  <c r="M26" i="124" s="1"/>
  <c r="K24" i="124"/>
  <c r="M24" i="124" s="1"/>
  <c r="K22" i="124"/>
  <c r="M22" i="124" s="1"/>
  <c r="K20" i="124"/>
  <c r="K18" i="124"/>
  <c r="M18" i="124" s="1"/>
  <c r="K9" i="124"/>
  <c r="M9" i="124" s="1"/>
  <c r="E5" i="124"/>
  <c r="L8" i="123"/>
  <c r="D8" i="124" s="1"/>
  <c r="K8" i="124" s="1"/>
  <c r="E8" i="123"/>
  <c r="M8" i="124" l="1"/>
  <c r="E12" i="122"/>
  <c r="D11" i="122"/>
  <c r="D14" i="122"/>
  <c r="D15" i="122"/>
  <c r="D16" i="122"/>
  <c r="D17" i="122"/>
  <c r="D18" i="122"/>
  <c r="D19" i="122"/>
  <c r="D20" i="122"/>
  <c r="D21" i="122"/>
  <c r="D22" i="122"/>
  <c r="D23" i="122"/>
  <c r="D24" i="122"/>
  <c r="L9" i="122"/>
  <c r="E8" i="122"/>
  <c r="K27" i="123" l="1"/>
  <c r="M27" i="123" s="1"/>
  <c r="K29" i="123"/>
  <c r="M29" i="123" s="1"/>
  <c r="D26" i="123"/>
  <c r="K26" i="123" s="1"/>
  <c r="M26" i="123" s="1"/>
  <c r="D9" i="123"/>
  <c r="K9" i="123" s="1"/>
  <c r="M9" i="123" s="1"/>
  <c r="D10" i="123"/>
  <c r="K10" i="123" s="1"/>
  <c r="M10" i="123" s="1"/>
  <c r="D11" i="123"/>
  <c r="K11" i="123" s="1"/>
  <c r="M11" i="123" s="1"/>
  <c r="D12" i="123"/>
  <c r="K12" i="123" s="1"/>
  <c r="M12" i="123" s="1"/>
  <c r="D13" i="123"/>
  <c r="K13" i="123" s="1"/>
  <c r="M13" i="123" s="1"/>
  <c r="D14" i="123"/>
  <c r="K14" i="123" s="1"/>
  <c r="M14" i="123" s="1"/>
  <c r="D15" i="123"/>
  <c r="K15" i="123" s="1"/>
  <c r="M15" i="123" s="1"/>
  <c r="D16" i="123"/>
  <c r="K16" i="123" s="1"/>
  <c r="M16" i="123" s="1"/>
  <c r="D17" i="123"/>
  <c r="K17" i="123" s="1"/>
  <c r="M17" i="123" s="1"/>
  <c r="D18" i="123"/>
  <c r="K18" i="123" s="1"/>
  <c r="M18" i="123" s="1"/>
  <c r="D19" i="123"/>
  <c r="K19" i="123" s="1"/>
  <c r="M19" i="123" s="1"/>
  <c r="D20" i="123"/>
  <c r="K20" i="123" s="1"/>
  <c r="D21" i="123"/>
  <c r="K21" i="123" s="1"/>
  <c r="M21" i="123" s="1"/>
  <c r="D22" i="123"/>
  <c r="K22" i="123" s="1"/>
  <c r="M22" i="123" s="1"/>
  <c r="D23" i="123"/>
  <c r="K23" i="123" s="1"/>
  <c r="M23" i="123" s="1"/>
  <c r="D24" i="123"/>
  <c r="K24" i="123" s="1"/>
  <c r="M24" i="123" s="1"/>
  <c r="D8" i="123"/>
  <c r="K8" i="123" s="1"/>
  <c r="M8" i="123" s="1"/>
  <c r="D5" i="120"/>
  <c r="D5" i="121"/>
  <c r="D5" i="122"/>
  <c r="D5" i="123"/>
  <c r="E5" i="123" s="1"/>
  <c r="K28" i="123"/>
  <c r="M28" i="123" s="1"/>
  <c r="D27" i="122" l="1"/>
  <c r="K27" i="122" s="1"/>
  <c r="M27" i="122" s="1"/>
  <c r="D28" i="122"/>
  <c r="D29" i="122"/>
  <c r="K29" i="122" s="1"/>
  <c r="M29" i="122" s="1"/>
  <c r="D26" i="122"/>
  <c r="K26" i="122" s="1"/>
  <c r="M26" i="122" s="1"/>
  <c r="D8" i="122"/>
  <c r="K8" i="122" s="1"/>
  <c r="M8" i="122" s="1"/>
  <c r="K28" i="122"/>
  <c r="M28" i="122" s="1"/>
  <c r="K24" i="122"/>
  <c r="M24" i="122" s="1"/>
  <c r="K23" i="122"/>
  <c r="M23" i="122" s="1"/>
  <c r="K22" i="122"/>
  <c r="M22" i="122" s="1"/>
  <c r="K21" i="122"/>
  <c r="M21" i="122" s="1"/>
  <c r="K20" i="122"/>
  <c r="K19" i="122"/>
  <c r="M19" i="122" s="1"/>
  <c r="K18" i="122"/>
  <c r="M18" i="122" s="1"/>
  <c r="K17" i="122"/>
  <c r="M17" i="122" s="1"/>
  <c r="K16" i="122"/>
  <c r="M16" i="122" s="1"/>
  <c r="K15" i="122"/>
  <c r="M15" i="122" s="1"/>
  <c r="K14" i="122"/>
  <c r="M14" i="122" s="1"/>
  <c r="K11" i="122"/>
  <c r="M11" i="122" s="1"/>
  <c r="E5" i="122"/>
  <c r="L13" i="121"/>
  <c r="D13" i="122" s="1"/>
  <c r="K13" i="122" s="1"/>
  <c r="M13" i="122" s="1"/>
  <c r="L12" i="121"/>
  <c r="D12" i="122" s="1"/>
  <c r="K12" i="122" s="1"/>
  <c r="M12" i="122" s="1"/>
  <c r="L10" i="121"/>
  <c r="D10" i="122" s="1"/>
  <c r="K10" i="122" s="1"/>
  <c r="M10" i="122" s="1"/>
  <c r="L9" i="121"/>
  <c r="D9" i="122" s="1"/>
  <c r="K9" i="122" s="1"/>
  <c r="M9" i="122" s="1"/>
  <c r="E12" i="121"/>
  <c r="E8" i="121"/>
  <c r="L10" i="120" l="1"/>
  <c r="L13" i="117"/>
  <c r="L13" i="112"/>
  <c r="L12" i="112"/>
  <c r="L10" i="112"/>
  <c r="L9" i="112"/>
  <c r="L8" i="112"/>
  <c r="K27" i="121" l="1"/>
  <c r="M27" i="121" s="1"/>
  <c r="K28" i="121"/>
  <c r="M28" i="121" s="1"/>
  <c r="K29" i="121"/>
  <c r="M29" i="121" s="1"/>
  <c r="D26" i="121"/>
  <c r="K26" i="121" s="1"/>
  <c r="M26" i="121" s="1"/>
  <c r="D10" i="121"/>
  <c r="K10" i="121" s="1"/>
  <c r="M10" i="121" s="1"/>
  <c r="D11" i="121"/>
  <c r="K11" i="121" s="1"/>
  <c r="M11" i="121" s="1"/>
  <c r="D14" i="121"/>
  <c r="K14" i="121" s="1"/>
  <c r="M14" i="121" s="1"/>
  <c r="D15" i="121"/>
  <c r="K15" i="121" s="1"/>
  <c r="M15" i="121" s="1"/>
  <c r="D16" i="121"/>
  <c r="K16" i="121" s="1"/>
  <c r="M16" i="121" s="1"/>
  <c r="D17" i="121"/>
  <c r="K17" i="121" s="1"/>
  <c r="M17" i="121" s="1"/>
  <c r="D18" i="121"/>
  <c r="K18" i="121" s="1"/>
  <c r="M18" i="121" s="1"/>
  <c r="D19" i="121"/>
  <c r="K19" i="121" s="1"/>
  <c r="M19" i="121" s="1"/>
  <c r="D20" i="121"/>
  <c r="K20" i="121" s="1"/>
  <c r="D21" i="121"/>
  <c r="K21" i="121" s="1"/>
  <c r="M21" i="121" s="1"/>
  <c r="D22" i="121"/>
  <c r="K22" i="121" s="1"/>
  <c r="M22" i="121" s="1"/>
  <c r="D23" i="121"/>
  <c r="K23" i="121" s="1"/>
  <c r="M23" i="121" s="1"/>
  <c r="D24" i="121"/>
  <c r="K24" i="121" s="1"/>
  <c r="M24" i="121" s="1"/>
  <c r="D8" i="121"/>
  <c r="K8" i="121" s="1"/>
  <c r="M8" i="121" s="1"/>
  <c r="L13" i="120"/>
  <c r="D13" i="121" s="1"/>
  <c r="K13" i="121" s="1"/>
  <c r="M13" i="121" s="1"/>
  <c r="L12" i="119"/>
  <c r="L12" i="120"/>
  <c r="D12" i="121" s="1"/>
  <c r="K12" i="121" s="1"/>
  <c r="M12" i="121" s="1"/>
  <c r="L9" i="120"/>
  <c r="D9" i="121" s="1"/>
  <c r="K9" i="121" s="1"/>
  <c r="M9" i="121" s="1"/>
  <c r="D8" i="120"/>
  <c r="E9" i="120"/>
  <c r="D27" i="120"/>
  <c r="D28" i="120"/>
  <c r="D29" i="120"/>
  <c r="D26" i="120"/>
  <c r="D11" i="120"/>
  <c r="D12" i="120"/>
  <c r="D14" i="120"/>
  <c r="D15" i="120"/>
  <c r="D16" i="120"/>
  <c r="D17" i="120"/>
  <c r="D18" i="120"/>
  <c r="D19" i="120"/>
  <c r="D20" i="120"/>
  <c r="D21" i="120"/>
  <c r="D22" i="120"/>
  <c r="D23" i="120"/>
  <c r="D24" i="120"/>
  <c r="L13" i="119"/>
  <c r="D13" i="120" s="1"/>
  <c r="E10" i="119"/>
  <c r="L10" i="119"/>
  <c r="D10" i="120" s="1"/>
  <c r="L9" i="119"/>
  <c r="D9" i="120" s="1"/>
  <c r="D10" i="119"/>
  <c r="D11" i="119"/>
  <c r="D12" i="119"/>
  <c r="D13" i="119"/>
  <c r="D14" i="119"/>
  <c r="D15" i="119"/>
  <c r="D16" i="119"/>
  <c r="D17" i="119"/>
  <c r="D18" i="119"/>
  <c r="D19" i="119"/>
  <c r="D20" i="119"/>
  <c r="D21" i="119"/>
  <c r="D22" i="119"/>
  <c r="D23" i="119"/>
  <c r="D24" i="119"/>
  <c r="D8" i="119"/>
  <c r="E9" i="118"/>
  <c r="L9" i="118"/>
  <c r="D9" i="119" s="1"/>
  <c r="E12" i="119"/>
  <c r="E8" i="119"/>
  <c r="E5" i="121"/>
  <c r="L12" i="117"/>
  <c r="E12" i="117"/>
  <c r="K29" i="120" l="1"/>
  <c r="M29" i="120" s="1"/>
  <c r="K28" i="120"/>
  <c r="M28" i="120" s="1"/>
  <c r="K27" i="120"/>
  <c r="M27" i="120" s="1"/>
  <c r="K26" i="120"/>
  <c r="M26" i="120" s="1"/>
  <c r="K24" i="120"/>
  <c r="M24" i="120" s="1"/>
  <c r="K23" i="120"/>
  <c r="M23" i="120" s="1"/>
  <c r="K22" i="120"/>
  <c r="M22" i="120" s="1"/>
  <c r="K21" i="120"/>
  <c r="M21" i="120" s="1"/>
  <c r="K20" i="120"/>
  <c r="K19" i="120"/>
  <c r="M19" i="120" s="1"/>
  <c r="K18" i="120"/>
  <c r="M18" i="120" s="1"/>
  <c r="K17" i="120"/>
  <c r="M17" i="120" s="1"/>
  <c r="K16" i="120"/>
  <c r="M16" i="120" s="1"/>
  <c r="K15" i="120"/>
  <c r="M15" i="120" s="1"/>
  <c r="K14" i="120"/>
  <c r="M14" i="120" s="1"/>
  <c r="K13" i="120"/>
  <c r="M13" i="120" s="1"/>
  <c r="K12" i="120"/>
  <c r="M12" i="120" s="1"/>
  <c r="K11" i="120"/>
  <c r="M11" i="120" s="1"/>
  <c r="K10" i="120"/>
  <c r="M10" i="120" s="1"/>
  <c r="K9" i="120"/>
  <c r="M9" i="120" s="1"/>
  <c r="K8" i="120"/>
  <c r="M8" i="120" s="1"/>
  <c r="E5" i="120"/>
  <c r="D27" i="113" l="1"/>
  <c r="D28" i="113"/>
  <c r="D29" i="113"/>
  <c r="L8" i="110" l="1"/>
  <c r="D26" i="119"/>
  <c r="D27" i="116"/>
  <c r="D28" i="116"/>
  <c r="D29" i="116"/>
  <c r="D26" i="118"/>
  <c r="D11" i="118"/>
  <c r="D12" i="118"/>
  <c r="D13" i="118"/>
  <c r="D14" i="118"/>
  <c r="D15" i="118"/>
  <c r="D17" i="118"/>
  <c r="D18" i="118"/>
  <c r="D19" i="118"/>
  <c r="D20" i="118"/>
  <c r="D21" i="118"/>
  <c r="D22" i="118"/>
  <c r="D23" i="118"/>
  <c r="D24" i="118"/>
  <c r="D8" i="118"/>
  <c r="E12" i="118"/>
  <c r="L16" i="117"/>
  <c r="D16" i="118" s="1"/>
  <c r="L10" i="117"/>
  <c r="D10" i="118" s="1"/>
  <c r="L9" i="117"/>
  <c r="D9" i="118" s="1"/>
  <c r="E9" i="117"/>
  <c r="L12" i="111"/>
  <c r="E12" i="109"/>
  <c r="L8" i="116"/>
  <c r="L8" i="114"/>
  <c r="L8" i="113"/>
  <c r="L8" i="111"/>
  <c r="L8" i="109"/>
  <c r="E12" i="116"/>
  <c r="E8" i="116"/>
  <c r="D5" i="117" l="1"/>
  <c r="D5" i="118"/>
  <c r="E5" i="118" s="1"/>
  <c r="D5" i="119"/>
  <c r="K29" i="119"/>
  <c r="M29" i="119" s="1"/>
  <c r="K28" i="119"/>
  <c r="M28" i="119" s="1"/>
  <c r="K27" i="119"/>
  <c r="M27" i="119" s="1"/>
  <c r="K26" i="119"/>
  <c r="M26" i="119" s="1"/>
  <c r="K24" i="119"/>
  <c r="M24" i="119" s="1"/>
  <c r="K23" i="119"/>
  <c r="M23" i="119" s="1"/>
  <c r="K22" i="119"/>
  <c r="M22" i="119" s="1"/>
  <c r="K21" i="119"/>
  <c r="M21" i="119" s="1"/>
  <c r="K20" i="119"/>
  <c r="K19" i="119"/>
  <c r="M19" i="119" s="1"/>
  <c r="K18" i="119"/>
  <c r="M18" i="119" s="1"/>
  <c r="K17" i="119"/>
  <c r="M17" i="119" s="1"/>
  <c r="K16" i="119"/>
  <c r="M16" i="119" s="1"/>
  <c r="K15" i="119"/>
  <c r="M15" i="119" s="1"/>
  <c r="K14" i="119"/>
  <c r="M14" i="119" s="1"/>
  <c r="K13" i="119"/>
  <c r="M13" i="119" s="1"/>
  <c r="K12" i="119"/>
  <c r="K11" i="119"/>
  <c r="M11" i="119" s="1"/>
  <c r="K10" i="119"/>
  <c r="M10" i="119" s="1"/>
  <c r="K9" i="119"/>
  <c r="M9" i="119" s="1"/>
  <c r="K8" i="119"/>
  <c r="M8" i="119" s="1"/>
  <c r="E5" i="119"/>
  <c r="K29" i="118"/>
  <c r="M29" i="118" s="1"/>
  <c r="K28" i="118"/>
  <c r="M28" i="118" s="1"/>
  <c r="K27" i="118"/>
  <c r="M27" i="118" s="1"/>
  <c r="K26" i="118"/>
  <c r="M26" i="118" s="1"/>
  <c r="K24" i="118"/>
  <c r="M24" i="118" s="1"/>
  <c r="K23" i="118"/>
  <c r="M23" i="118" s="1"/>
  <c r="K22" i="118"/>
  <c r="M22" i="118" s="1"/>
  <c r="K21" i="118"/>
  <c r="M21" i="118" s="1"/>
  <c r="K20" i="118"/>
  <c r="K19" i="118"/>
  <c r="M19" i="118" s="1"/>
  <c r="K18" i="118"/>
  <c r="M18" i="118" s="1"/>
  <c r="K17" i="118"/>
  <c r="M17" i="118" s="1"/>
  <c r="K16" i="118"/>
  <c r="M16" i="118" s="1"/>
  <c r="K15" i="118"/>
  <c r="M15" i="118" s="1"/>
  <c r="K14" i="118"/>
  <c r="M14" i="118" s="1"/>
  <c r="K13" i="118"/>
  <c r="M13" i="118" s="1"/>
  <c r="K12" i="118"/>
  <c r="M12" i="118" s="1"/>
  <c r="K11" i="118"/>
  <c r="M11" i="118" s="1"/>
  <c r="K10" i="118"/>
  <c r="M10" i="118" s="1"/>
  <c r="K9" i="118"/>
  <c r="M9" i="118" s="1"/>
  <c r="K8" i="118"/>
  <c r="M8" i="118" s="1"/>
  <c r="M12" i="119" l="1"/>
  <c r="D9" i="117" l="1"/>
  <c r="K9" i="117" s="1"/>
  <c r="M9" i="117" s="1"/>
  <c r="D10" i="117"/>
  <c r="K10" i="117" s="1"/>
  <c r="M10" i="117" s="1"/>
  <c r="D11" i="117"/>
  <c r="K11" i="117" s="1"/>
  <c r="M11" i="117" s="1"/>
  <c r="D12" i="117"/>
  <c r="K12" i="117" s="1"/>
  <c r="M12" i="117" s="1"/>
  <c r="D13" i="117"/>
  <c r="K13" i="117" s="1"/>
  <c r="M13" i="117" s="1"/>
  <c r="D14" i="117"/>
  <c r="K14" i="117" s="1"/>
  <c r="M14" i="117" s="1"/>
  <c r="D15" i="117"/>
  <c r="K15" i="117" s="1"/>
  <c r="M15" i="117" s="1"/>
  <c r="D16" i="117"/>
  <c r="K16" i="117" s="1"/>
  <c r="M16" i="117" s="1"/>
  <c r="D17" i="117"/>
  <c r="K17" i="117" s="1"/>
  <c r="M17" i="117" s="1"/>
  <c r="D18" i="117"/>
  <c r="K18" i="117" s="1"/>
  <c r="M18" i="117" s="1"/>
  <c r="D19" i="117"/>
  <c r="K19" i="117" s="1"/>
  <c r="M19" i="117" s="1"/>
  <c r="D20" i="117"/>
  <c r="K20" i="117" s="1"/>
  <c r="D21" i="117"/>
  <c r="K21" i="117" s="1"/>
  <c r="M21" i="117" s="1"/>
  <c r="D22" i="117"/>
  <c r="K22" i="117" s="1"/>
  <c r="M22" i="117" s="1"/>
  <c r="D23" i="117"/>
  <c r="K23" i="117" s="1"/>
  <c r="M23" i="117" s="1"/>
  <c r="D24" i="117"/>
  <c r="D8" i="117"/>
  <c r="K8" i="117" s="1"/>
  <c r="M8" i="117" s="1"/>
  <c r="D26" i="117"/>
  <c r="K26" i="117" s="1"/>
  <c r="M26" i="117" s="1"/>
  <c r="K29" i="117"/>
  <c r="M29" i="117" s="1"/>
  <c r="K28" i="117"/>
  <c r="M28" i="117" s="1"/>
  <c r="K27" i="117"/>
  <c r="M27" i="117" s="1"/>
  <c r="K24" i="117"/>
  <c r="M24" i="117" s="1"/>
  <c r="E5" i="117"/>
  <c r="D10" i="116" l="1"/>
  <c r="D11" i="116"/>
  <c r="D12" i="116"/>
  <c r="D13" i="116"/>
  <c r="D14" i="116"/>
  <c r="D15" i="116"/>
  <c r="D16" i="116"/>
  <c r="D17" i="116"/>
  <c r="D18" i="116"/>
  <c r="D19" i="116"/>
  <c r="D20" i="116"/>
  <c r="D21" i="116"/>
  <c r="D22" i="116"/>
  <c r="D23" i="116"/>
  <c r="D24" i="116"/>
  <c r="D5" i="116"/>
  <c r="D8" i="116"/>
  <c r="D26" i="116"/>
  <c r="L9" i="115" l="1"/>
  <c r="D9" i="116" s="1"/>
  <c r="K9" i="116" s="1"/>
  <c r="M9" i="116" s="1"/>
  <c r="E8" i="115"/>
  <c r="K29" i="116"/>
  <c r="M29" i="116" s="1"/>
  <c r="K28" i="116"/>
  <c r="M28" i="116" s="1"/>
  <c r="K27" i="116"/>
  <c r="M27" i="116" s="1"/>
  <c r="K26" i="116"/>
  <c r="M26" i="116" s="1"/>
  <c r="K24" i="116"/>
  <c r="M24" i="116" s="1"/>
  <c r="K23" i="116"/>
  <c r="M23" i="116" s="1"/>
  <c r="K22" i="116"/>
  <c r="M22" i="116" s="1"/>
  <c r="K21" i="116"/>
  <c r="M21" i="116" s="1"/>
  <c r="K20" i="116"/>
  <c r="K19" i="116"/>
  <c r="M19" i="116" s="1"/>
  <c r="K18" i="116"/>
  <c r="M18" i="116" s="1"/>
  <c r="K17" i="116"/>
  <c r="M17" i="116" s="1"/>
  <c r="K16" i="116"/>
  <c r="M16" i="116" s="1"/>
  <c r="K15" i="116"/>
  <c r="M15" i="116" s="1"/>
  <c r="K14" i="116"/>
  <c r="M14" i="116" s="1"/>
  <c r="K13" i="116"/>
  <c r="M13" i="116" s="1"/>
  <c r="K12" i="116"/>
  <c r="M12" i="116" s="1"/>
  <c r="K11" i="116"/>
  <c r="M11" i="116" s="1"/>
  <c r="K10" i="116"/>
  <c r="M10" i="116" s="1"/>
  <c r="K8" i="116"/>
  <c r="M8" i="116" s="1"/>
  <c r="E5" i="116"/>
  <c r="L9" i="114" l="1"/>
  <c r="D5" i="115" l="1"/>
  <c r="D9" i="115" l="1"/>
  <c r="D10" i="115"/>
  <c r="D11" i="115"/>
  <c r="D12" i="115"/>
  <c r="D13" i="115"/>
  <c r="D14" i="115"/>
  <c r="D15" i="115"/>
  <c r="D16" i="115"/>
  <c r="D17" i="115"/>
  <c r="D18" i="115"/>
  <c r="D19" i="115"/>
  <c r="D20" i="115"/>
  <c r="D21" i="115"/>
  <c r="D22" i="115"/>
  <c r="D23" i="115"/>
  <c r="D24" i="115"/>
  <c r="D8" i="115"/>
  <c r="D26" i="115"/>
  <c r="D19" i="114"/>
  <c r="D20" i="114"/>
  <c r="D21" i="114"/>
  <c r="D22" i="114"/>
  <c r="K22" i="114" s="1"/>
  <c r="D23" i="114"/>
  <c r="K23" i="114" s="1"/>
  <c r="M23" i="114" s="1"/>
  <c r="K20" i="114"/>
  <c r="K21" i="114"/>
  <c r="E8" i="114"/>
  <c r="E8" i="112"/>
  <c r="D23" i="104" l="1"/>
  <c r="K29" i="115"/>
  <c r="M29" i="115" s="1"/>
  <c r="K28" i="115"/>
  <c r="M28" i="115" s="1"/>
  <c r="K27" i="115"/>
  <c r="M27" i="115" s="1"/>
  <c r="K26" i="115"/>
  <c r="M26" i="115" s="1"/>
  <c r="K24" i="115"/>
  <c r="M24" i="115" s="1"/>
  <c r="K23" i="115"/>
  <c r="M23" i="115" s="1"/>
  <c r="K22" i="115"/>
  <c r="M22" i="115" s="1"/>
  <c r="K21" i="115"/>
  <c r="M21" i="115" s="1"/>
  <c r="K20" i="115"/>
  <c r="K19" i="115"/>
  <c r="M19" i="115" s="1"/>
  <c r="K18" i="115"/>
  <c r="M18" i="115" s="1"/>
  <c r="K17" i="115"/>
  <c r="M17" i="115" s="1"/>
  <c r="K16" i="115"/>
  <c r="M16" i="115" s="1"/>
  <c r="K15" i="115"/>
  <c r="M15" i="115" s="1"/>
  <c r="K14" i="115"/>
  <c r="M14" i="115" s="1"/>
  <c r="K13" i="115"/>
  <c r="M13" i="115" s="1"/>
  <c r="K12" i="115"/>
  <c r="M12" i="115" s="1"/>
  <c r="K11" i="115"/>
  <c r="M11" i="115" s="1"/>
  <c r="K10" i="115"/>
  <c r="M10" i="115" s="1"/>
  <c r="K9" i="115"/>
  <c r="M9" i="115" s="1"/>
  <c r="K8" i="115"/>
  <c r="M8" i="115" s="1"/>
  <c r="E5" i="115"/>
  <c r="L10" i="113"/>
  <c r="L9" i="113"/>
  <c r="D27" i="114" l="1"/>
  <c r="D28" i="114"/>
  <c r="D29" i="114"/>
  <c r="D26" i="114"/>
  <c r="E8" i="101"/>
  <c r="E8" i="99"/>
  <c r="E8" i="106"/>
  <c r="E9" i="113" l="1"/>
  <c r="D9" i="114" l="1"/>
  <c r="K9" i="114" s="1"/>
  <c r="M9" i="114" s="1"/>
  <c r="D10" i="114"/>
  <c r="K10" i="114" s="1"/>
  <c r="M10" i="114" s="1"/>
  <c r="D11" i="114"/>
  <c r="K11" i="114" s="1"/>
  <c r="M11" i="114" s="1"/>
  <c r="D12" i="114"/>
  <c r="K12" i="114" s="1"/>
  <c r="M12" i="114" s="1"/>
  <c r="D13" i="114"/>
  <c r="K13" i="114" s="1"/>
  <c r="M13" i="114" s="1"/>
  <c r="D14" i="114"/>
  <c r="K14" i="114" s="1"/>
  <c r="M14" i="114" s="1"/>
  <c r="D15" i="114"/>
  <c r="K15" i="114" s="1"/>
  <c r="M15" i="114" s="1"/>
  <c r="D16" i="114"/>
  <c r="K16" i="114" s="1"/>
  <c r="M16" i="114" s="1"/>
  <c r="D17" i="114"/>
  <c r="K17" i="114" s="1"/>
  <c r="M17" i="114" s="1"/>
  <c r="D18" i="114"/>
  <c r="K18" i="114" s="1"/>
  <c r="M18" i="114" s="1"/>
  <c r="K19" i="114"/>
  <c r="M19" i="114" s="1"/>
  <c r="M21" i="114"/>
  <c r="D24" i="114"/>
  <c r="K24" i="114" s="1"/>
  <c r="M24" i="114" s="1"/>
  <c r="D8" i="114"/>
  <c r="K8" i="114" s="1"/>
  <c r="M8" i="114" s="1"/>
  <c r="D5" i="114"/>
  <c r="E5" i="114" s="1"/>
  <c r="K29" i="114"/>
  <c r="M29" i="114" s="1"/>
  <c r="K28" i="114"/>
  <c r="M28" i="114" s="1"/>
  <c r="K27" i="114"/>
  <c r="M27" i="114" s="1"/>
  <c r="K26" i="114"/>
  <c r="M26" i="114" s="1"/>
  <c r="M22" i="114"/>
  <c r="D9" i="113" l="1"/>
  <c r="K9" i="113" s="1"/>
  <c r="M9" i="113" s="1"/>
  <c r="D10" i="113"/>
  <c r="K10" i="113" s="1"/>
  <c r="M10" i="113" s="1"/>
  <c r="D11" i="113"/>
  <c r="K11" i="113" s="1"/>
  <c r="M11" i="113" s="1"/>
  <c r="D12" i="113"/>
  <c r="K12" i="113" s="1"/>
  <c r="M12" i="113" s="1"/>
  <c r="D13" i="113"/>
  <c r="K13" i="113" s="1"/>
  <c r="M13" i="113" s="1"/>
  <c r="D14" i="113"/>
  <c r="K14" i="113" s="1"/>
  <c r="M14" i="113" s="1"/>
  <c r="D15" i="113"/>
  <c r="D16" i="113"/>
  <c r="K16" i="113" s="1"/>
  <c r="M16" i="113" s="1"/>
  <c r="D17" i="113"/>
  <c r="K17" i="113" s="1"/>
  <c r="M17" i="113" s="1"/>
  <c r="D18" i="113"/>
  <c r="K18" i="113" s="1"/>
  <c r="M18" i="113" s="1"/>
  <c r="D19" i="113"/>
  <c r="K19" i="113" s="1"/>
  <c r="M19" i="113" s="1"/>
  <c r="D20" i="113"/>
  <c r="K20" i="113" s="1"/>
  <c r="D21" i="113"/>
  <c r="K21" i="113" s="1"/>
  <c r="M21" i="113" s="1"/>
  <c r="D22" i="113"/>
  <c r="K22" i="113" s="1"/>
  <c r="M22" i="113" s="1"/>
  <c r="D23" i="113"/>
  <c r="K23" i="113" s="1"/>
  <c r="M23" i="113" s="1"/>
  <c r="D24" i="113"/>
  <c r="K24" i="113" s="1"/>
  <c r="M24" i="113" s="1"/>
  <c r="D8" i="113"/>
  <c r="K8" i="113" s="1"/>
  <c r="M8" i="113" s="1"/>
  <c r="D5" i="113"/>
  <c r="E5" i="113" s="1"/>
  <c r="D26" i="113"/>
  <c r="K26" i="113" s="1"/>
  <c r="M26" i="113" s="1"/>
  <c r="K29" i="113"/>
  <c r="M29" i="113" s="1"/>
  <c r="K28" i="113"/>
  <c r="M28" i="113" s="1"/>
  <c r="K27" i="113"/>
  <c r="M27" i="113" s="1"/>
  <c r="K15" i="113"/>
  <c r="M15" i="113" s="1"/>
  <c r="D8" i="112" l="1"/>
  <c r="K8" i="112" s="1"/>
  <c r="M8" i="112" s="1"/>
  <c r="D26" i="112"/>
  <c r="K26" i="112" s="1"/>
  <c r="M26" i="112" s="1"/>
  <c r="L13" i="111"/>
  <c r="D13" i="112" s="1"/>
  <c r="K13" i="112" s="1"/>
  <c r="M13" i="112" s="1"/>
  <c r="L10" i="111"/>
  <c r="D10" i="112" s="1"/>
  <c r="K10" i="112" s="1"/>
  <c r="M10" i="112" s="1"/>
  <c r="L9" i="111"/>
  <c r="D9" i="112" s="1"/>
  <c r="K9" i="112" s="1"/>
  <c r="M9" i="112" s="1"/>
  <c r="L13" i="110"/>
  <c r="D13" i="111" s="1"/>
  <c r="K13" i="111" s="1"/>
  <c r="L10" i="110"/>
  <c r="D10" i="111" s="1"/>
  <c r="K10" i="111" s="1"/>
  <c r="D8" i="111"/>
  <c r="K8" i="111" s="1"/>
  <c r="E9" i="110"/>
  <c r="E9" i="111"/>
  <c r="D11" i="112"/>
  <c r="K11" i="112" s="1"/>
  <c r="M11" i="112" s="1"/>
  <c r="D12" i="112"/>
  <c r="K12" i="112" s="1"/>
  <c r="M12" i="112" s="1"/>
  <c r="D14" i="112"/>
  <c r="K14" i="112" s="1"/>
  <c r="M14" i="112" s="1"/>
  <c r="D15" i="112"/>
  <c r="K15" i="112" s="1"/>
  <c r="M15" i="112" s="1"/>
  <c r="D16" i="112"/>
  <c r="K16" i="112" s="1"/>
  <c r="M16" i="112" s="1"/>
  <c r="D17" i="112"/>
  <c r="K17" i="112" s="1"/>
  <c r="M17" i="112" s="1"/>
  <c r="D18" i="112"/>
  <c r="K18" i="112" s="1"/>
  <c r="M18" i="112" s="1"/>
  <c r="D19" i="112"/>
  <c r="K19" i="112" s="1"/>
  <c r="M19" i="112" s="1"/>
  <c r="D20" i="112"/>
  <c r="K20" i="112" s="1"/>
  <c r="D21" i="112"/>
  <c r="K21" i="112" s="1"/>
  <c r="M21" i="112" s="1"/>
  <c r="D22" i="112"/>
  <c r="K22" i="112" s="1"/>
  <c r="M22" i="112" s="1"/>
  <c r="D23" i="112"/>
  <c r="K23" i="112" s="1"/>
  <c r="M23" i="112" s="1"/>
  <c r="D24" i="112"/>
  <c r="K24" i="112" s="1"/>
  <c r="M24" i="112" s="1"/>
  <c r="D5" i="112"/>
  <c r="E5" i="112" s="1"/>
  <c r="K29" i="112"/>
  <c r="M29" i="112" s="1"/>
  <c r="K28" i="112"/>
  <c r="M28" i="112" s="1"/>
  <c r="K27" i="112"/>
  <c r="M27" i="112" s="1"/>
  <c r="D27" i="111"/>
  <c r="K27" i="111" s="1"/>
  <c r="M27" i="111" s="1"/>
  <c r="D28" i="111"/>
  <c r="K28" i="111" s="1"/>
  <c r="M28" i="111" s="1"/>
  <c r="D29" i="111"/>
  <c r="K29" i="111" s="1"/>
  <c r="M29" i="111" s="1"/>
  <c r="D26" i="111"/>
  <c r="K26" i="111" s="1"/>
  <c r="M26" i="111" s="1"/>
  <c r="D9" i="111"/>
  <c r="D11" i="111"/>
  <c r="K11" i="111" s="1"/>
  <c r="M11" i="111" s="1"/>
  <c r="D12" i="111"/>
  <c r="K12" i="111" s="1"/>
  <c r="M12" i="111" s="1"/>
  <c r="D14" i="111"/>
  <c r="K14" i="111" s="1"/>
  <c r="M14" i="111" s="1"/>
  <c r="D15" i="111"/>
  <c r="K15" i="111" s="1"/>
  <c r="M15" i="111" s="1"/>
  <c r="D16" i="111"/>
  <c r="K16" i="111" s="1"/>
  <c r="M16" i="111" s="1"/>
  <c r="D17" i="111"/>
  <c r="K17" i="111" s="1"/>
  <c r="M17" i="111" s="1"/>
  <c r="D18" i="111"/>
  <c r="K18" i="111" s="1"/>
  <c r="M18" i="111" s="1"/>
  <c r="D19" i="111"/>
  <c r="K19" i="111" s="1"/>
  <c r="M19" i="111" s="1"/>
  <c r="D20" i="111"/>
  <c r="K20" i="111" s="1"/>
  <c r="D21" i="111"/>
  <c r="K21" i="111" s="1"/>
  <c r="M21" i="111" s="1"/>
  <c r="D22" i="111"/>
  <c r="K22" i="111" s="1"/>
  <c r="M22" i="111" s="1"/>
  <c r="K23" i="111"/>
  <c r="M23" i="111" s="1"/>
  <c r="D24" i="111"/>
  <c r="K24" i="111" s="1"/>
  <c r="M24" i="111" s="1"/>
  <c r="D5" i="111"/>
  <c r="E5" i="111" s="1"/>
  <c r="K9" i="111" l="1"/>
  <c r="M9" i="111" s="1"/>
  <c r="M10" i="111"/>
  <c r="M13" i="111"/>
  <c r="M8" i="111"/>
  <c r="E8" i="109" l="1"/>
  <c r="K27" i="110"/>
  <c r="M27" i="110" s="1"/>
  <c r="K29" i="110"/>
  <c r="M29" i="110" s="1"/>
  <c r="D26" i="110"/>
  <c r="K26" i="110" s="1"/>
  <c r="M26" i="110" s="1"/>
  <c r="D9" i="110"/>
  <c r="K9" i="110" s="1"/>
  <c r="M9" i="110" s="1"/>
  <c r="D10" i="110"/>
  <c r="K10" i="110" s="1"/>
  <c r="M10" i="110" s="1"/>
  <c r="D11" i="110"/>
  <c r="K11" i="110" s="1"/>
  <c r="M11" i="110" s="1"/>
  <c r="D12" i="110"/>
  <c r="K12" i="110" s="1"/>
  <c r="M12" i="110" s="1"/>
  <c r="D13" i="110"/>
  <c r="K13" i="110" s="1"/>
  <c r="M13" i="110" s="1"/>
  <c r="D14" i="110"/>
  <c r="K14" i="110" s="1"/>
  <c r="M14" i="110" s="1"/>
  <c r="D15" i="110"/>
  <c r="K15" i="110" s="1"/>
  <c r="M15" i="110" s="1"/>
  <c r="D16" i="110"/>
  <c r="K16" i="110" s="1"/>
  <c r="M16" i="110" s="1"/>
  <c r="D17" i="110"/>
  <c r="K17" i="110" s="1"/>
  <c r="M17" i="110" s="1"/>
  <c r="D18" i="110"/>
  <c r="K18" i="110" s="1"/>
  <c r="M18" i="110" s="1"/>
  <c r="D19" i="110"/>
  <c r="K19" i="110" s="1"/>
  <c r="M19" i="110" s="1"/>
  <c r="D20" i="110"/>
  <c r="K20" i="110" s="1"/>
  <c r="D21" i="110"/>
  <c r="K21" i="110" s="1"/>
  <c r="M21" i="110" s="1"/>
  <c r="D22" i="110"/>
  <c r="K22" i="110" s="1"/>
  <c r="M22" i="110" s="1"/>
  <c r="D24" i="110"/>
  <c r="K24" i="110" s="1"/>
  <c r="M24" i="110" s="1"/>
  <c r="D8" i="110"/>
  <c r="K8" i="110" s="1"/>
  <c r="M8" i="110" s="1"/>
  <c r="D5" i="110"/>
  <c r="E5" i="110" s="1"/>
  <c r="K28" i="110"/>
  <c r="M28" i="110" s="1"/>
  <c r="K23" i="110"/>
  <c r="M23" i="110" s="1"/>
  <c r="D26" i="109" l="1"/>
  <c r="D9" i="109"/>
  <c r="D10" i="109"/>
  <c r="D11" i="109"/>
  <c r="D12" i="109"/>
  <c r="D13" i="109"/>
  <c r="D14" i="109"/>
  <c r="D15" i="109"/>
  <c r="D16" i="109"/>
  <c r="D17" i="109"/>
  <c r="D18" i="109"/>
  <c r="D19" i="109"/>
  <c r="D20" i="109"/>
  <c r="D21" i="109"/>
  <c r="D22" i="109"/>
  <c r="D24" i="109"/>
  <c r="D8" i="109"/>
  <c r="D5" i="109"/>
  <c r="E8" i="108"/>
  <c r="K29" i="109" l="1"/>
  <c r="M29" i="109" s="1"/>
  <c r="K28" i="109"/>
  <c r="M28" i="109" s="1"/>
  <c r="K27" i="109"/>
  <c r="M27" i="109" s="1"/>
  <c r="K26" i="109"/>
  <c r="M26" i="109" s="1"/>
  <c r="K24" i="109"/>
  <c r="M24" i="109" s="1"/>
  <c r="K23" i="109"/>
  <c r="M23" i="109" s="1"/>
  <c r="K22" i="109"/>
  <c r="M22" i="109" s="1"/>
  <c r="K21" i="109"/>
  <c r="M21" i="109" s="1"/>
  <c r="K20" i="109"/>
  <c r="K19" i="109"/>
  <c r="M19" i="109" s="1"/>
  <c r="K18" i="109"/>
  <c r="M18" i="109" s="1"/>
  <c r="K17" i="109"/>
  <c r="M17" i="109" s="1"/>
  <c r="K16" i="109"/>
  <c r="M16" i="109" s="1"/>
  <c r="K15" i="109"/>
  <c r="M15" i="109" s="1"/>
  <c r="K14" i="109"/>
  <c r="M14" i="109" s="1"/>
  <c r="K13" i="109"/>
  <c r="M13" i="109" s="1"/>
  <c r="K12" i="109"/>
  <c r="M12" i="109" s="1"/>
  <c r="K11" i="109"/>
  <c r="M11" i="109" s="1"/>
  <c r="K10" i="109"/>
  <c r="M10" i="109" s="1"/>
  <c r="K9" i="109"/>
  <c r="M9" i="109" s="1"/>
  <c r="K8" i="109"/>
  <c r="M8" i="109" s="1"/>
  <c r="E5" i="109"/>
  <c r="D26" i="107" l="1"/>
  <c r="L10" i="107"/>
  <c r="D9" i="107"/>
  <c r="D10" i="107"/>
  <c r="D11" i="107"/>
  <c r="D12" i="107"/>
  <c r="D13" i="107"/>
  <c r="D14" i="107"/>
  <c r="D15" i="107"/>
  <c r="D16" i="107"/>
  <c r="D17" i="107"/>
  <c r="D18" i="107"/>
  <c r="D19" i="107"/>
  <c r="D20" i="107"/>
  <c r="D21" i="107"/>
  <c r="D22" i="107"/>
  <c r="D24" i="107"/>
  <c r="D10" i="108" l="1"/>
  <c r="K10" i="108" s="1"/>
  <c r="M10" i="108" s="1"/>
  <c r="E12" i="107"/>
  <c r="E8" i="107"/>
  <c r="G8" i="108"/>
  <c r="D5" i="108"/>
  <c r="E5" i="108" s="1"/>
  <c r="D9" i="108"/>
  <c r="K9" i="108" s="1"/>
  <c r="M9" i="108" s="1"/>
  <c r="D11" i="108"/>
  <c r="K11" i="108" s="1"/>
  <c r="M11" i="108" s="1"/>
  <c r="D12" i="108"/>
  <c r="K12" i="108" s="1"/>
  <c r="M12" i="108" s="1"/>
  <c r="D13" i="108"/>
  <c r="K13" i="108" s="1"/>
  <c r="M13" i="108" s="1"/>
  <c r="D14" i="108"/>
  <c r="K14" i="108" s="1"/>
  <c r="M14" i="108" s="1"/>
  <c r="D15" i="108"/>
  <c r="K15" i="108" s="1"/>
  <c r="M15" i="108" s="1"/>
  <c r="D16" i="108"/>
  <c r="K16" i="108" s="1"/>
  <c r="M16" i="108" s="1"/>
  <c r="D17" i="108"/>
  <c r="K17" i="108" s="1"/>
  <c r="M17" i="108" s="1"/>
  <c r="D18" i="108"/>
  <c r="K18" i="108" s="1"/>
  <c r="M18" i="108" s="1"/>
  <c r="D19" i="108"/>
  <c r="K19" i="108" s="1"/>
  <c r="M19" i="108" s="1"/>
  <c r="D20" i="108"/>
  <c r="K20" i="108" s="1"/>
  <c r="D21" i="108"/>
  <c r="K21" i="108" s="1"/>
  <c r="M21" i="108" s="1"/>
  <c r="D22" i="108"/>
  <c r="K22" i="108" s="1"/>
  <c r="M22" i="108" s="1"/>
  <c r="D24" i="108"/>
  <c r="K24" i="108" s="1"/>
  <c r="M24" i="108" s="1"/>
  <c r="D8" i="108"/>
  <c r="K27" i="108"/>
  <c r="M27" i="108" s="1"/>
  <c r="K29" i="108"/>
  <c r="M29" i="108" s="1"/>
  <c r="D26" i="108"/>
  <c r="K26" i="108" s="1"/>
  <c r="M26" i="108" s="1"/>
  <c r="K28" i="108"/>
  <c r="M28" i="108" s="1"/>
  <c r="K23" i="108"/>
  <c r="M23" i="108" s="1"/>
  <c r="K8" i="108" l="1"/>
  <c r="M8" i="108" s="1"/>
  <c r="K24" i="107"/>
  <c r="M24" i="107" s="1"/>
  <c r="D8" i="107"/>
  <c r="K8" i="107" s="1"/>
  <c r="M8" i="107" s="1"/>
  <c r="K26" i="107"/>
  <c r="M26" i="107" s="1"/>
  <c r="D5" i="107"/>
  <c r="E5" i="107" s="1"/>
  <c r="K29" i="107"/>
  <c r="M29" i="107" s="1"/>
  <c r="K28" i="107"/>
  <c r="M28" i="107" s="1"/>
  <c r="K27" i="107"/>
  <c r="M27" i="107" s="1"/>
  <c r="K23" i="107"/>
  <c r="M23" i="107" s="1"/>
  <c r="K22" i="107"/>
  <c r="M22" i="107" s="1"/>
  <c r="K21" i="107"/>
  <c r="M21" i="107" s="1"/>
  <c r="K20" i="107"/>
  <c r="K19" i="107"/>
  <c r="M19" i="107" s="1"/>
  <c r="K18" i="107"/>
  <c r="M18" i="107" s="1"/>
  <c r="K17" i="107"/>
  <c r="M17" i="107" s="1"/>
  <c r="K16" i="107"/>
  <c r="M16" i="107" s="1"/>
  <c r="K15" i="107"/>
  <c r="M15" i="107" s="1"/>
  <c r="K14" i="107"/>
  <c r="M14" i="107" s="1"/>
  <c r="K13" i="107"/>
  <c r="M13" i="107" s="1"/>
  <c r="K12" i="107"/>
  <c r="M12" i="107" s="1"/>
  <c r="K11" i="107"/>
  <c r="M11" i="107" s="1"/>
  <c r="K10" i="107"/>
  <c r="M10" i="107" s="1"/>
  <c r="K9" i="107"/>
  <c r="M9" i="107" s="1"/>
  <c r="L10" i="105" l="1"/>
  <c r="D10" i="106" s="1"/>
  <c r="K10" i="106" s="1"/>
  <c r="M10" i="106" s="1"/>
  <c r="E8" i="105"/>
  <c r="D29" i="106"/>
  <c r="K29" i="106" s="1"/>
  <c r="M29" i="106" s="1"/>
  <c r="D27" i="106"/>
  <c r="K27" i="106" s="1"/>
  <c r="M27" i="106" s="1"/>
  <c r="D28" i="106"/>
  <c r="K28" i="106" s="1"/>
  <c r="M28" i="106" s="1"/>
  <c r="K26" i="106"/>
  <c r="M26" i="106" s="1"/>
  <c r="D9" i="106"/>
  <c r="K9" i="106" s="1"/>
  <c r="M9" i="106" s="1"/>
  <c r="D11" i="106"/>
  <c r="K11" i="106" s="1"/>
  <c r="M11" i="106" s="1"/>
  <c r="D12" i="106"/>
  <c r="K12" i="106" s="1"/>
  <c r="M12" i="106" s="1"/>
  <c r="D13" i="106"/>
  <c r="K13" i="106" s="1"/>
  <c r="M13" i="106" s="1"/>
  <c r="D14" i="106"/>
  <c r="K14" i="106" s="1"/>
  <c r="M14" i="106" s="1"/>
  <c r="D15" i="106"/>
  <c r="K15" i="106" s="1"/>
  <c r="M15" i="106" s="1"/>
  <c r="D16" i="106"/>
  <c r="K16" i="106" s="1"/>
  <c r="M16" i="106" s="1"/>
  <c r="D17" i="106"/>
  <c r="K17" i="106" s="1"/>
  <c r="M17" i="106" s="1"/>
  <c r="D18" i="106"/>
  <c r="K18" i="106" s="1"/>
  <c r="M18" i="106" s="1"/>
  <c r="D19" i="106"/>
  <c r="K19" i="106" s="1"/>
  <c r="M19" i="106" s="1"/>
  <c r="D20" i="106"/>
  <c r="K20" i="106" s="1"/>
  <c r="D21" i="106"/>
  <c r="K21" i="106" s="1"/>
  <c r="M21" i="106" s="1"/>
  <c r="D22" i="106"/>
  <c r="K22" i="106" s="1"/>
  <c r="M22" i="106" s="1"/>
  <c r="D24" i="106"/>
  <c r="K24" i="106" s="1"/>
  <c r="M24" i="106" s="1"/>
  <c r="D8" i="106"/>
  <c r="K8" i="106" s="1"/>
  <c r="M8" i="106" s="1"/>
  <c r="D5" i="105"/>
  <c r="D27" i="105"/>
  <c r="D28" i="105"/>
  <c r="D29" i="105"/>
  <c r="D26" i="105"/>
  <c r="D9" i="105"/>
  <c r="D10" i="105"/>
  <c r="D11" i="105"/>
  <c r="D12" i="105"/>
  <c r="D13" i="105"/>
  <c r="D14" i="105"/>
  <c r="D15" i="105"/>
  <c r="D16" i="105"/>
  <c r="D17" i="105"/>
  <c r="D18" i="105"/>
  <c r="D19" i="105"/>
  <c r="D20" i="105"/>
  <c r="D21" i="105"/>
  <c r="D22" i="105"/>
  <c r="D24" i="105"/>
  <c r="D8" i="105"/>
  <c r="D5" i="106"/>
  <c r="E5" i="106" s="1"/>
  <c r="K23" i="106"/>
  <c r="M23" i="106" s="1"/>
  <c r="D27" i="104" l="1"/>
  <c r="D28" i="104"/>
  <c r="D29" i="104"/>
  <c r="D26" i="104"/>
  <c r="D9" i="104"/>
  <c r="D10" i="104"/>
  <c r="D11" i="104"/>
  <c r="D12" i="104"/>
  <c r="D13" i="104"/>
  <c r="D14" i="104"/>
  <c r="D15" i="104"/>
  <c r="D16" i="104"/>
  <c r="D17" i="104"/>
  <c r="D18" i="104"/>
  <c r="D19" i="104"/>
  <c r="D20" i="104"/>
  <c r="D21" i="104"/>
  <c r="D22" i="104"/>
  <c r="D24" i="104"/>
  <c r="D8" i="104"/>
  <c r="E12" i="104"/>
  <c r="D5" i="104"/>
  <c r="E8" i="103"/>
  <c r="K29" i="105"/>
  <c r="M29" i="105" s="1"/>
  <c r="K28" i="105"/>
  <c r="M28" i="105" s="1"/>
  <c r="K27" i="105"/>
  <c r="M27" i="105" s="1"/>
  <c r="K26" i="105"/>
  <c r="M26" i="105" s="1"/>
  <c r="K24" i="105"/>
  <c r="M24" i="105" s="1"/>
  <c r="K23" i="105"/>
  <c r="M23" i="105" s="1"/>
  <c r="K22" i="105"/>
  <c r="M22" i="105" s="1"/>
  <c r="K21" i="105"/>
  <c r="M21" i="105" s="1"/>
  <c r="K20" i="105"/>
  <c r="K19" i="105"/>
  <c r="M19" i="105" s="1"/>
  <c r="K18" i="105"/>
  <c r="M18" i="105" s="1"/>
  <c r="K17" i="105"/>
  <c r="M17" i="105" s="1"/>
  <c r="K16" i="105"/>
  <c r="M16" i="105" s="1"/>
  <c r="K15" i="105"/>
  <c r="M15" i="105" s="1"/>
  <c r="K14" i="105"/>
  <c r="M14" i="105" s="1"/>
  <c r="K13" i="105"/>
  <c r="M13" i="105" s="1"/>
  <c r="K12" i="105"/>
  <c r="M12" i="105" s="1"/>
  <c r="K11" i="105"/>
  <c r="M11" i="105" s="1"/>
  <c r="K10" i="105"/>
  <c r="M10" i="105" s="1"/>
  <c r="K9" i="105"/>
  <c r="M9" i="105" s="1"/>
  <c r="K8" i="105"/>
  <c r="M8" i="105" s="1"/>
  <c r="E5" i="105"/>
  <c r="K29" i="104" l="1"/>
  <c r="M29" i="104" s="1"/>
  <c r="K28" i="104"/>
  <c r="M28" i="104" s="1"/>
  <c r="K27" i="104"/>
  <c r="M27" i="104" s="1"/>
  <c r="K26" i="104"/>
  <c r="M26" i="104" s="1"/>
  <c r="K24" i="104"/>
  <c r="M24" i="104" s="1"/>
  <c r="K23" i="104"/>
  <c r="M23" i="104" s="1"/>
  <c r="K22" i="104"/>
  <c r="M22" i="104" s="1"/>
  <c r="K21" i="104"/>
  <c r="M21" i="104" s="1"/>
  <c r="K20" i="104"/>
  <c r="K19" i="104"/>
  <c r="M19" i="104" s="1"/>
  <c r="K18" i="104"/>
  <c r="M18" i="104" s="1"/>
  <c r="K17" i="104"/>
  <c r="M17" i="104" s="1"/>
  <c r="K16" i="104"/>
  <c r="M16" i="104" s="1"/>
  <c r="K15" i="104"/>
  <c r="M15" i="104" s="1"/>
  <c r="K14" i="104"/>
  <c r="M14" i="104" s="1"/>
  <c r="K13" i="104"/>
  <c r="M13" i="104" s="1"/>
  <c r="K12" i="104"/>
  <c r="M12" i="104" s="1"/>
  <c r="K11" i="104"/>
  <c r="M11" i="104" s="1"/>
  <c r="K10" i="104"/>
  <c r="M10" i="104" s="1"/>
  <c r="K9" i="104"/>
  <c r="M9" i="104" s="1"/>
  <c r="K8" i="104"/>
  <c r="M8" i="104" s="1"/>
  <c r="E5" i="104"/>
  <c r="E8" i="102" l="1"/>
  <c r="D5" i="103"/>
  <c r="D27" i="103" l="1"/>
  <c r="D28" i="103"/>
  <c r="D29" i="103"/>
  <c r="D26" i="103"/>
  <c r="D9" i="103"/>
  <c r="K9" i="103" s="1"/>
  <c r="M9" i="103" s="1"/>
  <c r="D10" i="103"/>
  <c r="K10" i="103" s="1"/>
  <c r="M10" i="103" s="1"/>
  <c r="D11" i="103"/>
  <c r="K11" i="103" s="1"/>
  <c r="M11" i="103" s="1"/>
  <c r="D12" i="103"/>
  <c r="K12" i="103" s="1"/>
  <c r="M12" i="103" s="1"/>
  <c r="D13" i="103"/>
  <c r="K13" i="103" s="1"/>
  <c r="M13" i="103" s="1"/>
  <c r="D14" i="103"/>
  <c r="K14" i="103" s="1"/>
  <c r="M14" i="103" s="1"/>
  <c r="D15" i="103"/>
  <c r="K15" i="103" s="1"/>
  <c r="M15" i="103" s="1"/>
  <c r="D16" i="103"/>
  <c r="K16" i="103" s="1"/>
  <c r="M16" i="103" s="1"/>
  <c r="D17" i="103"/>
  <c r="K17" i="103" s="1"/>
  <c r="M17" i="103" s="1"/>
  <c r="D18" i="103"/>
  <c r="K18" i="103" s="1"/>
  <c r="M18" i="103" s="1"/>
  <c r="D19" i="103"/>
  <c r="K19" i="103" s="1"/>
  <c r="M19" i="103" s="1"/>
  <c r="D20" i="103"/>
  <c r="K20" i="103" s="1"/>
  <c r="D21" i="103"/>
  <c r="K21" i="103" s="1"/>
  <c r="M21" i="103" s="1"/>
  <c r="D22" i="103"/>
  <c r="D24" i="103"/>
  <c r="K24" i="103" s="1"/>
  <c r="M24" i="103" s="1"/>
  <c r="D8" i="103"/>
  <c r="K8" i="103" s="1"/>
  <c r="M8" i="103" s="1"/>
  <c r="K29" i="103"/>
  <c r="M29" i="103" s="1"/>
  <c r="K28" i="103"/>
  <c r="M28" i="103" s="1"/>
  <c r="K27" i="103"/>
  <c r="M27" i="103" s="1"/>
  <c r="K26" i="103"/>
  <c r="M26" i="103" s="1"/>
  <c r="K23" i="103"/>
  <c r="M23" i="103" s="1"/>
  <c r="K22" i="103"/>
  <c r="M22" i="103" s="1"/>
  <c r="E5" i="103"/>
  <c r="D9" i="102" l="1"/>
  <c r="K9" i="102" s="1"/>
  <c r="M9" i="102" s="1"/>
  <c r="D10" i="102"/>
  <c r="K10" i="102" s="1"/>
  <c r="M10" i="102" s="1"/>
  <c r="D11" i="102"/>
  <c r="K11" i="102" s="1"/>
  <c r="M11" i="102" s="1"/>
  <c r="D12" i="102"/>
  <c r="D13" i="102"/>
  <c r="K13" i="102" s="1"/>
  <c r="M13" i="102" s="1"/>
  <c r="D14" i="102"/>
  <c r="K14" i="102" s="1"/>
  <c r="M14" i="102" s="1"/>
  <c r="D15" i="102"/>
  <c r="K15" i="102" s="1"/>
  <c r="M15" i="102" s="1"/>
  <c r="D16" i="102"/>
  <c r="K16" i="102" s="1"/>
  <c r="M16" i="102" s="1"/>
  <c r="D17" i="102"/>
  <c r="K17" i="102" s="1"/>
  <c r="M17" i="102" s="1"/>
  <c r="D18" i="102"/>
  <c r="K18" i="102" s="1"/>
  <c r="M18" i="102" s="1"/>
  <c r="D19" i="102"/>
  <c r="K19" i="102" s="1"/>
  <c r="M19" i="102" s="1"/>
  <c r="D20" i="102"/>
  <c r="K20" i="102" s="1"/>
  <c r="D21" i="102"/>
  <c r="K21" i="102" s="1"/>
  <c r="M21" i="102" s="1"/>
  <c r="D22" i="102"/>
  <c r="K22" i="102" s="1"/>
  <c r="M22" i="102" s="1"/>
  <c r="K23" i="102"/>
  <c r="M23" i="102" s="1"/>
  <c r="D24" i="102"/>
  <c r="K24" i="102" s="1"/>
  <c r="M24" i="102" s="1"/>
  <c r="D8" i="102"/>
  <c r="D5" i="102"/>
  <c r="E5" i="102" s="1"/>
  <c r="D27" i="102"/>
  <c r="D28" i="102"/>
  <c r="D29" i="102"/>
  <c r="K29" i="102" s="1"/>
  <c r="M29" i="102" s="1"/>
  <c r="D26" i="102"/>
  <c r="K26" i="102" s="1"/>
  <c r="M26" i="102" s="1"/>
  <c r="K27" i="102"/>
  <c r="M27" i="102" s="1"/>
  <c r="D27" i="101"/>
  <c r="K27" i="101" s="1"/>
  <c r="M27" i="101" s="1"/>
  <c r="D28" i="101"/>
  <c r="K28" i="101" s="1"/>
  <c r="M28" i="101" s="1"/>
  <c r="D29" i="101"/>
  <c r="K29" i="101" s="1"/>
  <c r="M29" i="101" s="1"/>
  <c r="L13" i="100"/>
  <c r="D13" i="101" s="1"/>
  <c r="K13" i="101" s="1"/>
  <c r="M13" i="101" s="1"/>
  <c r="L12" i="100"/>
  <c r="L10" i="100"/>
  <c r="D10" i="101" s="1"/>
  <c r="K10" i="101" s="1"/>
  <c r="M10" i="101" s="1"/>
  <c r="L8" i="100"/>
  <c r="D8" i="101" s="1"/>
  <c r="K8" i="101" s="1"/>
  <c r="K28" i="102"/>
  <c r="M28" i="102" s="1"/>
  <c r="D5" i="101"/>
  <c r="E5" i="101" s="1"/>
  <c r="D26" i="101"/>
  <c r="K26" i="101" s="1"/>
  <c r="M26" i="101" s="1"/>
  <c r="D9" i="101"/>
  <c r="K9" i="101" s="1"/>
  <c r="M9" i="101" s="1"/>
  <c r="D11" i="101"/>
  <c r="K11" i="101" s="1"/>
  <c r="M11" i="101" s="1"/>
  <c r="D14" i="101"/>
  <c r="K14" i="101" s="1"/>
  <c r="M14" i="101" s="1"/>
  <c r="D15" i="101"/>
  <c r="K15" i="101" s="1"/>
  <c r="M15" i="101" s="1"/>
  <c r="D16" i="101"/>
  <c r="K16" i="101" s="1"/>
  <c r="M16" i="101" s="1"/>
  <c r="D17" i="101"/>
  <c r="K17" i="101" s="1"/>
  <c r="M17" i="101" s="1"/>
  <c r="D18" i="101"/>
  <c r="K18" i="101" s="1"/>
  <c r="M18" i="101" s="1"/>
  <c r="D19" i="101"/>
  <c r="K19" i="101" s="1"/>
  <c r="M19" i="101" s="1"/>
  <c r="D20" i="101"/>
  <c r="K20" i="101" s="1"/>
  <c r="D21" i="101"/>
  <c r="K21" i="101" s="1"/>
  <c r="M21" i="101" s="1"/>
  <c r="D22" i="101"/>
  <c r="K22" i="101" s="1"/>
  <c r="M22" i="101" s="1"/>
  <c r="D24" i="101"/>
  <c r="K24" i="101" s="1"/>
  <c r="M24" i="101" s="1"/>
  <c r="K23" i="101"/>
  <c r="M23" i="101" s="1"/>
  <c r="K12" i="102" l="1"/>
  <c r="M12" i="102" s="1"/>
  <c r="D12" i="101"/>
  <c r="K12" i="101" s="1"/>
  <c r="M12" i="101" s="1"/>
  <c r="K8" i="102"/>
  <c r="M8" i="102" s="1"/>
  <c r="M8" i="101"/>
  <c r="L12" i="99"/>
  <c r="L8" i="99"/>
  <c r="D27" i="100" l="1"/>
  <c r="K27" i="100" s="1"/>
  <c r="M27" i="100" s="1"/>
  <c r="D28" i="100"/>
  <c r="D29" i="100"/>
  <c r="K29" i="100" s="1"/>
  <c r="M29" i="100" s="1"/>
  <c r="D26" i="100"/>
  <c r="K26" i="100" s="1"/>
  <c r="M26" i="100" s="1"/>
  <c r="D9" i="100"/>
  <c r="K9" i="100" s="1"/>
  <c r="M9" i="100" s="1"/>
  <c r="D10" i="100"/>
  <c r="K10" i="100" s="1"/>
  <c r="M10" i="100" s="1"/>
  <c r="D11" i="100"/>
  <c r="K11" i="100" s="1"/>
  <c r="M11" i="100" s="1"/>
  <c r="D12" i="100"/>
  <c r="K12" i="100" s="1"/>
  <c r="M12" i="100" s="1"/>
  <c r="D13" i="100"/>
  <c r="K13" i="100" s="1"/>
  <c r="M13" i="100" s="1"/>
  <c r="D14" i="100"/>
  <c r="K14" i="100" s="1"/>
  <c r="M14" i="100" s="1"/>
  <c r="D15" i="100"/>
  <c r="K15" i="100" s="1"/>
  <c r="M15" i="100" s="1"/>
  <c r="D16" i="100"/>
  <c r="K16" i="100" s="1"/>
  <c r="M16" i="100" s="1"/>
  <c r="D17" i="100"/>
  <c r="K17" i="100" s="1"/>
  <c r="M17" i="100" s="1"/>
  <c r="D18" i="100"/>
  <c r="K18" i="100" s="1"/>
  <c r="M18" i="100" s="1"/>
  <c r="D19" i="100"/>
  <c r="K19" i="100" s="1"/>
  <c r="M19" i="100" s="1"/>
  <c r="D20" i="100"/>
  <c r="K20" i="100" s="1"/>
  <c r="D21" i="100"/>
  <c r="K21" i="100" s="1"/>
  <c r="M21" i="100" s="1"/>
  <c r="D22" i="100"/>
  <c r="K22" i="100" s="1"/>
  <c r="M22" i="100" s="1"/>
  <c r="D24" i="100"/>
  <c r="K24" i="100" s="1"/>
  <c r="M24" i="100" s="1"/>
  <c r="D8" i="100"/>
  <c r="K8" i="100" s="1"/>
  <c r="M8" i="100" s="1"/>
  <c r="D5" i="100"/>
  <c r="E5" i="100" s="1"/>
  <c r="K28" i="100"/>
  <c r="M28" i="100" s="1"/>
  <c r="K23" i="100"/>
  <c r="M23" i="100" s="1"/>
  <c r="L12" i="98" l="1"/>
  <c r="E8" i="98"/>
  <c r="D9" i="99" l="1"/>
  <c r="K9" i="99" s="1"/>
  <c r="M9" i="99" s="1"/>
  <c r="D10" i="99"/>
  <c r="K10" i="99" s="1"/>
  <c r="M10" i="99" s="1"/>
  <c r="D11" i="99"/>
  <c r="K11" i="99" s="1"/>
  <c r="M11" i="99" s="1"/>
  <c r="D12" i="99"/>
  <c r="K12" i="99" s="1"/>
  <c r="M12" i="99" s="1"/>
  <c r="D13" i="99"/>
  <c r="K13" i="99" s="1"/>
  <c r="M13" i="99" s="1"/>
  <c r="D14" i="99"/>
  <c r="K14" i="99" s="1"/>
  <c r="M14" i="99" s="1"/>
  <c r="D15" i="99"/>
  <c r="K15" i="99" s="1"/>
  <c r="M15" i="99" s="1"/>
  <c r="D16" i="99"/>
  <c r="K16" i="99" s="1"/>
  <c r="M16" i="99" s="1"/>
  <c r="D17" i="99"/>
  <c r="K17" i="99" s="1"/>
  <c r="M17" i="99" s="1"/>
  <c r="D18" i="99"/>
  <c r="K18" i="99" s="1"/>
  <c r="M18" i="99" s="1"/>
  <c r="D19" i="99"/>
  <c r="K19" i="99" s="1"/>
  <c r="M19" i="99" s="1"/>
  <c r="D20" i="99"/>
  <c r="D21" i="99"/>
  <c r="K21" i="99" s="1"/>
  <c r="M21" i="99" s="1"/>
  <c r="D22" i="99"/>
  <c r="K22" i="99" s="1"/>
  <c r="M22" i="99" s="1"/>
  <c r="D24" i="99"/>
  <c r="K24" i="99" s="1"/>
  <c r="M24" i="99" s="1"/>
  <c r="D26" i="99"/>
  <c r="K26" i="99" s="1"/>
  <c r="M26" i="99" s="1"/>
  <c r="D27" i="99"/>
  <c r="K27" i="99" s="1"/>
  <c r="M27" i="99" s="1"/>
  <c r="D28" i="99"/>
  <c r="D29" i="99"/>
  <c r="K29" i="99" s="1"/>
  <c r="M29" i="99" s="1"/>
  <c r="D8" i="99"/>
  <c r="K8" i="99" s="1"/>
  <c r="M8" i="99" s="1"/>
  <c r="D5" i="99"/>
  <c r="E5" i="99" s="1"/>
  <c r="K28" i="99"/>
  <c r="M28" i="99" s="1"/>
  <c r="K23" i="99"/>
  <c r="M23" i="99" s="1"/>
  <c r="K20" i="99"/>
  <c r="D27" i="98" l="1"/>
  <c r="K27" i="98" s="1"/>
  <c r="M27" i="98" s="1"/>
  <c r="D28" i="98"/>
  <c r="K28" i="98" s="1"/>
  <c r="M28" i="98" s="1"/>
  <c r="D29" i="98"/>
  <c r="K29" i="98" s="1"/>
  <c r="M29" i="98" s="1"/>
  <c r="D26" i="98"/>
  <c r="D9" i="98"/>
  <c r="K9" i="98" s="1"/>
  <c r="M9" i="98" s="1"/>
  <c r="D11" i="98"/>
  <c r="K11" i="98" s="1"/>
  <c r="M11" i="98" s="1"/>
  <c r="D14" i="98"/>
  <c r="K14" i="98" s="1"/>
  <c r="M14" i="98" s="1"/>
  <c r="D15" i="98"/>
  <c r="K15" i="98" s="1"/>
  <c r="M15" i="98" s="1"/>
  <c r="D16" i="98"/>
  <c r="K16" i="98" s="1"/>
  <c r="M16" i="98" s="1"/>
  <c r="D17" i="98"/>
  <c r="K17" i="98" s="1"/>
  <c r="M17" i="98" s="1"/>
  <c r="D18" i="98"/>
  <c r="K18" i="98" s="1"/>
  <c r="M18" i="98" s="1"/>
  <c r="D19" i="98"/>
  <c r="K19" i="98" s="1"/>
  <c r="M19" i="98" s="1"/>
  <c r="D20" i="98"/>
  <c r="K20" i="98" s="1"/>
  <c r="D21" i="98"/>
  <c r="K21" i="98" s="1"/>
  <c r="M21" i="98" s="1"/>
  <c r="D22" i="98"/>
  <c r="K22" i="98" s="1"/>
  <c r="M22" i="98" s="1"/>
  <c r="D24" i="98"/>
  <c r="K24" i="98" s="1"/>
  <c r="M24" i="98" s="1"/>
  <c r="D5" i="98"/>
  <c r="E5" i="98" s="1"/>
  <c r="D8" i="98"/>
  <c r="K8" i="98" s="1"/>
  <c r="M8" i="98" s="1"/>
  <c r="K26" i="98"/>
  <c r="M26" i="98" s="1"/>
  <c r="K23" i="98"/>
  <c r="M23" i="98" s="1"/>
  <c r="L13" i="97" l="1"/>
  <c r="D13" i="98" s="1"/>
  <c r="K13" i="98" s="1"/>
  <c r="M13" i="98" s="1"/>
  <c r="L12" i="97"/>
  <c r="D12" i="98" s="1"/>
  <c r="K12" i="98" s="1"/>
  <c r="M12" i="98" s="1"/>
  <c r="L10" i="97"/>
  <c r="D10" i="98" s="1"/>
  <c r="K10" i="98" s="1"/>
  <c r="M10" i="98" s="1"/>
  <c r="E8" i="97"/>
  <c r="D27" i="97"/>
  <c r="K27" i="97" s="1"/>
  <c r="M27" i="97" s="1"/>
  <c r="D28" i="97"/>
  <c r="D29" i="97"/>
  <c r="K29" i="97" s="1"/>
  <c r="M29" i="97" s="1"/>
  <c r="D26" i="97"/>
  <c r="K26" i="97" s="1"/>
  <c r="M26" i="97" s="1"/>
  <c r="D9" i="97"/>
  <c r="K9" i="97" s="1"/>
  <c r="M9" i="97" s="1"/>
  <c r="D10" i="97"/>
  <c r="K10" i="97" s="1"/>
  <c r="D11" i="97"/>
  <c r="K11" i="97" s="1"/>
  <c r="M11" i="97" s="1"/>
  <c r="D12" i="97"/>
  <c r="K12" i="97" s="1"/>
  <c r="D13" i="97"/>
  <c r="K13" i="97" s="1"/>
  <c r="D14" i="97"/>
  <c r="K14" i="97" s="1"/>
  <c r="M14" i="97" s="1"/>
  <c r="D15" i="97"/>
  <c r="K15" i="97" s="1"/>
  <c r="M15" i="97" s="1"/>
  <c r="D16" i="97"/>
  <c r="K16" i="97" s="1"/>
  <c r="M16" i="97" s="1"/>
  <c r="D17" i="97"/>
  <c r="K17" i="97" s="1"/>
  <c r="M17" i="97" s="1"/>
  <c r="D18" i="97"/>
  <c r="K18" i="97" s="1"/>
  <c r="M18" i="97" s="1"/>
  <c r="D19" i="97"/>
  <c r="K19" i="97" s="1"/>
  <c r="M19" i="97" s="1"/>
  <c r="D20" i="97"/>
  <c r="K20" i="97" s="1"/>
  <c r="D21" i="97"/>
  <c r="K21" i="97" s="1"/>
  <c r="M21" i="97" s="1"/>
  <c r="D22" i="97"/>
  <c r="K22" i="97" s="1"/>
  <c r="M22" i="97" s="1"/>
  <c r="D24" i="97"/>
  <c r="D8" i="97"/>
  <c r="K8" i="97" s="1"/>
  <c r="M8" i="97" s="1"/>
  <c r="D5" i="97"/>
  <c r="E5" i="97" s="1"/>
  <c r="K28" i="97"/>
  <c r="M28" i="97" s="1"/>
  <c r="K24" i="97"/>
  <c r="M24" i="97" s="1"/>
  <c r="K23" i="97"/>
  <c r="M23" i="97" s="1"/>
  <c r="E9" i="95"/>
  <c r="D27" i="96"/>
  <c r="D28" i="96"/>
  <c r="D29" i="96"/>
  <c r="D9" i="96"/>
  <c r="D10" i="96"/>
  <c r="D11" i="96"/>
  <c r="D14" i="96"/>
  <c r="D15" i="96"/>
  <c r="D16" i="96"/>
  <c r="D17" i="96"/>
  <c r="D18" i="96"/>
  <c r="D19" i="96"/>
  <c r="D20" i="96"/>
  <c r="D21" i="96"/>
  <c r="D22" i="96"/>
  <c r="D24" i="96"/>
  <c r="D26" i="96"/>
  <c r="L13" i="95"/>
  <c r="D13" i="96" s="1"/>
  <c r="L12" i="95"/>
  <c r="D12" i="96" s="1"/>
  <c r="E8" i="95"/>
  <c r="M12" i="97" l="1"/>
  <c r="M10" i="97"/>
  <c r="M13" i="97"/>
  <c r="K22" i="96" l="1"/>
  <c r="M22" i="96" s="1"/>
  <c r="K23" i="96"/>
  <c r="M23" i="96" s="1"/>
  <c r="K24" i="96"/>
  <c r="M24" i="96" s="1"/>
  <c r="D8" i="96"/>
  <c r="K8" i="96" s="1"/>
  <c r="M8" i="96" s="1"/>
  <c r="D5" i="96"/>
  <c r="E5" i="96" s="1"/>
  <c r="K29" i="96"/>
  <c r="M29" i="96" s="1"/>
  <c r="K28" i="96"/>
  <c r="M28" i="96" s="1"/>
  <c r="K27" i="96"/>
  <c r="M27" i="96" s="1"/>
  <c r="K26" i="96"/>
  <c r="M26" i="96" s="1"/>
  <c r="K21" i="96"/>
  <c r="M21" i="96" s="1"/>
  <c r="K20" i="96"/>
  <c r="K19" i="96"/>
  <c r="M19" i="96" s="1"/>
  <c r="K18" i="96"/>
  <c r="M18" i="96" s="1"/>
  <c r="K17" i="96"/>
  <c r="M17" i="96" s="1"/>
  <c r="K16" i="96"/>
  <c r="M16" i="96" s="1"/>
  <c r="K15" i="96"/>
  <c r="M15" i="96" s="1"/>
  <c r="K14" i="96"/>
  <c r="M14" i="96" s="1"/>
  <c r="K13" i="96"/>
  <c r="M13" i="96" s="1"/>
  <c r="K12" i="96"/>
  <c r="M12" i="96" s="1"/>
  <c r="K11" i="96"/>
  <c r="M11" i="96" s="1"/>
  <c r="K10" i="96"/>
  <c r="M10" i="96" s="1"/>
  <c r="K9" i="96"/>
  <c r="M9" i="96" s="1"/>
  <c r="D27" i="93" l="1"/>
  <c r="D28" i="93"/>
  <c r="D29" i="93"/>
  <c r="L12" i="94" l="1"/>
  <c r="D27" i="95" l="1"/>
  <c r="D28" i="95"/>
  <c r="K28" i="95" s="1"/>
  <c r="M28" i="95" s="1"/>
  <c r="D29" i="95"/>
  <c r="D26" i="95"/>
  <c r="K26" i="95" s="1"/>
  <c r="M26" i="95" s="1"/>
  <c r="D9" i="95"/>
  <c r="K9" i="95" s="1"/>
  <c r="M9" i="95" s="1"/>
  <c r="D10" i="95"/>
  <c r="K10" i="95" s="1"/>
  <c r="M10" i="95" s="1"/>
  <c r="D11" i="95"/>
  <c r="K11" i="95" s="1"/>
  <c r="M11" i="95" s="1"/>
  <c r="D12" i="95"/>
  <c r="K12" i="95" s="1"/>
  <c r="M12" i="95" s="1"/>
  <c r="D13" i="95"/>
  <c r="K13" i="95" s="1"/>
  <c r="M13" i="95" s="1"/>
  <c r="D14" i="95"/>
  <c r="K14" i="95" s="1"/>
  <c r="M14" i="95" s="1"/>
  <c r="D15" i="95"/>
  <c r="K15" i="95" s="1"/>
  <c r="M15" i="95" s="1"/>
  <c r="D16" i="95"/>
  <c r="K16" i="95" s="1"/>
  <c r="M16" i="95" s="1"/>
  <c r="D17" i="95"/>
  <c r="K17" i="95" s="1"/>
  <c r="M17" i="95" s="1"/>
  <c r="D18" i="95"/>
  <c r="K18" i="95" s="1"/>
  <c r="M18" i="95" s="1"/>
  <c r="D19" i="95"/>
  <c r="K19" i="95" s="1"/>
  <c r="M19" i="95" s="1"/>
  <c r="D20" i="95"/>
  <c r="D21" i="95"/>
  <c r="K21" i="95" s="1"/>
  <c r="M21" i="95" s="1"/>
  <c r="D22" i="95"/>
  <c r="K22" i="95" s="1"/>
  <c r="M22" i="95" s="1"/>
  <c r="K23" i="95"/>
  <c r="M23" i="95" s="1"/>
  <c r="D24" i="95"/>
  <c r="K24" i="95" s="1"/>
  <c r="M24" i="95" s="1"/>
  <c r="D8" i="95"/>
  <c r="K8" i="95" s="1"/>
  <c r="M8" i="95" s="1"/>
  <c r="D5" i="95"/>
  <c r="E5" i="95" s="1"/>
  <c r="K29" i="95"/>
  <c r="M29" i="95" s="1"/>
  <c r="K27" i="95"/>
  <c r="M27" i="95" s="1"/>
  <c r="K20" i="95"/>
  <c r="D27" i="94" l="1"/>
  <c r="D28" i="94"/>
  <c r="K28" i="94" s="1"/>
  <c r="M28" i="94" s="1"/>
  <c r="D29" i="94"/>
  <c r="D26" i="94"/>
  <c r="K26" i="94" s="1"/>
  <c r="M26" i="94" s="1"/>
  <c r="D9" i="94"/>
  <c r="K9" i="94" s="1"/>
  <c r="M9" i="94" s="1"/>
  <c r="D11" i="94"/>
  <c r="K11" i="94" s="1"/>
  <c r="M11" i="94" s="1"/>
  <c r="D14" i="94"/>
  <c r="K14" i="94" s="1"/>
  <c r="M14" i="94" s="1"/>
  <c r="D15" i="94"/>
  <c r="K15" i="94" s="1"/>
  <c r="M15" i="94" s="1"/>
  <c r="D16" i="94"/>
  <c r="K16" i="94" s="1"/>
  <c r="M16" i="94" s="1"/>
  <c r="D17" i="94"/>
  <c r="K17" i="94" s="1"/>
  <c r="M17" i="94" s="1"/>
  <c r="D18" i="94"/>
  <c r="K18" i="94" s="1"/>
  <c r="M18" i="94" s="1"/>
  <c r="D19" i="94"/>
  <c r="K19" i="94" s="1"/>
  <c r="M19" i="94" s="1"/>
  <c r="D20" i="94"/>
  <c r="K20" i="94" s="1"/>
  <c r="D21" i="94"/>
  <c r="K21" i="94" s="1"/>
  <c r="M21" i="94" s="1"/>
  <c r="D22" i="94"/>
  <c r="K22" i="94" s="1"/>
  <c r="M22" i="94" s="1"/>
  <c r="K23" i="94"/>
  <c r="M23" i="94" s="1"/>
  <c r="D24" i="94"/>
  <c r="K24" i="94" s="1"/>
  <c r="M24" i="94" s="1"/>
  <c r="D5" i="94"/>
  <c r="E5" i="94" s="1"/>
  <c r="K29" i="94"/>
  <c r="M29" i="94" s="1"/>
  <c r="K27" i="94"/>
  <c r="M27" i="94" s="1"/>
  <c r="L13" i="93" l="1"/>
  <c r="D13" i="94" s="1"/>
  <c r="K13" i="94" s="1"/>
  <c r="M13" i="94" s="1"/>
  <c r="L12" i="93"/>
  <c r="D12" i="94" s="1"/>
  <c r="K12" i="94" s="1"/>
  <c r="M12" i="94" s="1"/>
  <c r="L10" i="92"/>
  <c r="L10" i="93"/>
  <c r="D10" i="94" s="1"/>
  <c r="K10" i="94" s="1"/>
  <c r="M10" i="94" s="1"/>
  <c r="E8" i="93"/>
  <c r="L8" i="93"/>
  <c r="D8" i="94" s="1"/>
  <c r="K8" i="94" s="1"/>
  <c r="M8" i="94" s="1"/>
  <c r="L13" i="92" l="1"/>
  <c r="L12" i="92"/>
  <c r="E8" i="92"/>
  <c r="D27" i="92"/>
  <c r="D28" i="92"/>
  <c r="D29" i="92"/>
  <c r="D26" i="92"/>
  <c r="K27" i="93" l="1"/>
  <c r="M27" i="93" s="1"/>
  <c r="K29" i="93"/>
  <c r="M29" i="93" s="1"/>
  <c r="D26" i="93"/>
  <c r="K26" i="93" s="1"/>
  <c r="M26" i="93" s="1"/>
  <c r="D9" i="93"/>
  <c r="K9" i="93" s="1"/>
  <c r="M9" i="93" s="1"/>
  <c r="D10" i="93"/>
  <c r="K10" i="93" s="1"/>
  <c r="M10" i="93" s="1"/>
  <c r="D11" i="93"/>
  <c r="K11" i="93" s="1"/>
  <c r="M11" i="93" s="1"/>
  <c r="D12" i="93"/>
  <c r="K12" i="93" s="1"/>
  <c r="M12" i="93" s="1"/>
  <c r="D13" i="93"/>
  <c r="K13" i="93" s="1"/>
  <c r="M13" i="93" s="1"/>
  <c r="D14" i="93"/>
  <c r="K14" i="93" s="1"/>
  <c r="M14" i="93" s="1"/>
  <c r="D15" i="93"/>
  <c r="K15" i="93" s="1"/>
  <c r="M15" i="93" s="1"/>
  <c r="D16" i="93"/>
  <c r="K16" i="93" s="1"/>
  <c r="M16" i="93" s="1"/>
  <c r="D17" i="93"/>
  <c r="K17" i="93" s="1"/>
  <c r="M17" i="93" s="1"/>
  <c r="D18" i="93"/>
  <c r="D19" i="93"/>
  <c r="K19" i="93" s="1"/>
  <c r="M19" i="93" s="1"/>
  <c r="D20" i="93"/>
  <c r="K20" i="93" s="1"/>
  <c r="D21" i="93"/>
  <c r="K21" i="93" s="1"/>
  <c r="M21" i="93" s="1"/>
  <c r="D22" i="93"/>
  <c r="K22" i="93" s="1"/>
  <c r="M22" i="93" s="1"/>
  <c r="D24" i="93"/>
  <c r="K24" i="93" s="1"/>
  <c r="M24" i="93" s="1"/>
  <c r="D8" i="93"/>
  <c r="K8" i="93" s="1"/>
  <c r="M8" i="93" s="1"/>
  <c r="D5" i="93"/>
  <c r="E5" i="93" s="1"/>
  <c r="K28" i="93"/>
  <c r="M28" i="93" s="1"/>
  <c r="K23" i="93"/>
  <c r="M23" i="93" s="1"/>
  <c r="K18" i="93"/>
  <c r="M18" i="93" s="1"/>
  <c r="K29" i="92" l="1"/>
  <c r="M29" i="92" s="1"/>
  <c r="E28" i="91"/>
  <c r="L10" i="91"/>
  <c r="D10" i="92" s="1"/>
  <c r="K10" i="92" s="1"/>
  <c r="M10" i="92" s="1"/>
  <c r="L9" i="91"/>
  <c r="D9" i="92" s="1"/>
  <c r="K9" i="92" s="1"/>
  <c r="M9" i="92" s="1"/>
  <c r="L8" i="91"/>
  <c r="D8" i="92" s="1"/>
  <c r="K8" i="92" s="1"/>
  <c r="M8" i="92" s="1"/>
  <c r="K26" i="92"/>
  <c r="M26" i="92" s="1"/>
  <c r="D11" i="92"/>
  <c r="K11" i="92" s="1"/>
  <c r="M11" i="92" s="1"/>
  <c r="D12" i="92"/>
  <c r="K12" i="92" s="1"/>
  <c r="M12" i="92" s="1"/>
  <c r="D13" i="92"/>
  <c r="K13" i="92" s="1"/>
  <c r="M13" i="92" s="1"/>
  <c r="D14" i="92"/>
  <c r="K14" i="92" s="1"/>
  <c r="M14" i="92" s="1"/>
  <c r="D15" i="92"/>
  <c r="K15" i="92" s="1"/>
  <c r="M15" i="92" s="1"/>
  <c r="D16" i="92"/>
  <c r="K16" i="92" s="1"/>
  <c r="M16" i="92" s="1"/>
  <c r="D17" i="92"/>
  <c r="K17" i="92" s="1"/>
  <c r="M17" i="92" s="1"/>
  <c r="D18" i="92"/>
  <c r="K18" i="92" s="1"/>
  <c r="M18" i="92" s="1"/>
  <c r="D19" i="92"/>
  <c r="K19" i="92" s="1"/>
  <c r="M19" i="92" s="1"/>
  <c r="D20" i="92"/>
  <c r="D21" i="92"/>
  <c r="K21" i="92" s="1"/>
  <c r="M21" i="92" s="1"/>
  <c r="D22" i="92"/>
  <c r="K22" i="92" s="1"/>
  <c r="M22" i="92" s="1"/>
  <c r="K23" i="92"/>
  <c r="M23" i="92" s="1"/>
  <c r="D24" i="92"/>
  <c r="K24" i="92" s="1"/>
  <c r="M24" i="92" s="1"/>
  <c r="D5" i="92"/>
  <c r="E5" i="92" s="1"/>
  <c r="K28" i="92"/>
  <c r="M28" i="92" s="1"/>
  <c r="K27" i="92"/>
  <c r="M27" i="92" s="1"/>
  <c r="D27" i="91" l="1"/>
  <c r="K27" i="91" s="1"/>
  <c r="M27" i="91" s="1"/>
  <c r="D28" i="91"/>
  <c r="K28" i="91" s="1"/>
  <c r="M28" i="91" s="1"/>
  <c r="D29" i="91"/>
  <c r="K29" i="91" s="1"/>
  <c r="M29" i="91" s="1"/>
  <c r="D26" i="91"/>
  <c r="K26" i="91" s="1"/>
  <c r="M26" i="91" s="1"/>
  <c r="D11" i="91"/>
  <c r="K11" i="91" s="1"/>
  <c r="M11" i="91" s="1"/>
  <c r="D12" i="91"/>
  <c r="K12" i="91" s="1"/>
  <c r="M12" i="91" s="1"/>
  <c r="D14" i="91"/>
  <c r="K14" i="91" s="1"/>
  <c r="M14" i="91" s="1"/>
  <c r="D15" i="91"/>
  <c r="K15" i="91" s="1"/>
  <c r="M15" i="91" s="1"/>
  <c r="D16" i="91"/>
  <c r="K16" i="91" s="1"/>
  <c r="M16" i="91" s="1"/>
  <c r="D17" i="91"/>
  <c r="K17" i="91" s="1"/>
  <c r="M17" i="91" s="1"/>
  <c r="D18" i="91"/>
  <c r="K18" i="91" s="1"/>
  <c r="M18" i="91" s="1"/>
  <c r="D19" i="91"/>
  <c r="K19" i="91" s="1"/>
  <c r="M19" i="91" s="1"/>
  <c r="D20" i="91"/>
  <c r="D21" i="91"/>
  <c r="K21" i="91" s="1"/>
  <c r="M21" i="91" s="1"/>
  <c r="D22" i="91"/>
  <c r="K22" i="91" s="1"/>
  <c r="M22" i="91" s="1"/>
  <c r="D24" i="91"/>
  <c r="K24" i="91" s="1"/>
  <c r="M24" i="91" s="1"/>
  <c r="D8" i="91"/>
  <c r="K8" i="91" s="1"/>
  <c r="M8" i="91" s="1"/>
  <c r="D5" i="91"/>
  <c r="E5" i="91" s="1"/>
  <c r="K23" i="91"/>
  <c r="M23" i="91" s="1"/>
  <c r="E26" i="89"/>
  <c r="L10" i="90"/>
  <c r="D10" i="91" s="1"/>
  <c r="K10" i="91" s="1"/>
  <c r="M10" i="91" l="1"/>
  <c r="L13" i="90"/>
  <c r="D13" i="91" s="1"/>
  <c r="K13" i="91" s="1"/>
  <c r="M13" i="91" s="1"/>
  <c r="L9" i="90"/>
  <c r="D9" i="91" s="1"/>
  <c r="K9" i="91" s="1"/>
  <c r="M9" i="91" s="1"/>
  <c r="E9" i="90"/>
  <c r="D27" i="90"/>
  <c r="D28" i="90"/>
  <c r="K28" i="90" s="1"/>
  <c r="M28" i="90" s="1"/>
  <c r="D29" i="90"/>
  <c r="D26" i="90"/>
  <c r="K26" i="90" s="1"/>
  <c r="M26" i="90" s="1"/>
  <c r="D9" i="90"/>
  <c r="D10" i="90"/>
  <c r="K10" i="90" s="1"/>
  <c r="M10" i="90" s="1"/>
  <c r="D11" i="90"/>
  <c r="K11" i="90" s="1"/>
  <c r="M11" i="90" s="1"/>
  <c r="D12" i="90"/>
  <c r="D13" i="90"/>
  <c r="K13" i="90" s="1"/>
  <c r="D14" i="90"/>
  <c r="K14" i="90" s="1"/>
  <c r="M14" i="90" s="1"/>
  <c r="D15" i="90"/>
  <c r="K15" i="90" s="1"/>
  <c r="M15" i="90" s="1"/>
  <c r="D16" i="90"/>
  <c r="K16" i="90" s="1"/>
  <c r="M16" i="90" s="1"/>
  <c r="D17" i="90"/>
  <c r="K17" i="90" s="1"/>
  <c r="M17" i="90" s="1"/>
  <c r="D18" i="90"/>
  <c r="K18" i="90" s="1"/>
  <c r="M18" i="90" s="1"/>
  <c r="D19" i="90"/>
  <c r="K19" i="90" s="1"/>
  <c r="M19" i="90" s="1"/>
  <c r="D20" i="90"/>
  <c r="D21" i="90"/>
  <c r="K21" i="90" s="1"/>
  <c r="M21" i="90" s="1"/>
  <c r="D22" i="90"/>
  <c r="K22" i="90" s="1"/>
  <c r="M22" i="90" s="1"/>
  <c r="K23" i="90"/>
  <c r="M23" i="90" s="1"/>
  <c r="D24" i="90"/>
  <c r="K24" i="90" s="1"/>
  <c r="M24" i="90" s="1"/>
  <c r="D8" i="90"/>
  <c r="K8" i="90" s="1"/>
  <c r="M8" i="90" s="1"/>
  <c r="D5" i="90"/>
  <c r="E5" i="90" s="1"/>
  <c r="K29" i="90"/>
  <c r="M29" i="90" s="1"/>
  <c r="K27" i="90"/>
  <c r="M27" i="90" s="1"/>
  <c r="K12" i="90"/>
  <c r="K9" i="90" l="1"/>
  <c r="M9" i="90" s="1"/>
  <c r="M13" i="90"/>
  <c r="M12" i="90"/>
  <c r="E13" i="70"/>
  <c r="E8" i="71" l="1"/>
  <c r="D27" i="89" l="1"/>
  <c r="D28" i="89"/>
  <c r="K28" i="89" s="1"/>
  <c r="M28" i="89" s="1"/>
  <c r="D29" i="89"/>
  <c r="D26" i="89"/>
  <c r="K26" i="89" s="1"/>
  <c r="M26" i="89" s="1"/>
  <c r="D9" i="89"/>
  <c r="K9" i="89" s="1"/>
  <c r="M9" i="89" s="1"/>
  <c r="D10" i="89"/>
  <c r="K10" i="89" s="1"/>
  <c r="M10" i="89" s="1"/>
  <c r="D11" i="89"/>
  <c r="K11" i="89" s="1"/>
  <c r="M11" i="89" s="1"/>
  <c r="D12" i="89"/>
  <c r="K12" i="89" s="1"/>
  <c r="M12" i="89" s="1"/>
  <c r="D14" i="89"/>
  <c r="K14" i="89" s="1"/>
  <c r="M14" i="89" s="1"/>
  <c r="D15" i="89"/>
  <c r="K15" i="89" s="1"/>
  <c r="M15" i="89" s="1"/>
  <c r="D16" i="89"/>
  <c r="K16" i="89" s="1"/>
  <c r="M16" i="89" s="1"/>
  <c r="D17" i="89"/>
  <c r="K17" i="89" s="1"/>
  <c r="M17" i="89" s="1"/>
  <c r="D18" i="89"/>
  <c r="K18" i="89" s="1"/>
  <c r="M18" i="89" s="1"/>
  <c r="D19" i="89"/>
  <c r="K19" i="89" s="1"/>
  <c r="M19" i="89" s="1"/>
  <c r="D20" i="89"/>
  <c r="D21" i="89"/>
  <c r="K21" i="89" s="1"/>
  <c r="M21" i="89" s="1"/>
  <c r="D22" i="89"/>
  <c r="K22" i="89" s="1"/>
  <c r="M22" i="89" s="1"/>
  <c r="D24" i="89"/>
  <c r="K24" i="89" s="1"/>
  <c r="M24" i="89" s="1"/>
  <c r="D8" i="89"/>
  <c r="K8" i="89" s="1"/>
  <c r="M8" i="89" s="1"/>
  <c r="D5" i="89"/>
  <c r="E5" i="89" s="1"/>
  <c r="L13" i="88"/>
  <c r="D13" i="89" s="1"/>
  <c r="K13" i="89" s="1"/>
  <c r="M13" i="89" s="1"/>
  <c r="E9" i="88"/>
  <c r="K29" i="89"/>
  <c r="M29" i="89" s="1"/>
  <c r="K27" i="89"/>
  <c r="M27" i="89" s="1"/>
  <c r="K23" i="89"/>
  <c r="M23" i="89" s="1"/>
  <c r="D27" i="82" l="1"/>
  <c r="D28" i="82"/>
  <c r="D29" i="82"/>
  <c r="E8" i="87" l="1"/>
  <c r="L8" i="87"/>
  <c r="D27" i="88" l="1"/>
  <c r="K27" i="88" s="1"/>
  <c r="M27" i="88" s="1"/>
  <c r="D28" i="88"/>
  <c r="D29" i="88"/>
  <c r="K29" i="88" s="1"/>
  <c r="M29" i="88" s="1"/>
  <c r="D26" i="88"/>
  <c r="K26" i="88" s="1"/>
  <c r="M26" i="88" s="1"/>
  <c r="D9" i="88"/>
  <c r="K9" i="88" s="1"/>
  <c r="M9" i="88" s="1"/>
  <c r="D10" i="88"/>
  <c r="K10" i="88" s="1"/>
  <c r="M10" i="88" s="1"/>
  <c r="D11" i="88"/>
  <c r="K11" i="88" s="1"/>
  <c r="M11" i="88" s="1"/>
  <c r="D12" i="88"/>
  <c r="D13" i="88"/>
  <c r="K13" i="88" s="1"/>
  <c r="M13" i="88" s="1"/>
  <c r="D14" i="88"/>
  <c r="K14" i="88" s="1"/>
  <c r="M14" i="88" s="1"/>
  <c r="D15" i="88"/>
  <c r="K15" i="88" s="1"/>
  <c r="M15" i="88" s="1"/>
  <c r="D16" i="88"/>
  <c r="K16" i="88" s="1"/>
  <c r="M16" i="88" s="1"/>
  <c r="D17" i="88"/>
  <c r="K17" i="88" s="1"/>
  <c r="M17" i="88" s="1"/>
  <c r="D18" i="88"/>
  <c r="K18" i="88" s="1"/>
  <c r="M18" i="88" s="1"/>
  <c r="D19" i="88"/>
  <c r="K19" i="88" s="1"/>
  <c r="M19" i="88" s="1"/>
  <c r="D20" i="88"/>
  <c r="K20" i="88" s="1"/>
  <c r="M20" i="88" s="1"/>
  <c r="D21" i="88"/>
  <c r="K21" i="88" s="1"/>
  <c r="M21" i="88" s="1"/>
  <c r="D22" i="88"/>
  <c r="K22" i="88" s="1"/>
  <c r="M22" i="88" s="1"/>
  <c r="D24" i="88"/>
  <c r="K24" i="88" s="1"/>
  <c r="M24" i="88" s="1"/>
  <c r="D8" i="88"/>
  <c r="K8" i="88" s="1"/>
  <c r="M8" i="88" s="1"/>
  <c r="D5" i="88"/>
  <c r="E5" i="88" s="1"/>
  <c r="K28" i="88"/>
  <c r="M28" i="88" s="1"/>
  <c r="K23" i="88"/>
  <c r="M23" i="88" s="1"/>
  <c r="K12" i="88"/>
  <c r="M12" i="88" s="1"/>
  <c r="L13" i="86" l="1"/>
  <c r="L8" i="86"/>
  <c r="D27" i="87" l="1"/>
  <c r="K27" i="87" s="1"/>
  <c r="M27" i="87" s="1"/>
  <c r="D28" i="87"/>
  <c r="K28" i="87" s="1"/>
  <c r="M28" i="87" s="1"/>
  <c r="D29" i="87"/>
  <c r="D26" i="87"/>
  <c r="K26" i="87" s="1"/>
  <c r="M26" i="87" s="1"/>
  <c r="D9" i="87"/>
  <c r="K9" i="87" s="1"/>
  <c r="M9" i="87" s="1"/>
  <c r="D10" i="87"/>
  <c r="K10" i="87" s="1"/>
  <c r="M10" i="87" s="1"/>
  <c r="D11" i="87"/>
  <c r="K11" i="87" s="1"/>
  <c r="M11" i="87" s="1"/>
  <c r="D12" i="87"/>
  <c r="D13" i="87"/>
  <c r="K13" i="87" s="1"/>
  <c r="M13" i="87" s="1"/>
  <c r="D14" i="87"/>
  <c r="K14" i="87" s="1"/>
  <c r="M14" i="87" s="1"/>
  <c r="D15" i="87"/>
  <c r="K15" i="87" s="1"/>
  <c r="M15" i="87" s="1"/>
  <c r="D16" i="87"/>
  <c r="D17" i="87"/>
  <c r="K17" i="87" s="1"/>
  <c r="M17" i="87" s="1"/>
  <c r="D18" i="87"/>
  <c r="K18" i="87" s="1"/>
  <c r="M18" i="87" s="1"/>
  <c r="D19" i="87"/>
  <c r="K19" i="87" s="1"/>
  <c r="M19" i="87" s="1"/>
  <c r="D20" i="87"/>
  <c r="D21" i="87"/>
  <c r="K21" i="87" s="1"/>
  <c r="M21" i="87" s="1"/>
  <c r="D22" i="87"/>
  <c r="K22" i="87" s="1"/>
  <c r="M22" i="87" s="1"/>
  <c r="K23" i="87"/>
  <c r="M23" i="87" s="1"/>
  <c r="D24" i="87"/>
  <c r="K24" i="87" s="1"/>
  <c r="M24" i="87" s="1"/>
  <c r="D8" i="87"/>
  <c r="K8" i="87" s="1"/>
  <c r="M8" i="87" s="1"/>
  <c r="D5" i="87"/>
  <c r="E5" i="87" s="1"/>
  <c r="K29" i="87"/>
  <c r="M29" i="87" s="1"/>
  <c r="K16" i="87"/>
  <c r="M16" i="87" s="1"/>
  <c r="K12" i="87"/>
  <c r="M12" i="87" s="1"/>
  <c r="E8" i="86" l="1"/>
  <c r="L16" i="85"/>
  <c r="L13" i="85"/>
  <c r="E8" i="85"/>
  <c r="D27" i="86" l="1"/>
  <c r="K27" i="86" s="1"/>
  <c r="M27" i="86" s="1"/>
  <c r="D28" i="86"/>
  <c r="D29" i="86"/>
  <c r="K29" i="86" s="1"/>
  <c r="M29" i="86" s="1"/>
  <c r="D26" i="86"/>
  <c r="K26" i="86" s="1"/>
  <c r="M26" i="86" s="1"/>
  <c r="D9" i="86"/>
  <c r="K9" i="86" s="1"/>
  <c r="M9" i="86" s="1"/>
  <c r="D10" i="86"/>
  <c r="K10" i="86" s="1"/>
  <c r="M10" i="86" s="1"/>
  <c r="D11" i="86"/>
  <c r="K11" i="86" s="1"/>
  <c r="M11" i="86" s="1"/>
  <c r="D12" i="86"/>
  <c r="K12" i="86" s="1"/>
  <c r="M12" i="86" s="1"/>
  <c r="D13" i="86"/>
  <c r="K13" i="86" s="1"/>
  <c r="M13" i="86" s="1"/>
  <c r="D14" i="86"/>
  <c r="K14" i="86" s="1"/>
  <c r="M14" i="86" s="1"/>
  <c r="D15" i="86"/>
  <c r="K15" i="86" s="1"/>
  <c r="M15" i="86" s="1"/>
  <c r="D16" i="86"/>
  <c r="D17" i="86"/>
  <c r="D18" i="86"/>
  <c r="K18" i="86" s="1"/>
  <c r="M18" i="86" s="1"/>
  <c r="D19" i="86"/>
  <c r="K19" i="86" s="1"/>
  <c r="M19" i="86" s="1"/>
  <c r="D20" i="86"/>
  <c r="D21" i="86"/>
  <c r="K21" i="86" s="1"/>
  <c r="M21" i="86" s="1"/>
  <c r="D22" i="86"/>
  <c r="K22" i="86" s="1"/>
  <c r="M22" i="86" s="1"/>
  <c r="D24" i="86"/>
  <c r="K24" i="86" s="1"/>
  <c r="M24" i="86" s="1"/>
  <c r="D8" i="86"/>
  <c r="K8" i="86" s="1"/>
  <c r="M8" i="86" s="1"/>
  <c r="D5" i="86"/>
  <c r="E5" i="86" s="1"/>
  <c r="K28" i="86"/>
  <c r="M28" i="86" s="1"/>
  <c r="K23" i="86"/>
  <c r="M23" i="86" s="1"/>
  <c r="K17" i="86"/>
  <c r="M17" i="86" s="1"/>
  <c r="K16" i="86"/>
  <c r="M16" i="86" s="1"/>
  <c r="L13" i="84" l="1"/>
  <c r="L12" i="83"/>
  <c r="L12" i="84"/>
  <c r="L10" i="84"/>
  <c r="L8" i="84"/>
  <c r="E8" i="84"/>
  <c r="D27" i="85" l="1"/>
  <c r="K27" i="85" s="1"/>
  <c r="M27" i="85" s="1"/>
  <c r="D28" i="85"/>
  <c r="D29" i="85"/>
  <c r="K29" i="85" s="1"/>
  <c r="M29" i="85" s="1"/>
  <c r="D26" i="85"/>
  <c r="K26" i="85" s="1"/>
  <c r="M26" i="85" s="1"/>
  <c r="D9" i="85"/>
  <c r="K9" i="85" s="1"/>
  <c r="M9" i="85" s="1"/>
  <c r="D10" i="85"/>
  <c r="K10" i="85" s="1"/>
  <c r="M10" i="85" s="1"/>
  <c r="D11" i="85"/>
  <c r="K11" i="85" s="1"/>
  <c r="M11" i="85" s="1"/>
  <c r="D12" i="85"/>
  <c r="K12" i="85" s="1"/>
  <c r="M12" i="85" s="1"/>
  <c r="D13" i="85"/>
  <c r="K13" i="85" s="1"/>
  <c r="M13" i="85" s="1"/>
  <c r="D14" i="85"/>
  <c r="K14" i="85" s="1"/>
  <c r="M14" i="85" s="1"/>
  <c r="D15" i="85"/>
  <c r="K15" i="85" s="1"/>
  <c r="M15" i="85" s="1"/>
  <c r="D16" i="85"/>
  <c r="K16" i="85" s="1"/>
  <c r="M16" i="85" s="1"/>
  <c r="D17" i="85"/>
  <c r="K17" i="85" s="1"/>
  <c r="M17" i="85" s="1"/>
  <c r="D18" i="85"/>
  <c r="K18" i="85" s="1"/>
  <c r="M18" i="85" s="1"/>
  <c r="D19" i="85"/>
  <c r="K19" i="85" s="1"/>
  <c r="M19" i="85" s="1"/>
  <c r="D20" i="85"/>
  <c r="D21" i="85"/>
  <c r="K21" i="85" s="1"/>
  <c r="M21" i="85" s="1"/>
  <c r="D22" i="85"/>
  <c r="K22" i="85" s="1"/>
  <c r="M22" i="85" s="1"/>
  <c r="D24" i="85"/>
  <c r="K24" i="85" s="1"/>
  <c r="M24" i="85" s="1"/>
  <c r="D8" i="85"/>
  <c r="K8" i="85" s="1"/>
  <c r="M8" i="85" s="1"/>
  <c r="D5" i="85"/>
  <c r="E5" i="85" s="1"/>
  <c r="K28" i="85"/>
  <c r="M28" i="85" s="1"/>
  <c r="K23" i="85"/>
  <c r="M23" i="85" s="1"/>
  <c r="E8" i="82" l="1"/>
  <c r="D13" i="84" l="1"/>
  <c r="K13" i="84" s="1"/>
  <c r="M13" i="84" s="1"/>
  <c r="L10" i="83"/>
  <c r="D10" i="84" s="1"/>
  <c r="K10" i="84" s="1"/>
  <c r="M10" i="84" s="1"/>
  <c r="E8" i="83"/>
  <c r="D27" i="84"/>
  <c r="D28" i="84"/>
  <c r="D29" i="84"/>
  <c r="K29" i="84" s="1"/>
  <c r="M29" i="84" s="1"/>
  <c r="D26" i="84"/>
  <c r="K26" i="84" s="1"/>
  <c r="M26" i="84" s="1"/>
  <c r="D9" i="84"/>
  <c r="K9" i="84" s="1"/>
  <c r="M9" i="84" s="1"/>
  <c r="D11" i="84"/>
  <c r="K11" i="84" s="1"/>
  <c r="M11" i="84" s="1"/>
  <c r="D12" i="84"/>
  <c r="K12" i="84" s="1"/>
  <c r="M12" i="84" s="1"/>
  <c r="D14" i="84"/>
  <c r="K14" i="84" s="1"/>
  <c r="M14" i="84" s="1"/>
  <c r="D15" i="84"/>
  <c r="K15" i="84" s="1"/>
  <c r="M15" i="84" s="1"/>
  <c r="D16" i="84"/>
  <c r="K16" i="84" s="1"/>
  <c r="M16" i="84" s="1"/>
  <c r="D17" i="84"/>
  <c r="K17" i="84" s="1"/>
  <c r="M17" i="84" s="1"/>
  <c r="D18" i="84"/>
  <c r="K18" i="84" s="1"/>
  <c r="M18" i="84" s="1"/>
  <c r="D19" i="84"/>
  <c r="K19" i="84" s="1"/>
  <c r="M19" i="84" s="1"/>
  <c r="D20" i="84"/>
  <c r="D21" i="84"/>
  <c r="K21" i="84" s="1"/>
  <c r="M21" i="84" s="1"/>
  <c r="D22" i="84"/>
  <c r="K22" i="84" s="1"/>
  <c r="M22" i="84" s="1"/>
  <c r="D24" i="84"/>
  <c r="K24" i="84" s="1"/>
  <c r="M24" i="84" s="1"/>
  <c r="D8" i="84"/>
  <c r="K8" i="84" s="1"/>
  <c r="M8" i="84" s="1"/>
  <c r="D5" i="84"/>
  <c r="E5" i="84" s="1"/>
  <c r="D27" i="83"/>
  <c r="K27" i="83" s="1"/>
  <c r="M27" i="83" s="1"/>
  <c r="D28" i="83"/>
  <c r="D29" i="83"/>
  <c r="K29" i="83" s="1"/>
  <c r="M29" i="83" s="1"/>
  <c r="D26" i="83"/>
  <c r="K26" i="83" s="1"/>
  <c r="M26" i="83" s="1"/>
  <c r="D9" i="83"/>
  <c r="K9" i="83" s="1"/>
  <c r="M9" i="83" s="1"/>
  <c r="D10" i="83"/>
  <c r="K10" i="83" s="1"/>
  <c r="D11" i="83"/>
  <c r="K11" i="83" s="1"/>
  <c r="M11" i="83" s="1"/>
  <c r="D12" i="83"/>
  <c r="K12" i="83" s="1"/>
  <c r="M12" i="83" s="1"/>
  <c r="D13" i="83"/>
  <c r="K13" i="83" s="1"/>
  <c r="M13" i="83" s="1"/>
  <c r="D14" i="83"/>
  <c r="K14" i="83" s="1"/>
  <c r="M14" i="83" s="1"/>
  <c r="D15" i="83"/>
  <c r="K15" i="83" s="1"/>
  <c r="M15" i="83" s="1"/>
  <c r="D16" i="83"/>
  <c r="K16" i="83" s="1"/>
  <c r="M16" i="83" s="1"/>
  <c r="D17" i="83"/>
  <c r="K17" i="83" s="1"/>
  <c r="M17" i="83" s="1"/>
  <c r="D18" i="83"/>
  <c r="K18" i="83" s="1"/>
  <c r="M18" i="83" s="1"/>
  <c r="D19" i="83"/>
  <c r="K19" i="83" s="1"/>
  <c r="M19" i="83" s="1"/>
  <c r="D20" i="83"/>
  <c r="D21" i="83"/>
  <c r="K21" i="83" s="1"/>
  <c r="M21" i="83" s="1"/>
  <c r="D22" i="83"/>
  <c r="K22" i="83" s="1"/>
  <c r="M22" i="83" s="1"/>
  <c r="D24" i="83"/>
  <c r="K24" i="83" s="1"/>
  <c r="M24" i="83" s="1"/>
  <c r="D8" i="83"/>
  <c r="D5" i="83"/>
  <c r="E5" i="83" s="1"/>
  <c r="K28" i="84"/>
  <c r="M28" i="84" s="1"/>
  <c r="K27" i="84"/>
  <c r="M27" i="84" s="1"/>
  <c r="K23" i="84"/>
  <c r="M23" i="84" s="1"/>
  <c r="K28" i="83"/>
  <c r="M28" i="83" s="1"/>
  <c r="K23" i="83"/>
  <c r="M23" i="83" s="1"/>
  <c r="M10" i="83" l="1"/>
  <c r="K8" i="83"/>
  <c r="M8" i="83" s="1"/>
  <c r="L10" i="81"/>
  <c r="D10" i="82" s="1"/>
  <c r="K10" i="82" s="1"/>
  <c r="M10" i="82" s="1"/>
  <c r="E8" i="81"/>
  <c r="D26" i="82"/>
  <c r="K26" i="82" s="1"/>
  <c r="M26" i="82" s="1"/>
  <c r="D9" i="82"/>
  <c r="D11" i="82"/>
  <c r="K11" i="82" s="1"/>
  <c r="M11" i="82" s="1"/>
  <c r="D12" i="82"/>
  <c r="K12" i="82" s="1"/>
  <c r="M12" i="82" s="1"/>
  <c r="D13" i="82"/>
  <c r="K13" i="82" s="1"/>
  <c r="M13" i="82" s="1"/>
  <c r="D14" i="82"/>
  <c r="K14" i="82" s="1"/>
  <c r="M14" i="82" s="1"/>
  <c r="D15" i="82"/>
  <c r="K15" i="82" s="1"/>
  <c r="M15" i="82" s="1"/>
  <c r="D16" i="82"/>
  <c r="K16" i="82" s="1"/>
  <c r="M16" i="82" s="1"/>
  <c r="D17" i="82"/>
  <c r="K17" i="82" s="1"/>
  <c r="M17" i="82" s="1"/>
  <c r="D18" i="82"/>
  <c r="K18" i="82" s="1"/>
  <c r="M18" i="82" s="1"/>
  <c r="D19" i="82"/>
  <c r="K19" i="82" s="1"/>
  <c r="M19" i="82" s="1"/>
  <c r="D20" i="82"/>
  <c r="D21" i="82"/>
  <c r="D22" i="82"/>
  <c r="D24" i="82"/>
  <c r="K24" i="82" s="1"/>
  <c r="M24" i="82" s="1"/>
  <c r="D8" i="82"/>
  <c r="D5" i="82"/>
  <c r="E5" i="82" s="1"/>
  <c r="K29" i="82"/>
  <c r="M29" i="82" s="1"/>
  <c r="K28" i="82"/>
  <c r="M28" i="82" s="1"/>
  <c r="K27" i="82"/>
  <c r="M27" i="82" s="1"/>
  <c r="K23" i="82"/>
  <c r="M23" i="82" s="1"/>
  <c r="K22" i="82"/>
  <c r="M22" i="82" s="1"/>
  <c r="K21" i="82"/>
  <c r="M21" i="82" s="1"/>
  <c r="K9" i="82"/>
  <c r="M9" i="82" s="1"/>
  <c r="K8" i="82" l="1"/>
  <c r="M8" i="82" s="1"/>
  <c r="E26" i="81"/>
  <c r="E28" i="80"/>
  <c r="D8" i="81"/>
  <c r="K8" i="81" s="1"/>
  <c r="M8" i="81" s="1"/>
  <c r="L13" i="80"/>
  <c r="D13" i="81" s="1"/>
  <c r="K13" i="81" s="1"/>
  <c r="M13" i="81" s="1"/>
  <c r="D27" i="81"/>
  <c r="K27" i="81" s="1"/>
  <c r="M27" i="81" s="1"/>
  <c r="D28" i="81"/>
  <c r="K28" i="81" s="1"/>
  <c r="M28" i="81" s="1"/>
  <c r="D29" i="81"/>
  <c r="K29" i="81" s="1"/>
  <c r="M29" i="81" s="1"/>
  <c r="D26" i="81"/>
  <c r="D9" i="81"/>
  <c r="K9" i="81" s="1"/>
  <c r="M9" i="81" s="1"/>
  <c r="D10" i="81"/>
  <c r="K10" i="81" s="1"/>
  <c r="M10" i="81" s="1"/>
  <c r="D11" i="81"/>
  <c r="K11" i="81" s="1"/>
  <c r="M11" i="81" s="1"/>
  <c r="D12" i="81"/>
  <c r="K12" i="81" s="1"/>
  <c r="M12" i="81" s="1"/>
  <c r="D14" i="81"/>
  <c r="K14" i="81" s="1"/>
  <c r="M14" i="81" s="1"/>
  <c r="D15" i="81"/>
  <c r="K15" i="81" s="1"/>
  <c r="M15" i="81" s="1"/>
  <c r="D16" i="81"/>
  <c r="K16" i="81" s="1"/>
  <c r="M16" i="81" s="1"/>
  <c r="D17" i="81"/>
  <c r="K17" i="81" s="1"/>
  <c r="M17" i="81" s="1"/>
  <c r="D18" i="81"/>
  <c r="K18" i="81" s="1"/>
  <c r="M18" i="81" s="1"/>
  <c r="D19" i="81"/>
  <c r="K19" i="81" s="1"/>
  <c r="M19" i="81" s="1"/>
  <c r="D20" i="81"/>
  <c r="D21" i="81"/>
  <c r="K21" i="81" s="1"/>
  <c r="M21" i="81" s="1"/>
  <c r="D22" i="81"/>
  <c r="K22" i="81" s="1"/>
  <c r="M22" i="81" s="1"/>
  <c r="D24" i="81"/>
  <c r="K24" i="81" s="1"/>
  <c r="M24" i="81" s="1"/>
  <c r="D5" i="81"/>
  <c r="E5" i="81" s="1"/>
  <c r="K23" i="81"/>
  <c r="M23" i="81" s="1"/>
  <c r="K26" i="81" l="1"/>
  <c r="M26" i="81" s="1"/>
  <c r="E8" i="80"/>
  <c r="D27" i="80"/>
  <c r="D28" i="80"/>
  <c r="K28" i="80" s="1"/>
  <c r="M28" i="80" s="1"/>
  <c r="D29" i="80"/>
  <c r="D26" i="80"/>
  <c r="K26" i="80" s="1"/>
  <c r="M26" i="80" s="1"/>
  <c r="D9" i="80"/>
  <c r="K9" i="80" s="1"/>
  <c r="M9" i="80" s="1"/>
  <c r="D10" i="80"/>
  <c r="K10" i="80" s="1"/>
  <c r="M10" i="80" s="1"/>
  <c r="D11" i="80"/>
  <c r="K11" i="80" s="1"/>
  <c r="M11" i="80" s="1"/>
  <c r="D12" i="80"/>
  <c r="K12" i="80" s="1"/>
  <c r="M12" i="80" s="1"/>
  <c r="D13" i="80"/>
  <c r="K13" i="80" s="1"/>
  <c r="M13" i="80" s="1"/>
  <c r="D14" i="80"/>
  <c r="K14" i="80" s="1"/>
  <c r="M14" i="80" s="1"/>
  <c r="D15" i="80"/>
  <c r="D16" i="80"/>
  <c r="K16" i="80" s="1"/>
  <c r="M16" i="80" s="1"/>
  <c r="D17" i="80"/>
  <c r="K17" i="80" s="1"/>
  <c r="M17" i="80" s="1"/>
  <c r="D18" i="80"/>
  <c r="K18" i="80" s="1"/>
  <c r="M18" i="80" s="1"/>
  <c r="D19" i="80"/>
  <c r="K19" i="80" s="1"/>
  <c r="M19" i="80" s="1"/>
  <c r="D20" i="80"/>
  <c r="D21" i="80"/>
  <c r="D22" i="80"/>
  <c r="K22" i="80" s="1"/>
  <c r="M22" i="80" s="1"/>
  <c r="D29" i="79"/>
  <c r="D27" i="79"/>
  <c r="D28" i="79"/>
  <c r="D9" i="79"/>
  <c r="D10" i="79"/>
  <c r="D14" i="79"/>
  <c r="D15" i="79"/>
  <c r="D16" i="79"/>
  <c r="D17" i="79"/>
  <c r="D18" i="79"/>
  <c r="D19" i="79"/>
  <c r="D20" i="79"/>
  <c r="D21" i="79"/>
  <c r="D22" i="79"/>
  <c r="D24" i="79"/>
  <c r="D5" i="79"/>
  <c r="K15" i="80"/>
  <c r="M15" i="80" s="1"/>
  <c r="D24" i="80"/>
  <c r="K24" i="80" s="1"/>
  <c r="M24" i="80" s="1"/>
  <c r="D8" i="80"/>
  <c r="D5" i="80"/>
  <c r="E5" i="80" s="1"/>
  <c r="K29" i="80"/>
  <c r="M29" i="80" s="1"/>
  <c r="K27" i="80"/>
  <c r="M27" i="80" s="1"/>
  <c r="K23" i="80"/>
  <c r="M23" i="80" s="1"/>
  <c r="K21" i="80"/>
  <c r="M21" i="80" s="1"/>
  <c r="K8" i="80" l="1"/>
  <c r="M8" i="80" s="1"/>
  <c r="K27" i="79" l="1"/>
  <c r="M27" i="79" s="1"/>
  <c r="K29" i="79"/>
  <c r="M29" i="79" s="1"/>
  <c r="D26" i="79"/>
  <c r="K26" i="79" s="1"/>
  <c r="M26" i="79" s="1"/>
  <c r="K10" i="79"/>
  <c r="K22" i="79"/>
  <c r="M22" i="79" s="1"/>
  <c r="K24" i="79"/>
  <c r="M24" i="79" s="1"/>
  <c r="D8" i="79"/>
  <c r="K8" i="79" s="1"/>
  <c r="M8" i="79" s="1"/>
  <c r="K28" i="79"/>
  <c r="M28" i="79" s="1"/>
  <c r="K23" i="79"/>
  <c r="M23" i="79" s="1"/>
  <c r="K21" i="79"/>
  <c r="M21" i="79" s="1"/>
  <c r="K19" i="79"/>
  <c r="M19" i="79" s="1"/>
  <c r="K18" i="79"/>
  <c r="M18" i="79" s="1"/>
  <c r="K17" i="79"/>
  <c r="M17" i="79" s="1"/>
  <c r="K16" i="79"/>
  <c r="M16" i="79" s="1"/>
  <c r="K15" i="79"/>
  <c r="M15" i="79" s="1"/>
  <c r="K14" i="79"/>
  <c r="M14" i="79" s="1"/>
  <c r="K9" i="79"/>
  <c r="M9" i="79" s="1"/>
  <c r="E5" i="79"/>
  <c r="M10" i="79" l="1"/>
  <c r="K23" i="77"/>
  <c r="L13" i="77"/>
  <c r="D13" i="79" s="1"/>
  <c r="K13" i="79" s="1"/>
  <c r="M13" i="79" s="1"/>
  <c r="L12" i="77"/>
  <c r="D12" i="79" s="1"/>
  <c r="K12" i="79" s="1"/>
  <c r="M12" i="79" s="1"/>
  <c r="L11" i="77"/>
  <c r="D11" i="79" s="1"/>
  <c r="K11" i="79" s="1"/>
  <c r="M11" i="79" s="1"/>
  <c r="E12" i="77"/>
  <c r="E8" i="77"/>
  <c r="K23" i="75"/>
  <c r="L13" i="75"/>
  <c r="L12" i="75"/>
  <c r="L11" i="75"/>
  <c r="E8" i="70" l="1"/>
  <c r="K23" i="71"/>
  <c r="K23" i="69"/>
  <c r="K23" i="68"/>
  <c r="K24" i="68"/>
  <c r="K23" i="67"/>
  <c r="K24" i="67"/>
  <c r="K23" i="66"/>
  <c r="K23" i="65"/>
  <c r="K23" i="64"/>
  <c r="D24" i="64"/>
  <c r="K24" i="64" s="1"/>
  <c r="K23" i="70"/>
  <c r="D27" i="77" l="1"/>
  <c r="D28" i="77"/>
  <c r="D29" i="77"/>
  <c r="D26" i="77"/>
  <c r="K26" i="77" s="1"/>
  <c r="M26" i="77" s="1"/>
  <c r="D9" i="77"/>
  <c r="K9" i="77" s="1"/>
  <c r="M9" i="77" s="1"/>
  <c r="D10" i="77"/>
  <c r="K10" i="77" s="1"/>
  <c r="M10" i="77" s="1"/>
  <c r="D11" i="77"/>
  <c r="K11" i="77" s="1"/>
  <c r="M11" i="77" s="1"/>
  <c r="D12" i="77"/>
  <c r="K12" i="77" s="1"/>
  <c r="M12" i="77" s="1"/>
  <c r="D13" i="77"/>
  <c r="K13" i="77" s="1"/>
  <c r="M13" i="77" s="1"/>
  <c r="D14" i="77"/>
  <c r="K14" i="77" s="1"/>
  <c r="M14" i="77" s="1"/>
  <c r="D15" i="77"/>
  <c r="K15" i="77" s="1"/>
  <c r="M15" i="77" s="1"/>
  <c r="D16" i="77"/>
  <c r="K16" i="77" s="1"/>
  <c r="M16" i="77" s="1"/>
  <c r="D17" i="77"/>
  <c r="K17" i="77" s="1"/>
  <c r="M17" i="77" s="1"/>
  <c r="D18" i="77"/>
  <c r="D19" i="77"/>
  <c r="K19" i="77" s="1"/>
  <c r="M19" i="77" s="1"/>
  <c r="D20" i="77"/>
  <c r="D21" i="77"/>
  <c r="D22" i="77"/>
  <c r="K22" i="77" s="1"/>
  <c r="M22" i="77" s="1"/>
  <c r="D24" i="77"/>
  <c r="K24" i="77" s="1"/>
  <c r="D8" i="77"/>
  <c r="K8" i="77" s="1"/>
  <c r="K29" i="77"/>
  <c r="M29" i="77" s="1"/>
  <c r="K28" i="77"/>
  <c r="M28" i="77" s="1"/>
  <c r="K27" i="77"/>
  <c r="M27" i="77" s="1"/>
  <c r="M23" i="77"/>
  <c r="K21" i="77"/>
  <c r="M21" i="77" s="1"/>
  <c r="K18" i="77"/>
  <c r="M18" i="77" s="1"/>
  <c r="D5" i="77"/>
  <c r="E5" i="77" s="1"/>
  <c r="D27" i="75"/>
  <c r="D28" i="75"/>
  <c r="D29" i="75"/>
  <c r="D26" i="75"/>
  <c r="D9" i="75"/>
  <c r="D10" i="75"/>
  <c r="D11" i="75"/>
  <c r="D14" i="75"/>
  <c r="D15" i="75"/>
  <c r="D16" i="75"/>
  <c r="D17" i="75"/>
  <c r="D18" i="75"/>
  <c r="D19" i="75"/>
  <c r="D20" i="75"/>
  <c r="D21" i="75"/>
  <c r="D22" i="75"/>
  <c r="D24" i="75"/>
  <c r="K24" i="75" s="1"/>
  <c r="D8" i="75"/>
  <c r="M24" i="77" l="1"/>
  <c r="M8" i="77"/>
  <c r="L13" i="74"/>
  <c r="D13" i="75" s="1"/>
  <c r="K13" i="75" s="1"/>
  <c r="M13" i="75" s="1"/>
  <c r="L12" i="74"/>
  <c r="D12" i="75" s="1"/>
  <c r="K12" i="75" s="1"/>
  <c r="M12" i="75" s="1"/>
  <c r="E8" i="74"/>
  <c r="K26" i="75"/>
  <c r="M26" i="75" s="1"/>
  <c r="K9" i="75"/>
  <c r="M9" i="75" s="1"/>
  <c r="K10" i="75"/>
  <c r="M10" i="75" s="1"/>
  <c r="K14" i="75"/>
  <c r="M14" i="75" s="1"/>
  <c r="K16" i="75"/>
  <c r="M16" i="75" s="1"/>
  <c r="K17" i="75"/>
  <c r="M17" i="75" s="1"/>
  <c r="K18" i="75"/>
  <c r="M18" i="75" s="1"/>
  <c r="K8" i="75"/>
  <c r="D5" i="75"/>
  <c r="E5" i="75" s="1"/>
  <c r="K29" i="75"/>
  <c r="M29" i="75" s="1"/>
  <c r="K28" i="75"/>
  <c r="M28" i="75" s="1"/>
  <c r="K27" i="75"/>
  <c r="M27" i="75" s="1"/>
  <c r="M23" i="75"/>
  <c r="K22" i="75"/>
  <c r="M22" i="75" s="1"/>
  <c r="K21" i="75"/>
  <c r="M21" i="75" s="1"/>
  <c r="K19" i="75"/>
  <c r="M19" i="75" s="1"/>
  <c r="K15" i="75"/>
  <c r="M15" i="75" s="1"/>
  <c r="K11" i="75"/>
  <c r="M11" i="75" s="1"/>
  <c r="D5" i="74"/>
  <c r="E5" i="74" s="1"/>
  <c r="D27" i="74"/>
  <c r="K27" i="74" s="1"/>
  <c r="M27" i="74" s="1"/>
  <c r="D28" i="74"/>
  <c r="K28" i="74" s="1"/>
  <c r="M28" i="74" s="1"/>
  <c r="D29" i="74"/>
  <c r="K29" i="74" s="1"/>
  <c r="M29" i="74" s="1"/>
  <c r="D26" i="74"/>
  <c r="K26" i="74" s="1"/>
  <c r="M26" i="74" s="1"/>
  <c r="D9" i="74"/>
  <c r="K9" i="74" s="1"/>
  <c r="M9" i="74" s="1"/>
  <c r="D10" i="74"/>
  <c r="K10" i="74" s="1"/>
  <c r="M10" i="74" s="1"/>
  <c r="D11" i="74"/>
  <c r="K11" i="74" s="1"/>
  <c r="M11" i="74" s="1"/>
  <c r="D12" i="74"/>
  <c r="K12" i="74" s="1"/>
  <c r="M12" i="74" s="1"/>
  <c r="D13" i="74"/>
  <c r="K13" i="74" s="1"/>
  <c r="M13" i="74" s="1"/>
  <c r="D14" i="74"/>
  <c r="K14" i="74" s="1"/>
  <c r="M14" i="74" s="1"/>
  <c r="D15" i="74"/>
  <c r="K15" i="74" s="1"/>
  <c r="M15" i="74" s="1"/>
  <c r="D16" i="74"/>
  <c r="D17" i="74"/>
  <c r="K17" i="74" s="1"/>
  <c r="M17" i="74" s="1"/>
  <c r="D18" i="74"/>
  <c r="K18" i="74" s="1"/>
  <c r="M18" i="74" s="1"/>
  <c r="D19" i="74"/>
  <c r="K19" i="74" s="1"/>
  <c r="M19" i="74" s="1"/>
  <c r="D20" i="74"/>
  <c r="D21" i="74"/>
  <c r="K21" i="74" s="1"/>
  <c r="M21" i="74" s="1"/>
  <c r="D22" i="74"/>
  <c r="K22" i="74" s="1"/>
  <c r="M22" i="74" s="1"/>
  <c r="D23" i="74"/>
  <c r="D24" i="74"/>
  <c r="D8" i="74"/>
  <c r="K8" i="74" s="1"/>
  <c r="D5" i="73"/>
  <c r="M23" i="74"/>
  <c r="K16" i="74"/>
  <c r="M16" i="74" s="1"/>
  <c r="L11" i="71"/>
  <c r="D10" i="73"/>
  <c r="D27" i="73"/>
  <c r="D28" i="73"/>
  <c r="D29" i="73"/>
  <c r="D26" i="73"/>
  <c r="D8" i="73"/>
  <c r="D9" i="73"/>
  <c r="D11" i="73"/>
  <c r="D12" i="73"/>
  <c r="D13" i="73"/>
  <c r="D14" i="73"/>
  <c r="D15" i="73"/>
  <c r="D16" i="73"/>
  <c r="D17" i="73"/>
  <c r="D18" i="73"/>
  <c r="D19" i="73"/>
  <c r="D20" i="73"/>
  <c r="D21" i="73"/>
  <c r="D22" i="73"/>
  <c r="D23" i="73"/>
  <c r="K23" i="73" s="1"/>
  <c r="D24" i="73"/>
  <c r="K24" i="73" s="1"/>
  <c r="M24" i="75" l="1"/>
  <c r="M8" i="75"/>
  <c r="K24" i="74"/>
  <c r="M24" i="74" s="1"/>
  <c r="M8" i="74"/>
  <c r="K11" i="73"/>
  <c r="M11" i="73" s="1"/>
  <c r="K13" i="73"/>
  <c r="M13" i="73" s="1"/>
  <c r="K15" i="73"/>
  <c r="M15" i="73" s="1"/>
  <c r="K17" i="73"/>
  <c r="M17" i="73" s="1"/>
  <c r="K19" i="73"/>
  <c r="M19" i="73" s="1"/>
  <c r="K21" i="73"/>
  <c r="M21" i="73" s="1"/>
  <c r="K8" i="73"/>
  <c r="K29" i="73"/>
  <c r="M29" i="73" s="1"/>
  <c r="K28" i="73"/>
  <c r="M28" i="73" s="1"/>
  <c r="K27" i="73"/>
  <c r="M27" i="73" s="1"/>
  <c r="K26" i="73"/>
  <c r="M26" i="73" s="1"/>
  <c r="M23" i="73"/>
  <c r="K22" i="73"/>
  <c r="M22" i="73" s="1"/>
  <c r="K18" i="73"/>
  <c r="M18" i="73" s="1"/>
  <c r="K16" i="73"/>
  <c r="M16" i="73" s="1"/>
  <c r="K14" i="73"/>
  <c r="M14" i="73" s="1"/>
  <c r="K12" i="73"/>
  <c r="M12" i="73" s="1"/>
  <c r="K10" i="73"/>
  <c r="M10" i="73" s="1"/>
  <c r="K9" i="73"/>
  <c r="M9" i="73" s="1"/>
  <c r="E5" i="73"/>
  <c r="M8" i="73" l="1"/>
  <c r="M24" i="73"/>
  <c r="D27" i="71"/>
  <c r="K27" i="71" s="1"/>
  <c r="M27" i="71" s="1"/>
  <c r="D28" i="71"/>
  <c r="K28" i="71" s="1"/>
  <c r="M28" i="71" s="1"/>
  <c r="D29" i="71"/>
  <c r="K29" i="71" s="1"/>
  <c r="M29" i="71" s="1"/>
  <c r="D26" i="71"/>
  <c r="K26" i="71" s="1"/>
  <c r="M26" i="71" s="1"/>
  <c r="L12" i="70"/>
  <c r="L11" i="70"/>
  <c r="D24" i="65"/>
  <c r="K24" i="65" s="1"/>
  <c r="D24" i="66"/>
  <c r="K24" i="66" s="1"/>
  <c r="D24" i="69"/>
  <c r="K24" i="69" s="1"/>
  <c r="D24" i="70"/>
  <c r="K24" i="70" s="1"/>
  <c r="D24" i="71"/>
  <c r="K24" i="71" s="1"/>
  <c r="D9" i="71"/>
  <c r="K9" i="71" s="1"/>
  <c r="M9" i="71" s="1"/>
  <c r="D10" i="71"/>
  <c r="K10" i="71" s="1"/>
  <c r="M10" i="71" s="1"/>
  <c r="D11" i="71"/>
  <c r="K11" i="71" s="1"/>
  <c r="M11" i="71" s="1"/>
  <c r="D12" i="71"/>
  <c r="K12" i="71" s="1"/>
  <c r="M12" i="71" s="1"/>
  <c r="D13" i="71"/>
  <c r="K13" i="71" s="1"/>
  <c r="M13" i="71" s="1"/>
  <c r="D14" i="71"/>
  <c r="K14" i="71" s="1"/>
  <c r="M14" i="71" s="1"/>
  <c r="D15" i="71"/>
  <c r="K15" i="71" s="1"/>
  <c r="M15" i="71" s="1"/>
  <c r="D16" i="71"/>
  <c r="K16" i="71" s="1"/>
  <c r="M16" i="71" s="1"/>
  <c r="D17" i="71"/>
  <c r="K17" i="71" s="1"/>
  <c r="M17" i="71" s="1"/>
  <c r="D18" i="71"/>
  <c r="K18" i="71" s="1"/>
  <c r="M18" i="71" s="1"/>
  <c r="D19" i="71"/>
  <c r="K19" i="71" s="1"/>
  <c r="M19" i="71" s="1"/>
  <c r="D20" i="71"/>
  <c r="D21" i="71"/>
  <c r="K21" i="71" s="1"/>
  <c r="M21" i="71" s="1"/>
  <c r="D22" i="71"/>
  <c r="K22" i="71" s="1"/>
  <c r="M22" i="71" s="1"/>
  <c r="D8" i="71"/>
  <c r="K8" i="71" s="1"/>
  <c r="D5" i="71"/>
  <c r="E5" i="71" s="1"/>
  <c r="M23" i="71"/>
  <c r="M24" i="71" l="1"/>
  <c r="M8" i="71"/>
  <c r="L12" i="69"/>
  <c r="L9" i="69"/>
  <c r="D9" i="70" s="1"/>
  <c r="K9" i="70" s="1"/>
  <c r="M9" i="70" s="1"/>
  <c r="D27" i="70"/>
  <c r="K27" i="70" s="1"/>
  <c r="M27" i="70" s="1"/>
  <c r="D28" i="70"/>
  <c r="D29" i="70"/>
  <c r="K29" i="70" s="1"/>
  <c r="M29" i="70" s="1"/>
  <c r="D26" i="70"/>
  <c r="K26" i="70" s="1"/>
  <c r="M26" i="70" s="1"/>
  <c r="D10" i="70"/>
  <c r="K10" i="70" s="1"/>
  <c r="M10" i="70" s="1"/>
  <c r="D11" i="70"/>
  <c r="K11" i="70" s="1"/>
  <c r="M11" i="70" s="1"/>
  <c r="D12" i="70"/>
  <c r="K12" i="70" s="1"/>
  <c r="M12" i="70" s="1"/>
  <c r="D13" i="70"/>
  <c r="K13" i="70" s="1"/>
  <c r="M13" i="70" s="1"/>
  <c r="D14" i="70"/>
  <c r="K14" i="70" s="1"/>
  <c r="M14" i="70" s="1"/>
  <c r="D15" i="70"/>
  <c r="K15" i="70" s="1"/>
  <c r="M15" i="70" s="1"/>
  <c r="D16" i="70"/>
  <c r="K16" i="70" s="1"/>
  <c r="M16" i="70" s="1"/>
  <c r="D17" i="70"/>
  <c r="K17" i="70" s="1"/>
  <c r="M17" i="70" s="1"/>
  <c r="D18" i="70"/>
  <c r="K18" i="70" s="1"/>
  <c r="M18" i="70" s="1"/>
  <c r="D19" i="70"/>
  <c r="K19" i="70" s="1"/>
  <c r="M19" i="70" s="1"/>
  <c r="D20" i="70"/>
  <c r="D21" i="70"/>
  <c r="K21" i="70" s="1"/>
  <c r="M21" i="70" s="1"/>
  <c r="D22" i="70"/>
  <c r="K22" i="70" s="1"/>
  <c r="M22" i="70" s="1"/>
  <c r="D8" i="70"/>
  <c r="K8" i="70" s="1"/>
  <c r="D5" i="70"/>
  <c r="E5" i="70" s="1"/>
  <c r="K28" i="70"/>
  <c r="M28" i="70" s="1"/>
  <c r="M23" i="70"/>
  <c r="M24" i="70" l="1"/>
  <c r="M8" i="70"/>
  <c r="E9" i="69"/>
  <c r="E8" i="69"/>
  <c r="D27" i="69"/>
  <c r="K27" i="69" s="1"/>
  <c r="M27" i="69" s="1"/>
  <c r="D28" i="69"/>
  <c r="K28" i="69" s="1"/>
  <c r="M28" i="69" s="1"/>
  <c r="D29" i="69"/>
  <c r="K29" i="69" s="1"/>
  <c r="M29" i="69" s="1"/>
  <c r="D26" i="69"/>
  <c r="K26" i="69" s="1"/>
  <c r="M26" i="69" s="1"/>
  <c r="D9" i="69"/>
  <c r="K9" i="69" s="1"/>
  <c r="M9" i="69" s="1"/>
  <c r="D10" i="69"/>
  <c r="K10" i="69" s="1"/>
  <c r="D11" i="69"/>
  <c r="K11" i="69" s="1"/>
  <c r="D13" i="69"/>
  <c r="K13" i="69" s="1"/>
  <c r="D14" i="69"/>
  <c r="K14" i="69" s="1"/>
  <c r="M14" i="69" s="1"/>
  <c r="D15" i="69"/>
  <c r="K15" i="69" s="1"/>
  <c r="M15" i="69" s="1"/>
  <c r="D16" i="69"/>
  <c r="K16" i="69" s="1"/>
  <c r="M16" i="69" s="1"/>
  <c r="D17" i="69"/>
  <c r="K17" i="69" s="1"/>
  <c r="M17" i="69" s="1"/>
  <c r="D18" i="69"/>
  <c r="K18" i="69" s="1"/>
  <c r="M18" i="69" s="1"/>
  <c r="D19" i="69"/>
  <c r="K19" i="69" s="1"/>
  <c r="M19" i="69" s="1"/>
  <c r="D20" i="69"/>
  <c r="D21" i="69"/>
  <c r="K21" i="69" s="1"/>
  <c r="M21" i="69" s="1"/>
  <c r="D22" i="69"/>
  <c r="K22" i="69" s="1"/>
  <c r="M22" i="69" s="1"/>
  <c r="D8" i="69"/>
  <c r="D5" i="69"/>
  <c r="E5" i="69" s="1"/>
  <c r="M23" i="69"/>
  <c r="L12" i="68"/>
  <c r="D12" i="69" s="1"/>
  <c r="K12" i="69" s="1"/>
  <c r="E9" i="67"/>
  <c r="E8" i="68"/>
  <c r="D27" i="68"/>
  <c r="K27" i="68" s="1"/>
  <c r="M27" i="68" s="1"/>
  <c r="D28" i="68"/>
  <c r="K28" i="68" s="1"/>
  <c r="M28" i="68" s="1"/>
  <c r="D29" i="68"/>
  <c r="K29" i="68" s="1"/>
  <c r="M29" i="68" s="1"/>
  <c r="D26" i="68"/>
  <c r="K26" i="68" s="1"/>
  <c r="M26" i="68" s="1"/>
  <c r="D9" i="68"/>
  <c r="K9" i="68" s="1"/>
  <c r="M9" i="68" s="1"/>
  <c r="D10" i="68"/>
  <c r="K10" i="68" s="1"/>
  <c r="D12" i="68"/>
  <c r="K12" i="68" s="1"/>
  <c r="D13" i="68"/>
  <c r="K13" i="68" s="1"/>
  <c r="M13" i="68" s="1"/>
  <c r="D14" i="68"/>
  <c r="K14" i="68" s="1"/>
  <c r="M14" i="68" s="1"/>
  <c r="D15" i="68"/>
  <c r="K15" i="68" s="1"/>
  <c r="M15" i="68" s="1"/>
  <c r="D16" i="68"/>
  <c r="K16" i="68" s="1"/>
  <c r="M16" i="68" s="1"/>
  <c r="D17" i="68"/>
  <c r="K17" i="68" s="1"/>
  <c r="M17" i="68" s="1"/>
  <c r="D18" i="68"/>
  <c r="K18" i="68" s="1"/>
  <c r="M18" i="68" s="1"/>
  <c r="D19" i="68"/>
  <c r="K19" i="68" s="1"/>
  <c r="M19" i="68" s="1"/>
  <c r="D20" i="68"/>
  <c r="D21" i="68"/>
  <c r="K21" i="68" s="1"/>
  <c r="M21" i="68" s="1"/>
  <c r="D22" i="68"/>
  <c r="K22" i="68" s="1"/>
  <c r="M22" i="68" s="1"/>
  <c r="D8" i="68"/>
  <c r="D5" i="68"/>
  <c r="E5" i="68" s="1"/>
  <c r="L11" i="67"/>
  <c r="D11" i="68" s="1"/>
  <c r="K11" i="68" s="1"/>
  <c r="M23" i="68"/>
  <c r="D27" i="67"/>
  <c r="D28" i="67"/>
  <c r="D29" i="67"/>
  <c r="D26" i="67"/>
  <c r="K26" i="67" s="1"/>
  <c r="M26" i="67" s="1"/>
  <c r="D9" i="67"/>
  <c r="D10" i="67"/>
  <c r="K10" i="67" s="1"/>
  <c r="D11" i="67"/>
  <c r="K11" i="67" s="1"/>
  <c r="D12" i="67"/>
  <c r="K12" i="67" s="1"/>
  <c r="M12" i="67" s="1"/>
  <c r="D13" i="67"/>
  <c r="K13" i="67" s="1"/>
  <c r="M13" i="67" s="1"/>
  <c r="D14" i="67"/>
  <c r="K14" i="67" s="1"/>
  <c r="M14" i="67" s="1"/>
  <c r="D15" i="67"/>
  <c r="K15" i="67" s="1"/>
  <c r="M15" i="67" s="1"/>
  <c r="D16" i="67"/>
  <c r="K16" i="67" s="1"/>
  <c r="M16" i="67" s="1"/>
  <c r="D17" i="67"/>
  <c r="K17" i="67" s="1"/>
  <c r="M17" i="67" s="1"/>
  <c r="D18" i="67"/>
  <c r="K18" i="67" s="1"/>
  <c r="M18" i="67" s="1"/>
  <c r="D19" i="67"/>
  <c r="K19" i="67" s="1"/>
  <c r="M19" i="67" s="1"/>
  <c r="D20" i="67"/>
  <c r="D21" i="67"/>
  <c r="K21" i="67" s="1"/>
  <c r="M21" i="67" s="1"/>
  <c r="D22" i="67"/>
  <c r="K22" i="67" s="1"/>
  <c r="M22" i="67" s="1"/>
  <c r="D8" i="67"/>
  <c r="K8" i="67" s="1"/>
  <c r="D5" i="67"/>
  <c r="E5" i="67" s="1"/>
  <c r="K29" i="67"/>
  <c r="M29" i="67" s="1"/>
  <c r="K28" i="67"/>
  <c r="M28" i="67" s="1"/>
  <c r="K27" i="67"/>
  <c r="M27" i="67" s="1"/>
  <c r="M23" i="67"/>
  <c r="D27" i="66"/>
  <c r="K27" i="66" s="1"/>
  <c r="M27" i="66" s="1"/>
  <c r="D28" i="66"/>
  <c r="D29" i="66"/>
  <c r="K29" i="66" s="1"/>
  <c r="M29" i="66" s="1"/>
  <c r="D26" i="66"/>
  <c r="K26" i="66" s="1"/>
  <c r="M26" i="66" s="1"/>
  <c r="D8" i="66"/>
  <c r="K8" i="66" s="1"/>
  <c r="D9" i="66"/>
  <c r="K9" i="66" s="1"/>
  <c r="M9" i="66" s="1"/>
  <c r="D10" i="66"/>
  <c r="K10" i="66" s="1"/>
  <c r="M10" i="66" s="1"/>
  <c r="D11" i="66"/>
  <c r="K11" i="66" s="1"/>
  <c r="M11" i="66" s="1"/>
  <c r="D12" i="66"/>
  <c r="K12" i="66" s="1"/>
  <c r="M12" i="66" s="1"/>
  <c r="D13" i="66"/>
  <c r="K13" i="66" s="1"/>
  <c r="M13" i="66" s="1"/>
  <c r="D14" i="66"/>
  <c r="K14" i="66" s="1"/>
  <c r="M14" i="66" s="1"/>
  <c r="D15" i="66"/>
  <c r="K15" i="66" s="1"/>
  <c r="M15" i="66" s="1"/>
  <c r="D16" i="66"/>
  <c r="K16" i="66" s="1"/>
  <c r="M16" i="66" s="1"/>
  <c r="D17" i="66"/>
  <c r="K17" i="66" s="1"/>
  <c r="M17" i="66" s="1"/>
  <c r="D18" i="66"/>
  <c r="K18" i="66" s="1"/>
  <c r="M18" i="66" s="1"/>
  <c r="D19" i="66"/>
  <c r="K19" i="66" s="1"/>
  <c r="M19" i="66" s="1"/>
  <c r="D20" i="66"/>
  <c r="D21" i="66"/>
  <c r="K21" i="66" s="1"/>
  <c r="M21" i="66" s="1"/>
  <c r="D22" i="66"/>
  <c r="K22" i="66" s="1"/>
  <c r="M22" i="66" s="1"/>
  <c r="D5" i="66"/>
  <c r="E5" i="66" s="1"/>
  <c r="E12" i="65"/>
  <c r="E8" i="65"/>
  <c r="D27" i="65"/>
  <c r="K27" i="65" s="1"/>
  <c r="M27" i="65" s="1"/>
  <c r="D28" i="65"/>
  <c r="K28" i="65" s="1"/>
  <c r="M28" i="65" s="1"/>
  <c r="D29" i="65"/>
  <c r="K29" i="65" s="1"/>
  <c r="M29" i="65" s="1"/>
  <c r="K28" i="66"/>
  <c r="M28" i="66" s="1"/>
  <c r="M23" i="66"/>
  <c r="D26" i="65"/>
  <c r="K26" i="65" s="1"/>
  <c r="M26" i="65" s="1"/>
  <c r="D9" i="65"/>
  <c r="K9" i="65" s="1"/>
  <c r="M9" i="65" s="1"/>
  <c r="D11" i="65"/>
  <c r="K11" i="65" s="1"/>
  <c r="M11" i="65" s="1"/>
  <c r="D14" i="65"/>
  <c r="K14" i="65" s="1"/>
  <c r="M14" i="65" s="1"/>
  <c r="D15" i="65"/>
  <c r="K15" i="65" s="1"/>
  <c r="M15" i="65" s="1"/>
  <c r="D16" i="65"/>
  <c r="K16" i="65" s="1"/>
  <c r="M16" i="65" s="1"/>
  <c r="D17" i="65"/>
  <c r="K17" i="65" s="1"/>
  <c r="M17" i="65" s="1"/>
  <c r="D18" i="65"/>
  <c r="K18" i="65" s="1"/>
  <c r="M18" i="65" s="1"/>
  <c r="D19" i="65"/>
  <c r="K19" i="65" s="1"/>
  <c r="M19" i="65" s="1"/>
  <c r="D20" i="65"/>
  <c r="D21" i="65"/>
  <c r="K21" i="65" s="1"/>
  <c r="M21" i="65" s="1"/>
  <c r="D22" i="65"/>
  <c r="K22" i="65" s="1"/>
  <c r="M22" i="65" s="1"/>
  <c r="D5" i="65"/>
  <c r="E5" i="65" s="1"/>
  <c r="M23" i="65"/>
  <c r="L13" i="64"/>
  <c r="D13" i="65" s="1"/>
  <c r="K13" i="65" s="1"/>
  <c r="M13" i="65" s="1"/>
  <c r="L12" i="64"/>
  <c r="D12" i="65" s="1"/>
  <c r="K12" i="65" s="1"/>
  <c r="M12" i="65" s="1"/>
  <c r="K8" i="69" l="1"/>
  <c r="M11" i="67"/>
  <c r="M12" i="68"/>
  <c r="M24" i="69"/>
  <c r="M8" i="69"/>
  <c r="M10" i="69"/>
  <c r="M11" i="69"/>
  <c r="M12" i="69"/>
  <c r="M13" i="69"/>
  <c r="M11" i="68"/>
  <c r="M10" i="68"/>
  <c r="K8" i="68"/>
  <c r="M8" i="68" s="1"/>
  <c r="M10" i="67"/>
  <c r="M8" i="67"/>
  <c r="K9" i="67"/>
  <c r="M9" i="67" s="1"/>
  <c r="M24" i="68"/>
  <c r="M8" i="66"/>
  <c r="M24" i="66"/>
  <c r="M24" i="65"/>
  <c r="L10" i="64"/>
  <c r="D10" i="65" s="1"/>
  <c r="K10" i="65" s="1"/>
  <c r="M10" i="65" s="1"/>
  <c r="L8" i="64"/>
  <c r="D8" i="65" s="1"/>
  <c r="K8" i="65" s="1"/>
  <c r="M8" i="65" s="1"/>
  <c r="E8" i="64"/>
  <c r="D27" i="64"/>
  <c r="K27" i="64" s="1"/>
  <c r="M27" i="64" s="1"/>
  <c r="D28" i="64"/>
  <c r="K28" i="64" s="1"/>
  <c r="M28" i="64" s="1"/>
  <c r="D29" i="64"/>
  <c r="K29" i="64" s="1"/>
  <c r="M29" i="64" s="1"/>
  <c r="D26" i="64"/>
  <c r="K26" i="64" s="1"/>
  <c r="M26" i="64" s="1"/>
  <c r="D9" i="64"/>
  <c r="K9" i="64" s="1"/>
  <c r="M9" i="64" s="1"/>
  <c r="D10" i="64"/>
  <c r="K10" i="64" s="1"/>
  <c r="D11" i="64"/>
  <c r="K11" i="64" s="1"/>
  <c r="M11" i="64" s="1"/>
  <c r="D14" i="64"/>
  <c r="K14" i="64" s="1"/>
  <c r="M14" i="64" s="1"/>
  <c r="D15" i="64"/>
  <c r="K15" i="64" s="1"/>
  <c r="M15" i="64" s="1"/>
  <c r="D16" i="64"/>
  <c r="K16" i="64" s="1"/>
  <c r="M16" i="64" s="1"/>
  <c r="D17" i="64"/>
  <c r="K17" i="64" s="1"/>
  <c r="M17" i="64" s="1"/>
  <c r="D18" i="64"/>
  <c r="K18" i="64" s="1"/>
  <c r="M18" i="64" s="1"/>
  <c r="D19" i="64"/>
  <c r="K19" i="64" s="1"/>
  <c r="M19" i="64" s="1"/>
  <c r="D20" i="64"/>
  <c r="D21" i="64"/>
  <c r="K21" i="64" s="1"/>
  <c r="M21" i="64" s="1"/>
  <c r="D22" i="64"/>
  <c r="K22" i="64" s="1"/>
  <c r="M22" i="64" s="1"/>
  <c r="D5" i="64"/>
  <c r="E5" i="64" s="1"/>
  <c r="M23" i="64"/>
  <c r="M24" i="67" l="1"/>
  <c r="M10" i="64"/>
  <c r="D27" i="62"/>
  <c r="D28" i="62"/>
  <c r="D29" i="62"/>
  <c r="D26" i="62"/>
  <c r="L13" i="62"/>
  <c r="D13" i="64" s="1"/>
  <c r="K13" i="64" s="1"/>
  <c r="M13" i="64" s="1"/>
  <c r="L12" i="62"/>
  <c r="D12" i="64" s="1"/>
  <c r="K12" i="64" s="1"/>
  <c r="M12" i="64" s="1"/>
  <c r="L8" i="62"/>
  <c r="D8" i="64" s="1"/>
  <c r="K8" i="64" s="1"/>
  <c r="M24" i="64" s="1"/>
  <c r="M8" i="64" l="1"/>
  <c r="E8" i="52"/>
  <c r="D9" i="62" l="1"/>
  <c r="D10" i="62"/>
  <c r="D11" i="62"/>
  <c r="D12" i="62"/>
  <c r="D13" i="62"/>
  <c r="D14" i="62"/>
  <c r="D15" i="62"/>
  <c r="D16" i="62"/>
  <c r="D17" i="62"/>
  <c r="D18" i="62"/>
  <c r="D19" i="62"/>
  <c r="D20" i="62"/>
  <c r="D21" i="62"/>
  <c r="D22" i="62"/>
  <c r="D8" i="62"/>
  <c r="D5" i="62"/>
  <c r="K29" i="62" l="1"/>
  <c r="M29" i="62" s="1"/>
  <c r="K28" i="62"/>
  <c r="M28" i="62" s="1"/>
  <c r="K27" i="62"/>
  <c r="M27" i="62" s="1"/>
  <c r="K26" i="62"/>
  <c r="M26" i="62" s="1"/>
  <c r="M23" i="62"/>
  <c r="K22" i="62"/>
  <c r="M22" i="62" s="1"/>
  <c r="K21" i="62"/>
  <c r="M21" i="62" s="1"/>
  <c r="K19" i="62"/>
  <c r="M19" i="62" s="1"/>
  <c r="K18" i="62"/>
  <c r="M18" i="62" s="1"/>
  <c r="K17" i="62"/>
  <c r="M17" i="62" s="1"/>
  <c r="K16" i="62"/>
  <c r="M16" i="62" s="1"/>
  <c r="K15" i="62"/>
  <c r="M15" i="62" s="1"/>
  <c r="K14" i="62"/>
  <c r="M14" i="62" s="1"/>
  <c r="K13" i="62"/>
  <c r="M13" i="62" s="1"/>
  <c r="K12" i="62"/>
  <c r="M12" i="62" s="1"/>
  <c r="K11" i="62"/>
  <c r="M11" i="62" s="1"/>
  <c r="K10" i="62"/>
  <c r="M10" i="62" s="1"/>
  <c r="K9" i="62"/>
  <c r="M9" i="62" s="1"/>
  <c r="E24" i="62"/>
  <c r="K8" i="62"/>
  <c r="E5" i="62"/>
  <c r="K24" i="62" l="1"/>
  <c r="M24" i="62" s="1"/>
  <c r="M8" i="62"/>
  <c r="E8" i="61"/>
  <c r="L13" i="60"/>
  <c r="L12" i="60"/>
  <c r="D12" i="61" s="1"/>
  <c r="K12" i="61" s="1"/>
  <c r="M12" i="61" s="1"/>
  <c r="D10" i="61"/>
  <c r="K10" i="61" s="1"/>
  <c r="M10" i="61" s="1"/>
  <c r="L8" i="60"/>
  <c r="D8" i="61" s="1"/>
  <c r="K8" i="61" s="1"/>
  <c r="E12" i="60"/>
  <c r="E8" i="60"/>
  <c r="D27" i="61"/>
  <c r="K27" i="61" s="1"/>
  <c r="M27" i="61" s="1"/>
  <c r="D28" i="61"/>
  <c r="K28" i="61" s="1"/>
  <c r="M28" i="61" s="1"/>
  <c r="D29" i="61"/>
  <c r="K29" i="61" s="1"/>
  <c r="M29" i="61" s="1"/>
  <c r="D26" i="61"/>
  <c r="K26" i="61" s="1"/>
  <c r="M26" i="61" s="1"/>
  <c r="D9" i="61"/>
  <c r="K9" i="61" s="1"/>
  <c r="M9" i="61" s="1"/>
  <c r="D11" i="61"/>
  <c r="K11" i="61" s="1"/>
  <c r="M11" i="61" s="1"/>
  <c r="D13" i="61"/>
  <c r="K13" i="61" s="1"/>
  <c r="M13" i="61" s="1"/>
  <c r="D14" i="61"/>
  <c r="K14" i="61" s="1"/>
  <c r="M14" i="61" s="1"/>
  <c r="D15" i="61"/>
  <c r="K15" i="61" s="1"/>
  <c r="M15" i="61" s="1"/>
  <c r="D16" i="61"/>
  <c r="K16" i="61" s="1"/>
  <c r="M16" i="61" s="1"/>
  <c r="D17" i="61"/>
  <c r="K17" i="61" s="1"/>
  <c r="M17" i="61" s="1"/>
  <c r="D18" i="61"/>
  <c r="K18" i="61" s="1"/>
  <c r="M18" i="61" s="1"/>
  <c r="D19" i="61"/>
  <c r="K19" i="61" s="1"/>
  <c r="M19" i="61" s="1"/>
  <c r="D20" i="61"/>
  <c r="D21" i="61"/>
  <c r="K21" i="61" s="1"/>
  <c r="M21" i="61" s="1"/>
  <c r="D22" i="61"/>
  <c r="K22" i="61" s="1"/>
  <c r="M22" i="61" s="1"/>
  <c r="D5" i="61"/>
  <c r="E5" i="61" s="1"/>
  <c r="E24" i="61"/>
  <c r="M23" i="61"/>
  <c r="K24" i="61" l="1"/>
  <c r="M24" i="61" s="1"/>
  <c r="M8" i="61"/>
  <c r="L13" i="59"/>
  <c r="L11" i="59" l="1"/>
  <c r="L8" i="59"/>
  <c r="D8" i="60" s="1"/>
  <c r="D27" i="60"/>
  <c r="D28" i="60"/>
  <c r="D29" i="60"/>
  <c r="D26" i="60"/>
  <c r="D9" i="60"/>
  <c r="D10" i="60"/>
  <c r="D11" i="60"/>
  <c r="D12" i="60"/>
  <c r="D13" i="60"/>
  <c r="D14" i="60"/>
  <c r="D15" i="60"/>
  <c r="D16" i="60"/>
  <c r="D17" i="60"/>
  <c r="D18" i="60"/>
  <c r="D19" i="60"/>
  <c r="D20" i="60"/>
  <c r="D21" i="60"/>
  <c r="D22" i="60"/>
  <c r="D5" i="60"/>
  <c r="K29" i="60" l="1"/>
  <c r="M29" i="60" s="1"/>
  <c r="K28" i="60"/>
  <c r="M28" i="60" s="1"/>
  <c r="K27" i="60"/>
  <c r="M27" i="60" s="1"/>
  <c r="K26" i="60"/>
  <c r="M26" i="60" s="1"/>
  <c r="M23" i="60"/>
  <c r="K22" i="60"/>
  <c r="M22" i="60" s="1"/>
  <c r="K21" i="60"/>
  <c r="M21" i="60" s="1"/>
  <c r="K19" i="60"/>
  <c r="M19" i="60" s="1"/>
  <c r="K18" i="60"/>
  <c r="M18" i="60" s="1"/>
  <c r="K17" i="60"/>
  <c r="M17" i="60" s="1"/>
  <c r="K16" i="60"/>
  <c r="M16" i="60" s="1"/>
  <c r="K15" i="60"/>
  <c r="M15" i="60" s="1"/>
  <c r="K14" i="60"/>
  <c r="M14" i="60" s="1"/>
  <c r="K13" i="60"/>
  <c r="M13" i="60" s="1"/>
  <c r="K12" i="60"/>
  <c r="M12" i="60" s="1"/>
  <c r="K11" i="60"/>
  <c r="M11" i="60" s="1"/>
  <c r="K10" i="60"/>
  <c r="M10" i="60" s="1"/>
  <c r="K9" i="60"/>
  <c r="M9" i="60" s="1"/>
  <c r="E24" i="60"/>
  <c r="K8" i="60"/>
  <c r="E5" i="60"/>
  <c r="K24" i="60" l="1"/>
  <c r="M24" i="60" s="1"/>
  <c r="M8" i="60"/>
  <c r="E8" i="59"/>
  <c r="D27" i="59" l="1"/>
  <c r="K27" i="59" s="1"/>
  <c r="M27" i="59" s="1"/>
  <c r="D28" i="59"/>
  <c r="K28" i="59" s="1"/>
  <c r="M28" i="59" s="1"/>
  <c r="D29" i="59"/>
  <c r="K29" i="59" s="1"/>
  <c r="M29" i="59" s="1"/>
  <c r="D26" i="59"/>
  <c r="K26" i="59" s="1"/>
  <c r="M26" i="59" s="1"/>
  <c r="D9" i="59"/>
  <c r="K9" i="59" s="1"/>
  <c r="M9" i="59" s="1"/>
  <c r="D10" i="59"/>
  <c r="K10" i="59" s="1"/>
  <c r="M10" i="59" s="1"/>
  <c r="D11" i="59"/>
  <c r="K11" i="59" s="1"/>
  <c r="M11" i="59" s="1"/>
  <c r="D12" i="59"/>
  <c r="K12" i="59" s="1"/>
  <c r="M12" i="59" s="1"/>
  <c r="D13" i="59"/>
  <c r="K13" i="59" s="1"/>
  <c r="M13" i="59" s="1"/>
  <c r="D14" i="59"/>
  <c r="K14" i="59" s="1"/>
  <c r="M14" i="59" s="1"/>
  <c r="D15" i="59"/>
  <c r="K15" i="59" s="1"/>
  <c r="M15" i="59" s="1"/>
  <c r="D16" i="59"/>
  <c r="K16" i="59" s="1"/>
  <c r="M16" i="59" s="1"/>
  <c r="D17" i="59"/>
  <c r="K17" i="59" s="1"/>
  <c r="M17" i="59" s="1"/>
  <c r="D18" i="59"/>
  <c r="K18" i="59" s="1"/>
  <c r="M18" i="59" s="1"/>
  <c r="D19" i="59"/>
  <c r="K19" i="59" s="1"/>
  <c r="M19" i="59" s="1"/>
  <c r="D20" i="59"/>
  <c r="D21" i="59"/>
  <c r="K21" i="59" s="1"/>
  <c r="M21" i="59" s="1"/>
  <c r="D22" i="59"/>
  <c r="K22" i="59" s="1"/>
  <c r="M22" i="59" s="1"/>
  <c r="D8" i="59"/>
  <c r="K8" i="59" s="1"/>
  <c r="D5" i="59"/>
  <c r="E5" i="59" s="1"/>
  <c r="E24" i="59"/>
  <c r="M23" i="59"/>
  <c r="E8" i="58"/>
  <c r="K24" i="59" l="1"/>
  <c r="M24" i="59" s="1"/>
  <c r="M8" i="59"/>
  <c r="E26" i="57"/>
  <c r="L10" i="57"/>
  <c r="E8" i="57" l="1"/>
  <c r="D27" i="40" l="1"/>
  <c r="D28" i="40"/>
  <c r="D29" i="40"/>
  <c r="D27" i="58" l="1"/>
  <c r="D28" i="58"/>
  <c r="D29" i="58"/>
  <c r="D26" i="58"/>
  <c r="D9" i="58"/>
  <c r="D10" i="58"/>
  <c r="D11" i="58"/>
  <c r="D12" i="58"/>
  <c r="D13" i="58"/>
  <c r="D14" i="58"/>
  <c r="D15" i="58"/>
  <c r="D16" i="58"/>
  <c r="D17" i="58"/>
  <c r="D18" i="58"/>
  <c r="D19" i="58"/>
  <c r="D20" i="58"/>
  <c r="D21" i="58"/>
  <c r="D22" i="58"/>
  <c r="D8" i="58"/>
  <c r="D5" i="58"/>
  <c r="D9" i="57" l="1"/>
  <c r="D11" i="57"/>
  <c r="D12" i="57"/>
  <c r="D13" i="57"/>
  <c r="D14" i="57"/>
  <c r="D15" i="57"/>
  <c r="D16" i="57"/>
  <c r="D17" i="57"/>
  <c r="D18" i="57"/>
  <c r="D19" i="57"/>
  <c r="D20" i="57"/>
  <c r="D21" i="57"/>
  <c r="D22" i="57"/>
  <c r="E24" i="57"/>
  <c r="D27" i="57"/>
  <c r="D28" i="57"/>
  <c r="D29" i="57"/>
  <c r="D26" i="57"/>
  <c r="L10" i="56" l="1"/>
  <c r="D10" i="57" s="1"/>
  <c r="D27" i="56"/>
  <c r="D28" i="56"/>
  <c r="D29" i="56"/>
  <c r="D26" i="56"/>
  <c r="K29" i="58" l="1"/>
  <c r="M29" i="58" s="1"/>
  <c r="K28" i="58"/>
  <c r="M28" i="58" s="1"/>
  <c r="K27" i="58"/>
  <c r="M27" i="58" s="1"/>
  <c r="K26" i="58"/>
  <c r="M26" i="58" s="1"/>
  <c r="M23" i="58"/>
  <c r="K22" i="58"/>
  <c r="M22" i="58" s="1"/>
  <c r="K21" i="58"/>
  <c r="M21" i="58" s="1"/>
  <c r="K19" i="58"/>
  <c r="M19" i="58" s="1"/>
  <c r="K18" i="58"/>
  <c r="M18" i="58" s="1"/>
  <c r="K17" i="58"/>
  <c r="M17" i="58" s="1"/>
  <c r="K16" i="58"/>
  <c r="M16" i="58" s="1"/>
  <c r="K15" i="58"/>
  <c r="M15" i="58" s="1"/>
  <c r="K14" i="58"/>
  <c r="M14" i="58" s="1"/>
  <c r="K13" i="58"/>
  <c r="M13" i="58" s="1"/>
  <c r="K12" i="58"/>
  <c r="M12" i="58" s="1"/>
  <c r="K11" i="58"/>
  <c r="M11" i="58" s="1"/>
  <c r="K10" i="58"/>
  <c r="M10" i="58" s="1"/>
  <c r="K9" i="58"/>
  <c r="M9" i="58" s="1"/>
  <c r="E24" i="58"/>
  <c r="K8" i="58"/>
  <c r="E5" i="58"/>
  <c r="K24" i="58" l="1"/>
  <c r="M24" i="58" s="1"/>
  <c r="M8" i="58"/>
  <c r="K9" i="57"/>
  <c r="M9" i="57" s="1"/>
  <c r="K11" i="57"/>
  <c r="M11" i="57" s="1"/>
  <c r="K13" i="57"/>
  <c r="M13" i="57" s="1"/>
  <c r="K15" i="57"/>
  <c r="M15" i="57" s="1"/>
  <c r="K17" i="57"/>
  <c r="M17" i="57" s="1"/>
  <c r="K19" i="57"/>
  <c r="M19" i="57" s="1"/>
  <c r="K21" i="57"/>
  <c r="M21" i="57" s="1"/>
  <c r="K22" i="57"/>
  <c r="M22" i="57" s="1"/>
  <c r="D8" i="57"/>
  <c r="K8" i="57" s="1"/>
  <c r="D5" i="57"/>
  <c r="K29" i="57"/>
  <c r="M29" i="57" s="1"/>
  <c r="K28" i="57"/>
  <c r="M28" i="57" s="1"/>
  <c r="K27" i="57"/>
  <c r="M27" i="57" s="1"/>
  <c r="K26" i="57"/>
  <c r="M26" i="57" s="1"/>
  <c r="L24" i="57"/>
  <c r="M23" i="57"/>
  <c r="K18" i="57"/>
  <c r="M18" i="57" s="1"/>
  <c r="K16" i="57"/>
  <c r="M16" i="57" s="1"/>
  <c r="K14" i="57"/>
  <c r="M14" i="57" s="1"/>
  <c r="K12" i="57"/>
  <c r="M12" i="57" s="1"/>
  <c r="K10" i="57"/>
  <c r="M10" i="57" s="1"/>
  <c r="E5" i="57"/>
  <c r="D24" i="58" l="1"/>
  <c r="D24" i="62"/>
  <c r="D24" i="61"/>
  <c r="D24" i="60"/>
  <c r="D24" i="59"/>
  <c r="K24" i="57"/>
  <c r="M24" i="57" s="1"/>
  <c r="M8" i="57"/>
  <c r="E8" i="56"/>
  <c r="E24" i="56" s="1"/>
  <c r="E26" i="54"/>
  <c r="L13" i="55"/>
  <c r="D13" i="56" s="1"/>
  <c r="K13" i="56" s="1"/>
  <c r="M13" i="56" s="1"/>
  <c r="L11" i="55"/>
  <c r="E8" i="55"/>
  <c r="K27" i="56"/>
  <c r="M27" i="56" s="1"/>
  <c r="K26" i="56"/>
  <c r="M26" i="56" s="1"/>
  <c r="D9" i="56"/>
  <c r="K9" i="56" s="1"/>
  <c r="M9" i="56" s="1"/>
  <c r="D10" i="56"/>
  <c r="K10" i="56" s="1"/>
  <c r="M10" i="56" s="1"/>
  <c r="D11" i="56"/>
  <c r="K11" i="56" s="1"/>
  <c r="M11" i="56" s="1"/>
  <c r="D12" i="56"/>
  <c r="K12" i="56" s="1"/>
  <c r="M12" i="56" s="1"/>
  <c r="D14" i="56"/>
  <c r="K14" i="56" s="1"/>
  <c r="M14" i="56" s="1"/>
  <c r="D15" i="56"/>
  <c r="K15" i="56" s="1"/>
  <c r="M15" i="56" s="1"/>
  <c r="D16" i="56"/>
  <c r="K16" i="56" s="1"/>
  <c r="M16" i="56" s="1"/>
  <c r="D17" i="56"/>
  <c r="K17" i="56" s="1"/>
  <c r="M17" i="56" s="1"/>
  <c r="D18" i="56"/>
  <c r="K18" i="56" s="1"/>
  <c r="M18" i="56" s="1"/>
  <c r="D19" i="56"/>
  <c r="K19" i="56" s="1"/>
  <c r="M19" i="56" s="1"/>
  <c r="D20" i="56"/>
  <c r="D21" i="56"/>
  <c r="K21" i="56" s="1"/>
  <c r="M21" i="56" s="1"/>
  <c r="D22" i="56"/>
  <c r="K22" i="56" s="1"/>
  <c r="M22" i="56" s="1"/>
  <c r="D8" i="56"/>
  <c r="D5" i="56"/>
  <c r="E5" i="56" s="1"/>
  <c r="K29" i="56"/>
  <c r="M29" i="56" s="1"/>
  <c r="K28" i="56"/>
  <c r="M28" i="56" s="1"/>
  <c r="L24" i="56"/>
  <c r="M23" i="56"/>
  <c r="D24" i="57" l="1"/>
  <c r="K8" i="56"/>
  <c r="K24" i="56" s="1"/>
  <c r="M24" i="56" s="1"/>
  <c r="L11" i="54"/>
  <c r="D11" i="55" s="1"/>
  <c r="K11" i="55" s="1"/>
  <c r="M11" i="55" s="1"/>
  <c r="E9" i="51"/>
  <c r="E8" i="54"/>
  <c r="D27" i="55"/>
  <c r="K27" i="55" s="1"/>
  <c r="M27" i="55" s="1"/>
  <c r="D28" i="55"/>
  <c r="D29" i="55"/>
  <c r="K29" i="55" s="1"/>
  <c r="M29" i="55" s="1"/>
  <c r="D26" i="55"/>
  <c r="K26" i="55" s="1"/>
  <c r="M26" i="55" s="1"/>
  <c r="D9" i="55"/>
  <c r="K9" i="55" s="1"/>
  <c r="M9" i="55" s="1"/>
  <c r="D10" i="55"/>
  <c r="K10" i="55" s="1"/>
  <c r="M10" i="55" s="1"/>
  <c r="D12" i="55"/>
  <c r="K12" i="55" s="1"/>
  <c r="M12" i="55" s="1"/>
  <c r="D13" i="55"/>
  <c r="K13" i="55" s="1"/>
  <c r="M13" i="55" s="1"/>
  <c r="D14" i="55"/>
  <c r="K14" i="55" s="1"/>
  <c r="M14" i="55" s="1"/>
  <c r="D15" i="55"/>
  <c r="K15" i="55" s="1"/>
  <c r="M15" i="55" s="1"/>
  <c r="D16" i="55"/>
  <c r="K16" i="55" s="1"/>
  <c r="M16" i="55" s="1"/>
  <c r="D17" i="55"/>
  <c r="K17" i="55" s="1"/>
  <c r="M17" i="55" s="1"/>
  <c r="D18" i="55"/>
  <c r="K18" i="55" s="1"/>
  <c r="M18" i="55" s="1"/>
  <c r="D19" i="55"/>
  <c r="K19" i="55" s="1"/>
  <c r="M19" i="55" s="1"/>
  <c r="D20" i="55"/>
  <c r="D21" i="55"/>
  <c r="K21" i="55" s="1"/>
  <c r="M21" i="55" s="1"/>
  <c r="D22" i="55"/>
  <c r="K22" i="55" s="1"/>
  <c r="M22" i="55" s="1"/>
  <c r="D8" i="55"/>
  <c r="K8" i="55" s="1"/>
  <c r="D5" i="55"/>
  <c r="E5" i="55" s="1"/>
  <c r="K28" i="55"/>
  <c r="M28" i="55" s="1"/>
  <c r="L24" i="55"/>
  <c r="E24" i="55"/>
  <c r="M23" i="55"/>
  <c r="M8" i="56" l="1"/>
  <c r="K24" i="55"/>
  <c r="M24" i="55" s="1"/>
  <c r="M8" i="55"/>
  <c r="D27" i="54"/>
  <c r="K27" i="54" s="1"/>
  <c r="M27" i="54" s="1"/>
  <c r="D28" i="54"/>
  <c r="D29" i="54"/>
  <c r="D26" i="54"/>
  <c r="K26" i="54" s="1"/>
  <c r="M26" i="54" s="1"/>
  <c r="D9" i="54"/>
  <c r="K9" i="54" s="1"/>
  <c r="M9" i="54" s="1"/>
  <c r="D10" i="54"/>
  <c r="K10" i="54" s="1"/>
  <c r="M10" i="54" s="1"/>
  <c r="D11" i="54"/>
  <c r="K11" i="54" s="1"/>
  <c r="M11" i="54" s="1"/>
  <c r="D12" i="54"/>
  <c r="K12" i="54" s="1"/>
  <c r="M12" i="54" s="1"/>
  <c r="D13" i="54"/>
  <c r="K13" i="54" s="1"/>
  <c r="M13" i="54" s="1"/>
  <c r="D14" i="54"/>
  <c r="K14" i="54" s="1"/>
  <c r="M14" i="54" s="1"/>
  <c r="D15" i="54"/>
  <c r="K15" i="54" s="1"/>
  <c r="M15" i="54" s="1"/>
  <c r="D16" i="54"/>
  <c r="K16" i="54" s="1"/>
  <c r="M16" i="54" s="1"/>
  <c r="D17" i="54"/>
  <c r="K17" i="54" s="1"/>
  <c r="M17" i="54" s="1"/>
  <c r="D18" i="54"/>
  <c r="K18" i="54" s="1"/>
  <c r="M18" i="54" s="1"/>
  <c r="D19" i="54"/>
  <c r="K19" i="54" s="1"/>
  <c r="M19" i="54" s="1"/>
  <c r="D20" i="54"/>
  <c r="D21" i="54"/>
  <c r="K21" i="54" s="1"/>
  <c r="M21" i="54" s="1"/>
  <c r="D22" i="54"/>
  <c r="K22" i="54" s="1"/>
  <c r="M22" i="54" s="1"/>
  <c r="D8" i="54"/>
  <c r="K8" i="54" s="1"/>
  <c r="D5" i="54"/>
  <c r="E5" i="54" s="1"/>
  <c r="K29" i="54"/>
  <c r="M29" i="54" s="1"/>
  <c r="K28" i="54"/>
  <c r="M28" i="54" s="1"/>
  <c r="L24" i="54"/>
  <c r="E24" i="54"/>
  <c r="M23" i="54"/>
  <c r="K24" i="54" l="1"/>
  <c r="M24" i="54" s="1"/>
  <c r="M8" i="54"/>
  <c r="L12" i="52"/>
  <c r="L11" i="52"/>
  <c r="D11" i="53" s="1"/>
  <c r="K11" i="53" s="1"/>
  <c r="M11" i="53" s="1"/>
  <c r="D27" i="53"/>
  <c r="K27" i="53" s="1"/>
  <c r="M27" i="53" s="1"/>
  <c r="D28" i="53"/>
  <c r="K28" i="53" s="1"/>
  <c r="M28" i="53" s="1"/>
  <c r="D29" i="53"/>
  <c r="K29" i="53" s="1"/>
  <c r="M29" i="53" s="1"/>
  <c r="D26" i="53"/>
  <c r="K26" i="53" s="1"/>
  <c r="M26" i="53" s="1"/>
  <c r="D9" i="53"/>
  <c r="K9" i="53" s="1"/>
  <c r="M9" i="53" s="1"/>
  <c r="D10" i="53"/>
  <c r="K10" i="53" s="1"/>
  <c r="M10" i="53" s="1"/>
  <c r="D12" i="53"/>
  <c r="K12" i="53" s="1"/>
  <c r="M12" i="53" s="1"/>
  <c r="D13" i="53"/>
  <c r="K13" i="53" s="1"/>
  <c r="M13" i="53" s="1"/>
  <c r="D14" i="53"/>
  <c r="K14" i="53" s="1"/>
  <c r="M14" i="53" s="1"/>
  <c r="D15" i="53"/>
  <c r="K15" i="53" s="1"/>
  <c r="M15" i="53" s="1"/>
  <c r="D16" i="53"/>
  <c r="K16" i="53" s="1"/>
  <c r="M16" i="53" s="1"/>
  <c r="D17" i="53"/>
  <c r="K17" i="53" s="1"/>
  <c r="M17" i="53" s="1"/>
  <c r="D18" i="53"/>
  <c r="K18" i="53" s="1"/>
  <c r="M18" i="53" s="1"/>
  <c r="D19" i="53"/>
  <c r="K19" i="53" s="1"/>
  <c r="M19" i="53" s="1"/>
  <c r="D20" i="53"/>
  <c r="D21" i="53"/>
  <c r="K21" i="53" s="1"/>
  <c r="M21" i="53" s="1"/>
  <c r="D22" i="53"/>
  <c r="K22" i="53" s="1"/>
  <c r="M22" i="53" s="1"/>
  <c r="D8" i="53"/>
  <c r="K8" i="53" s="1"/>
  <c r="D5" i="53"/>
  <c r="E5" i="53" s="1"/>
  <c r="L24" i="53"/>
  <c r="M23" i="53"/>
  <c r="E24" i="53"/>
  <c r="K24" i="53" l="1"/>
  <c r="M24" i="53" s="1"/>
  <c r="M8" i="53"/>
  <c r="E11" i="52"/>
  <c r="D27" i="52"/>
  <c r="D28" i="52"/>
  <c r="D29" i="52"/>
  <c r="D26" i="52"/>
  <c r="D9" i="52"/>
  <c r="D11" i="52"/>
  <c r="D12" i="52"/>
  <c r="D14" i="52"/>
  <c r="D15" i="52"/>
  <c r="D16" i="52"/>
  <c r="D17" i="52"/>
  <c r="D18" i="52"/>
  <c r="D19" i="52"/>
  <c r="D20" i="52"/>
  <c r="D21" i="52"/>
  <c r="D22" i="52"/>
  <c r="D5" i="52"/>
  <c r="E13" i="51" l="1"/>
  <c r="L13" i="51"/>
  <c r="D13" i="52" s="1"/>
  <c r="L10" i="51"/>
  <c r="D10" i="52" s="1"/>
  <c r="L8" i="51"/>
  <c r="D8" i="52" s="1"/>
  <c r="L24" i="51" l="1"/>
  <c r="L12" i="50"/>
  <c r="L8" i="50"/>
  <c r="E8" i="50"/>
  <c r="D9" i="50"/>
  <c r="D10" i="50"/>
  <c r="D11" i="50"/>
  <c r="D12" i="50"/>
  <c r="D13" i="50"/>
  <c r="D14" i="50"/>
  <c r="D15" i="50"/>
  <c r="D16" i="50"/>
  <c r="D17" i="50"/>
  <c r="D18" i="50"/>
  <c r="D19" i="50"/>
  <c r="D20" i="50"/>
  <c r="D21" i="50"/>
  <c r="D22" i="50"/>
  <c r="D27" i="50"/>
  <c r="D28" i="50"/>
  <c r="D29" i="50"/>
  <c r="D26" i="50"/>
  <c r="D27" i="51"/>
  <c r="K27" i="51" s="1"/>
  <c r="M27" i="51" s="1"/>
  <c r="D28" i="51"/>
  <c r="K28" i="51" s="1"/>
  <c r="M28" i="51" s="1"/>
  <c r="D29" i="51"/>
  <c r="K29" i="51" s="1"/>
  <c r="M29" i="51" s="1"/>
  <c r="D26" i="51"/>
  <c r="K26" i="51" s="1"/>
  <c r="M26" i="51" s="1"/>
  <c r="D9" i="51"/>
  <c r="D10" i="51"/>
  <c r="K10" i="51" s="1"/>
  <c r="D11" i="51"/>
  <c r="K11" i="51" s="1"/>
  <c r="M11" i="51" s="1"/>
  <c r="D12" i="51"/>
  <c r="K12" i="51" s="1"/>
  <c r="D13" i="51"/>
  <c r="K13" i="51" s="1"/>
  <c r="M13" i="51" s="1"/>
  <c r="D14" i="51"/>
  <c r="K14" i="51" s="1"/>
  <c r="M14" i="51" s="1"/>
  <c r="D15" i="51"/>
  <c r="K15" i="51" s="1"/>
  <c r="M15" i="51" s="1"/>
  <c r="D16" i="51"/>
  <c r="K16" i="51" s="1"/>
  <c r="M16" i="51" s="1"/>
  <c r="D17" i="51"/>
  <c r="K17" i="51" s="1"/>
  <c r="M17" i="51" s="1"/>
  <c r="D18" i="51"/>
  <c r="K18" i="51" s="1"/>
  <c r="M18" i="51" s="1"/>
  <c r="D19" i="51"/>
  <c r="K19" i="51" s="1"/>
  <c r="M19" i="51" s="1"/>
  <c r="D20" i="51"/>
  <c r="D21" i="51"/>
  <c r="K21" i="51" s="1"/>
  <c r="M21" i="51" s="1"/>
  <c r="D22" i="51"/>
  <c r="K22" i="51" s="1"/>
  <c r="M22" i="51" s="1"/>
  <c r="D8" i="51"/>
  <c r="K8" i="51" s="1"/>
  <c r="D5" i="51"/>
  <c r="E5" i="51" s="1"/>
  <c r="D5" i="50"/>
  <c r="K29" i="52"/>
  <c r="M29" i="52" s="1"/>
  <c r="K28" i="52"/>
  <c r="M28" i="52" s="1"/>
  <c r="K27" i="52"/>
  <c r="M27" i="52" s="1"/>
  <c r="K26" i="52"/>
  <c r="M26" i="52" s="1"/>
  <c r="L24" i="52"/>
  <c r="E24" i="52"/>
  <c r="M23" i="52"/>
  <c r="K22" i="52"/>
  <c r="M22" i="52" s="1"/>
  <c r="K21" i="52"/>
  <c r="M21" i="52" s="1"/>
  <c r="K19" i="52"/>
  <c r="M19" i="52" s="1"/>
  <c r="K18" i="52"/>
  <c r="M18" i="52" s="1"/>
  <c r="K17" i="52"/>
  <c r="M17" i="52" s="1"/>
  <c r="K16" i="52"/>
  <c r="M16" i="52" s="1"/>
  <c r="K15" i="52"/>
  <c r="M15" i="52" s="1"/>
  <c r="K14" i="52"/>
  <c r="M14" i="52" s="1"/>
  <c r="K13" i="52"/>
  <c r="M13" i="52" s="1"/>
  <c r="K12" i="52"/>
  <c r="M12" i="52" s="1"/>
  <c r="K11" i="52"/>
  <c r="M11" i="52" s="1"/>
  <c r="K10" i="52"/>
  <c r="M10" i="52" s="1"/>
  <c r="K9" i="52"/>
  <c r="M9" i="52" s="1"/>
  <c r="K8" i="52"/>
  <c r="E5" i="52"/>
  <c r="E24" i="51"/>
  <c r="M23" i="51"/>
  <c r="K9" i="51" l="1"/>
  <c r="M9" i="51" s="1"/>
  <c r="M12" i="51"/>
  <c r="M10" i="51"/>
  <c r="K24" i="52"/>
  <c r="M24" i="52" s="1"/>
  <c r="M8" i="52"/>
  <c r="M8" i="51"/>
  <c r="K9" i="50"/>
  <c r="M9" i="50" s="1"/>
  <c r="K10" i="50"/>
  <c r="M10" i="50" s="1"/>
  <c r="K11" i="50"/>
  <c r="M11" i="50" s="1"/>
  <c r="K12" i="50"/>
  <c r="M12" i="50" s="1"/>
  <c r="K13" i="50"/>
  <c r="M13" i="50" s="1"/>
  <c r="K14" i="50"/>
  <c r="M14" i="50" s="1"/>
  <c r="K15" i="50"/>
  <c r="M15" i="50" s="1"/>
  <c r="K16" i="50"/>
  <c r="M16" i="50" s="1"/>
  <c r="K17" i="50"/>
  <c r="M17" i="50" s="1"/>
  <c r="K18" i="50"/>
  <c r="M18" i="50" s="1"/>
  <c r="K19" i="50"/>
  <c r="M19" i="50" s="1"/>
  <c r="D8" i="50"/>
  <c r="K8" i="50" s="1"/>
  <c r="K29" i="50"/>
  <c r="M29" i="50" s="1"/>
  <c r="K28" i="50"/>
  <c r="M28" i="50" s="1"/>
  <c r="K27" i="50"/>
  <c r="M27" i="50" s="1"/>
  <c r="K26" i="50"/>
  <c r="M26" i="50" s="1"/>
  <c r="L24" i="50"/>
  <c r="M23" i="50"/>
  <c r="K22" i="50"/>
  <c r="M22" i="50" s="1"/>
  <c r="K21" i="50"/>
  <c r="M21" i="50" s="1"/>
  <c r="E24" i="50"/>
  <c r="E5" i="50"/>
  <c r="K24" i="51" l="1"/>
  <c r="M24" i="51" s="1"/>
  <c r="K24" i="50"/>
  <c r="M24" i="50" s="1"/>
  <c r="M8" i="50"/>
  <c r="E9" i="49"/>
  <c r="E8" i="49"/>
  <c r="E8" i="47" l="1"/>
  <c r="D27" i="49"/>
  <c r="D28" i="49"/>
  <c r="K28" i="49" s="1"/>
  <c r="M28" i="49" s="1"/>
  <c r="D29" i="49"/>
  <c r="K29" i="49" s="1"/>
  <c r="M29" i="49" s="1"/>
  <c r="D26" i="49"/>
  <c r="K26" i="49" s="1"/>
  <c r="M26" i="49" s="1"/>
  <c r="L12" i="48"/>
  <c r="D12" i="49" s="1"/>
  <c r="K12" i="49" s="1"/>
  <c r="M12" i="49" s="1"/>
  <c r="D9" i="49"/>
  <c r="K9" i="49" s="1"/>
  <c r="M9" i="49" s="1"/>
  <c r="D10" i="49"/>
  <c r="K10" i="49" s="1"/>
  <c r="M10" i="49" s="1"/>
  <c r="D11" i="49"/>
  <c r="K11" i="49" s="1"/>
  <c r="M11" i="49" s="1"/>
  <c r="D13" i="49"/>
  <c r="K13" i="49" s="1"/>
  <c r="M13" i="49" s="1"/>
  <c r="D14" i="49"/>
  <c r="K14" i="49" s="1"/>
  <c r="M14" i="49" s="1"/>
  <c r="D15" i="49"/>
  <c r="K15" i="49" s="1"/>
  <c r="M15" i="49" s="1"/>
  <c r="D16" i="49"/>
  <c r="K16" i="49" s="1"/>
  <c r="M16" i="49" s="1"/>
  <c r="D17" i="49"/>
  <c r="K17" i="49" s="1"/>
  <c r="M17" i="49" s="1"/>
  <c r="D18" i="49"/>
  <c r="K18" i="49" s="1"/>
  <c r="M18" i="49" s="1"/>
  <c r="D19" i="49"/>
  <c r="K19" i="49" s="1"/>
  <c r="M19" i="49" s="1"/>
  <c r="D20" i="49"/>
  <c r="D21" i="49"/>
  <c r="K21" i="49" s="1"/>
  <c r="M21" i="49" s="1"/>
  <c r="D22" i="49"/>
  <c r="K22" i="49" s="1"/>
  <c r="M22" i="49" s="1"/>
  <c r="D8" i="49"/>
  <c r="K8" i="49" s="1"/>
  <c r="D5" i="49"/>
  <c r="E5" i="49" s="1"/>
  <c r="K27" i="49"/>
  <c r="M27" i="49" s="1"/>
  <c r="L24" i="49"/>
  <c r="I24" i="49"/>
  <c r="E24" i="49"/>
  <c r="M23" i="49"/>
  <c r="K24" i="49" l="1"/>
  <c r="M24" i="49" s="1"/>
  <c r="M8" i="49"/>
  <c r="D27" i="48"/>
  <c r="K27" i="48" s="1"/>
  <c r="M27" i="48" s="1"/>
  <c r="D28" i="48"/>
  <c r="K28" i="48" s="1"/>
  <c r="M28" i="48" s="1"/>
  <c r="D29" i="48"/>
  <c r="D26" i="48"/>
  <c r="K26" i="48" s="1"/>
  <c r="M26" i="48" s="1"/>
  <c r="D9" i="48"/>
  <c r="K9" i="48" s="1"/>
  <c r="M9" i="48" s="1"/>
  <c r="D10" i="48"/>
  <c r="K10" i="48" s="1"/>
  <c r="M10" i="48" s="1"/>
  <c r="D13" i="48"/>
  <c r="K13" i="48" s="1"/>
  <c r="M13" i="48" s="1"/>
  <c r="D14" i="48"/>
  <c r="K14" i="48" s="1"/>
  <c r="M14" i="48" s="1"/>
  <c r="D15" i="48"/>
  <c r="K15" i="48" s="1"/>
  <c r="M15" i="48" s="1"/>
  <c r="D16" i="48"/>
  <c r="K16" i="48" s="1"/>
  <c r="M16" i="48" s="1"/>
  <c r="D17" i="48"/>
  <c r="K17" i="48" s="1"/>
  <c r="M17" i="48" s="1"/>
  <c r="D18" i="48"/>
  <c r="K18" i="48" s="1"/>
  <c r="M18" i="48" s="1"/>
  <c r="D19" i="48"/>
  <c r="K19" i="48" s="1"/>
  <c r="M19" i="48" s="1"/>
  <c r="D20" i="48"/>
  <c r="D21" i="48"/>
  <c r="K21" i="48" s="1"/>
  <c r="M21" i="48" s="1"/>
  <c r="D22" i="48"/>
  <c r="K22" i="48" s="1"/>
  <c r="M22" i="48" s="1"/>
  <c r="D5" i="48"/>
  <c r="E5" i="48" s="1"/>
  <c r="D8" i="48"/>
  <c r="K8" i="48" s="1"/>
  <c r="K29" i="48"/>
  <c r="M29" i="48" s="1"/>
  <c r="I24" i="48"/>
  <c r="E24" i="48"/>
  <c r="M23" i="48"/>
  <c r="L24" i="48"/>
  <c r="L12" i="47"/>
  <c r="D12" i="48" s="1"/>
  <c r="K12" i="48" s="1"/>
  <c r="M12" i="48" s="1"/>
  <c r="L11" i="47"/>
  <c r="D11" i="48" s="1"/>
  <c r="K11" i="48" s="1"/>
  <c r="M11" i="48" s="1"/>
  <c r="K24" i="48" l="1"/>
  <c r="M24" i="48" s="1"/>
  <c r="M8" i="48"/>
  <c r="E11" i="46"/>
  <c r="D27" i="47" l="1"/>
  <c r="D28" i="47"/>
  <c r="D29" i="47"/>
  <c r="D26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8" i="47"/>
  <c r="F8" i="46" l="1"/>
  <c r="D27" i="46"/>
  <c r="K27" i="46" s="1"/>
  <c r="D28" i="46"/>
  <c r="K28" i="46" s="1"/>
  <c r="D29" i="46"/>
  <c r="K29" i="46" s="1"/>
  <c r="D26" i="46"/>
  <c r="K26" i="46" s="1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8" i="46"/>
  <c r="D5" i="47" l="1"/>
  <c r="E5" i="47" s="1"/>
  <c r="L24" i="47"/>
  <c r="I24" i="47"/>
  <c r="E24" i="47"/>
  <c r="M23" i="47"/>
  <c r="D5" i="46" l="1"/>
  <c r="E5" i="46" s="1"/>
  <c r="L24" i="46"/>
  <c r="I24" i="46"/>
  <c r="E24" i="46"/>
  <c r="M23" i="46"/>
  <c r="D24" i="47" l="1"/>
  <c r="D24" i="56"/>
  <c r="D24" i="55"/>
  <c r="D24" i="54"/>
  <c r="D24" i="53"/>
  <c r="D24" i="51"/>
  <c r="D24" i="52"/>
  <c r="D24" i="50"/>
  <c r="D24" i="49"/>
  <c r="D24" i="48"/>
  <c r="E8" i="43"/>
  <c r="L8" i="43"/>
  <c r="D20" i="44" l="1"/>
  <c r="L12" i="44"/>
  <c r="L8" i="44"/>
  <c r="E26" i="43" l="1"/>
  <c r="D20" i="45"/>
  <c r="D5" i="45"/>
  <c r="E5" i="45" s="1"/>
  <c r="D5" i="44"/>
  <c r="E5" i="44" s="1"/>
  <c r="I24" i="45"/>
  <c r="M23" i="45"/>
  <c r="L24" i="45"/>
  <c r="D24" i="46" s="1"/>
  <c r="E24" i="45"/>
  <c r="I24" i="44"/>
  <c r="M23" i="44"/>
  <c r="L24" i="44"/>
  <c r="E24" i="44"/>
  <c r="K9" i="46" l="1"/>
  <c r="L12" i="43"/>
  <c r="M9" i="46" l="1"/>
  <c r="K9" i="47"/>
  <c r="M9" i="47" s="1"/>
  <c r="K21" i="46"/>
  <c r="K15" i="46"/>
  <c r="K10" i="46"/>
  <c r="K12" i="46"/>
  <c r="K14" i="46"/>
  <c r="K18" i="46"/>
  <c r="K13" i="46"/>
  <c r="K16" i="46"/>
  <c r="K17" i="46"/>
  <c r="K19" i="46"/>
  <c r="K22" i="46"/>
  <c r="K11" i="46"/>
  <c r="D20" i="43"/>
  <c r="D5" i="43"/>
  <c r="E5" i="43" s="1"/>
  <c r="L24" i="43"/>
  <c r="I24" i="43"/>
  <c r="E24" i="43"/>
  <c r="M23" i="43"/>
  <c r="M22" i="46" l="1"/>
  <c r="K22" i="47"/>
  <c r="M22" i="47" s="1"/>
  <c r="M17" i="46"/>
  <c r="K17" i="47"/>
  <c r="M17" i="47" s="1"/>
  <c r="M16" i="46"/>
  <c r="K16" i="47"/>
  <c r="M16" i="47" s="1"/>
  <c r="M18" i="46"/>
  <c r="K18" i="47"/>
  <c r="M18" i="47" s="1"/>
  <c r="M14" i="46"/>
  <c r="K14" i="47"/>
  <c r="M14" i="47" s="1"/>
  <c r="M10" i="46"/>
  <c r="K10" i="47"/>
  <c r="M10" i="47" s="1"/>
  <c r="M15" i="46"/>
  <c r="K15" i="47"/>
  <c r="M15" i="47" s="1"/>
  <c r="M21" i="46"/>
  <c r="K21" i="47"/>
  <c r="M21" i="47" s="1"/>
  <c r="M11" i="46"/>
  <c r="K11" i="47"/>
  <c r="M11" i="47" s="1"/>
  <c r="M19" i="46"/>
  <c r="K19" i="47"/>
  <c r="M19" i="47" s="1"/>
  <c r="M13" i="46"/>
  <c r="K13" i="47"/>
  <c r="M13" i="47" s="1"/>
  <c r="M12" i="46"/>
  <c r="K12" i="47"/>
  <c r="M12" i="47" s="1"/>
  <c r="E28" i="41"/>
  <c r="L13" i="41"/>
  <c r="E9" i="41"/>
  <c r="E8" i="41"/>
  <c r="D5" i="42"/>
  <c r="D20" i="42"/>
  <c r="L24" i="42"/>
  <c r="I24" i="42"/>
  <c r="E24" i="42"/>
  <c r="M23" i="42"/>
  <c r="E5" i="42"/>
  <c r="F8" i="40" l="1"/>
  <c r="D20" i="41"/>
  <c r="D5" i="41"/>
  <c r="E5" i="41" s="1"/>
  <c r="L24" i="41"/>
  <c r="I24" i="41"/>
  <c r="H24" i="41"/>
  <c r="G24" i="41"/>
  <c r="F24" i="41"/>
  <c r="E24" i="41"/>
  <c r="M23" i="41"/>
  <c r="E8" i="40" l="1"/>
  <c r="M26" i="46" l="1"/>
  <c r="K26" i="47"/>
  <c r="M26" i="47" s="1"/>
  <c r="M28" i="46"/>
  <c r="K28" i="47"/>
  <c r="M28" i="47" s="1"/>
  <c r="M29" i="46"/>
  <c r="K29" i="47"/>
  <c r="M29" i="47" s="1"/>
  <c r="K27" i="40"/>
  <c r="D26" i="40"/>
  <c r="K26" i="40" s="1"/>
  <c r="D9" i="40"/>
  <c r="D10" i="40"/>
  <c r="K10" i="40" s="1"/>
  <c r="D10" i="41" s="1"/>
  <c r="K10" i="41" s="1"/>
  <c r="D11" i="40"/>
  <c r="D13" i="40"/>
  <c r="D14" i="40"/>
  <c r="K14" i="40" s="1"/>
  <c r="D14" i="41" s="1"/>
  <c r="K14" i="41" s="1"/>
  <c r="D15" i="40"/>
  <c r="K15" i="40" s="1"/>
  <c r="D15" i="41" s="1"/>
  <c r="K15" i="41" s="1"/>
  <c r="D16" i="40"/>
  <c r="K16" i="40" s="1"/>
  <c r="D16" i="41" s="1"/>
  <c r="K16" i="41" s="1"/>
  <c r="D17" i="40"/>
  <c r="K17" i="40" s="1"/>
  <c r="D17" i="41" s="1"/>
  <c r="K17" i="41" s="1"/>
  <c r="D18" i="40"/>
  <c r="K18" i="40" s="1"/>
  <c r="D18" i="41" s="1"/>
  <c r="K18" i="41" s="1"/>
  <c r="D19" i="40"/>
  <c r="K19" i="40" s="1"/>
  <c r="D19" i="41" s="1"/>
  <c r="K19" i="41" s="1"/>
  <c r="D20" i="40"/>
  <c r="D21" i="40"/>
  <c r="K21" i="40" s="1"/>
  <c r="D22" i="40"/>
  <c r="K22" i="40" s="1"/>
  <c r="D8" i="40"/>
  <c r="K8" i="40" s="1"/>
  <c r="D8" i="41" s="1"/>
  <c r="D5" i="40"/>
  <c r="E5" i="40" s="1"/>
  <c r="K29" i="40"/>
  <c r="K28" i="40"/>
  <c r="I24" i="40"/>
  <c r="H24" i="40"/>
  <c r="G24" i="40"/>
  <c r="F24" i="40"/>
  <c r="E24" i="40"/>
  <c r="M23" i="40"/>
  <c r="M19" i="40"/>
  <c r="M18" i="40"/>
  <c r="M16" i="40"/>
  <c r="M15" i="40"/>
  <c r="M14" i="40"/>
  <c r="L24" i="40"/>
  <c r="K12" i="39"/>
  <c r="D12" i="40" s="1"/>
  <c r="K12" i="40" s="1"/>
  <c r="M17" i="40" l="1"/>
  <c r="M10" i="40"/>
  <c r="D12" i="41"/>
  <c r="K12" i="41" s="1"/>
  <c r="D12" i="42" s="1"/>
  <c r="K12" i="42" s="1"/>
  <c r="M12" i="40"/>
  <c r="M26" i="40"/>
  <c r="D26" i="41"/>
  <c r="K26" i="41" s="1"/>
  <c r="M14" i="41"/>
  <c r="D14" i="42"/>
  <c r="K14" i="42" s="1"/>
  <c r="M28" i="40"/>
  <c r="D28" i="41"/>
  <c r="K28" i="41" s="1"/>
  <c r="M27" i="40"/>
  <c r="D27" i="41"/>
  <c r="K27" i="41" s="1"/>
  <c r="M29" i="40"/>
  <c r="D29" i="41"/>
  <c r="K29" i="41" s="1"/>
  <c r="M19" i="41"/>
  <c r="D19" i="42"/>
  <c r="K19" i="42" s="1"/>
  <c r="M17" i="41"/>
  <c r="D17" i="42"/>
  <c r="K17" i="42" s="1"/>
  <c r="M15" i="41"/>
  <c r="D15" i="42"/>
  <c r="K15" i="42" s="1"/>
  <c r="M18" i="41"/>
  <c r="D18" i="42"/>
  <c r="K18" i="42" s="1"/>
  <c r="M16" i="41"/>
  <c r="D16" i="42"/>
  <c r="K16" i="42" s="1"/>
  <c r="M10" i="41"/>
  <c r="D10" i="42"/>
  <c r="K10" i="42" s="1"/>
  <c r="M12" i="41"/>
  <c r="M21" i="40"/>
  <c r="D21" i="41"/>
  <c r="K21" i="41" s="1"/>
  <c r="M22" i="40"/>
  <c r="D22" i="41"/>
  <c r="K22" i="41" s="1"/>
  <c r="K8" i="41"/>
  <c r="D8" i="42" s="1"/>
  <c r="K13" i="40"/>
  <c r="K11" i="40"/>
  <c r="K9" i="40"/>
  <c r="M8" i="40"/>
  <c r="D24" i="40"/>
  <c r="F8" i="39"/>
  <c r="F24" i="39" s="1"/>
  <c r="D27" i="39"/>
  <c r="J27" i="39" s="1"/>
  <c r="L27" i="39" s="1"/>
  <c r="D28" i="39"/>
  <c r="J28" i="39" s="1"/>
  <c r="L28" i="39" s="1"/>
  <c r="D29" i="39"/>
  <c r="D9" i="39"/>
  <c r="D10" i="39"/>
  <c r="J10" i="39" s="1"/>
  <c r="L10" i="39" s="1"/>
  <c r="D13" i="39"/>
  <c r="J13" i="39" s="1"/>
  <c r="L13" i="39" s="1"/>
  <c r="D14" i="39"/>
  <c r="J14" i="39" s="1"/>
  <c r="L14" i="39" s="1"/>
  <c r="D15" i="39"/>
  <c r="J15" i="39" s="1"/>
  <c r="L15" i="39" s="1"/>
  <c r="D16" i="39"/>
  <c r="J16" i="39" s="1"/>
  <c r="L16" i="39" s="1"/>
  <c r="D17" i="39"/>
  <c r="J17" i="39" s="1"/>
  <c r="L17" i="39" s="1"/>
  <c r="D18" i="39"/>
  <c r="J18" i="39" s="1"/>
  <c r="L18" i="39" s="1"/>
  <c r="D19" i="39"/>
  <c r="J19" i="39" s="1"/>
  <c r="L19" i="39" s="1"/>
  <c r="D20" i="39"/>
  <c r="D21" i="39"/>
  <c r="J21" i="39" s="1"/>
  <c r="L21" i="39" s="1"/>
  <c r="D22" i="39"/>
  <c r="J22" i="39" s="1"/>
  <c r="L22" i="39" s="1"/>
  <c r="D8" i="39"/>
  <c r="J8" i="39" s="1"/>
  <c r="K12" i="38"/>
  <c r="D12" i="39" s="1"/>
  <c r="J12" i="39" s="1"/>
  <c r="L12" i="39" s="1"/>
  <c r="K11" i="38"/>
  <c r="D11" i="39" s="1"/>
  <c r="J11" i="39" s="1"/>
  <c r="L11" i="39" s="1"/>
  <c r="E9" i="38"/>
  <c r="E24" i="38" s="1"/>
  <c r="J9" i="39"/>
  <c r="L9" i="39" s="1"/>
  <c r="J29" i="39"/>
  <c r="L29" i="39" s="1"/>
  <c r="D26" i="39"/>
  <c r="J26" i="39" s="1"/>
  <c r="L26" i="39" s="1"/>
  <c r="D5" i="39"/>
  <c r="E5" i="39" s="1"/>
  <c r="K24" i="39"/>
  <c r="I24" i="39"/>
  <c r="H24" i="39"/>
  <c r="G24" i="39"/>
  <c r="E24" i="39"/>
  <c r="L23" i="39"/>
  <c r="D27" i="38"/>
  <c r="D28" i="38"/>
  <c r="D29" i="38"/>
  <c r="D26" i="38"/>
  <c r="J26" i="38" s="1"/>
  <c r="L26" i="38" s="1"/>
  <c r="D9" i="38"/>
  <c r="J9" i="38" s="1"/>
  <c r="L9" i="38" s="1"/>
  <c r="D10" i="38"/>
  <c r="J10" i="38" s="1"/>
  <c r="L10" i="38" s="1"/>
  <c r="D11" i="38"/>
  <c r="J11" i="38" s="1"/>
  <c r="D12" i="38"/>
  <c r="J12" i="38" s="1"/>
  <c r="D13" i="38"/>
  <c r="J13" i="38" s="1"/>
  <c r="D14" i="38"/>
  <c r="J14" i="38" s="1"/>
  <c r="L14" i="38" s="1"/>
  <c r="D15" i="38"/>
  <c r="J15" i="38" s="1"/>
  <c r="L15" i="38" s="1"/>
  <c r="D16" i="38"/>
  <c r="J16" i="38" s="1"/>
  <c r="L16" i="38" s="1"/>
  <c r="D17" i="38"/>
  <c r="J17" i="38" s="1"/>
  <c r="L17" i="38" s="1"/>
  <c r="D18" i="38"/>
  <c r="J18" i="38" s="1"/>
  <c r="L18" i="38" s="1"/>
  <c r="D19" i="38"/>
  <c r="J19" i="38" s="1"/>
  <c r="L19" i="38" s="1"/>
  <c r="D20" i="38"/>
  <c r="D21" i="38"/>
  <c r="J21" i="38" s="1"/>
  <c r="L21" i="38" s="1"/>
  <c r="D22" i="38"/>
  <c r="J22" i="38" s="1"/>
  <c r="L22" i="38" s="1"/>
  <c r="D8" i="38"/>
  <c r="J8" i="38" s="1"/>
  <c r="D5" i="38"/>
  <c r="E5" i="38" s="1"/>
  <c r="J29" i="38"/>
  <c r="L29" i="38" s="1"/>
  <c r="J28" i="38"/>
  <c r="L28" i="38" s="1"/>
  <c r="J27" i="38"/>
  <c r="L27" i="38" s="1"/>
  <c r="I24" i="38"/>
  <c r="H24" i="38"/>
  <c r="G24" i="38"/>
  <c r="F24" i="38"/>
  <c r="L23" i="38"/>
  <c r="D27" i="36"/>
  <c r="D28" i="36"/>
  <c r="D29" i="36"/>
  <c r="D26" i="36"/>
  <c r="D9" i="36"/>
  <c r="D10" i="36"/>
  <c r="D11" i="36"/>
  <c r="D12" i="36"/>
  <c r="J12" i="36" s="1"/>
  <c r="L12" i="36" s="1"/>
  <c r="D13" i="36"/>
  <c r="D14" i="36"/>
  <c r="D15" i="36"/>
  <c r="D16" i="36"/>
  <c r="J16" i="36" s="1"/>
  <c r="L16" i="36" s="1"/>
  <c r="D17" i="36"/>
  <c r="D18" i="36"/>
  <c r="D19" i="36"/>
  <c r="J19" i="36" s="1"/>
  <c r="L19" i="36" s="1"/>
  <c r="D20" i="36"/>
  <c r="D21" i="36"/>
  <c r="J21" i="36" s="1"/>
  <c r="L21" i="36" s="1"/>
  <c r="D22" i="36"/>
  <c r="J22" i="36" s="1"/>
  <c r="L22" i="36" s="1"/>
  <c r="D8" i="36"/>
  <c r="J8" i="36" s="1"/>
  <c r="D5" i="36"/>
  <c r="E5" i="36" s="1"/>
  <c r="J29" i="36"/>
  <c r="L29" i="36" s="1"/>
  <c r="J28" i="36"/>
  <c r="L28" i="36" s="1"/>
  <c r="J27" i="36"/>
  <c r="L27" i="36" s="1"/>
  <c r="J26" i="36"/>
  <c r="L26" i="36" s="1"/>
  <c r="K24" i="36"/>
  <c r="I24" i="36"/>
  <c r="H24" i="36"/>
  <c r="G24" i="36"/>
  <c r="F24" i="36"/>
  <c r="E24" i="36"/>
  <c r="L23" i="36"/>
  <c r="J18" i="36"/>
  <c r="L18" i="36" s="1"/>
  <c r="J17" i="36"/>
  <c r="L17" i="36" s="1"/>
  <c r="J15" i="36"/>
  <c r="L15" i="36" s="1"/>
  <c r="J14" i="36"/>
  <c r="L14" i="36" s="1"/>
  <c r="J13" i="36"/>
  <c r="L13" i="36" s="1"/>
  <c r="J11" i="36"/>
  <c r="L11" i="36" s="1"/>
  <c r="J10" i="36"/>
  <c r="L10" i="36" s="1"/>
  <c r="J9" i="36"/>
  <c r="L9" i="36" s="1"/>
  <c r="K24" i="35"/>
  <c r="D27" i="35"/>
  <c r="D28" i="35"/>
  <c r="J28" i="35" s="1"/>
  <c r="L28" i="35" s="1"/>
  <c r="D29" i="35"/>
  <c r="D26" i="35"/>
  <c r="J26" i="35" s="1"/>
  <c r="L26" i="35" s="1"/>
  <c r="D9" i="35"/>
  <c r="D11" i="35"/>
  <c r="J11" i="35" s="1"/>
  <c r="L11" i="35" s="1"/>
  <c r="D12" i="35"/>
  <c r="J12" i="35" s="1"/>
  <c r="L12" i="35" s="1"/>
  <c r="D13" i="35"/>
  <c r="J13" i="35" s="1"/>
  <c r="L13" i="35" s="1"/>
  <c r="D14" i="35"/>
  <c r="J14" i="35" s="1"/>
  <c r="L14" i="35" s="1"/>
  <c r="D15" i="35"/>
  <c r="J15" i="35" s="1"/>
  <c r="L15" i="35" s="1"/>
  <c r="D16" i="35"/>
  <c r="J16" i="35" s="1"/>
  <c r="L16" i="35" s="1"/>
  <c r="D17" i="35"/>
  <c r="J17" i="35" s="1"/>
  <c r="L17" i="35" s="1"/>
  <c r="D18" i="35"/>
  <c r="J18" i="35" s="1"/>
  <c r="L18" i="35" s="1"/>
  <c r="D19" i="35"/>
  <c r="J19" i="35" s="1"/>
  <c r="L19" i="35" s="1"/>
  <c r="D20" i="35"/>
  <c r="D21" i="35"/>
  <c r="D22" i="35"/>
  <c r="J22" i="35" s="1"/>
  <c r="L22" i="35" s="1"/>
  <c r="D5" i="35"/>
  <c r="E5" i="35" s="1"/>
  <c r="J29" i="35"/>
  <c r="L29" i="35" s="1"/>
  <c r="J27" i="35"/>
  <c r="L27" i="35" s="1"/>
  <c r="I24" i="35"/>
  <c r="H24" i="35"/>
  <c r="G24" i="35"/>
  <c r="F24" i="35"/>
  <c r="E24" i="35"/>
  <c r="L23" i="35"/>
  <c r="J21" i="35"/>
  <c r="L21" i="35" s="1"/>
  <c r="J9" i="35"/>
  <c r="L9" i="35" s="1"/>
  <c r="K10" i="34"/>
  <c r="D10" i="35" s="1"/>
  <c r="J10" i="35" s="1"/>
  <c r="K8" i="34"/>
  <c r="D27" i="34"/>
  <c r="D28" i="34"/>
  <c r="D29" i="34"/>
  <c r="J29" i="34" s="1"/>
  <c r="L29" i="34" s="1"/>
  <c r="D26" i="34"/>
  <c r="D9" i="34"/>
  <c r="J9" i="34" s="1"/>
  <c r="L9" i="34" s="1"/>
  <c r="D10" i="34"/>
  <c r="J10" i="34" s="1"/>
  <c r="D11" i="34"/>
  <c r="J11" i="34" s="1"/>
  <c r="L11" i="34" s="1"/>
  <c r="D12" i="34"/>
  <c r="J12" i="34" s="1"/>
  <c r="L12" i="34" s="1"/>
  <c r="D13" i="34"/>
  <c r="J13" i="34" s="1"/>
  <c r="L13" i="34" s="1"/>
  <c r="D14" i="34"/>
  <c r="J14" i="34" s="1"/>
  <c r="L14" i="34" s="1"/>
  <c r="D15" i="34"/>
  <c r="J15" i="34" s="1"/>
  <c r="L15" i="34" s="1"/>
  <c r="D16" i="34"/>
  <c r="J16" i="34" s="1"/>
  <c r="L16" i="34" s="1"/>
  <c r="D17" i="34"/>
  <c r="J17" i="34" s="1"/>
  <c r="L17" i="34" s="1"/>
  <c r="D18" i="34"/>
  <c r="D19" i="34"/>
  <c r="J19" i="34" s="1"/>
  <c r="L19" i="34" s="1"/>
  <c r="D20" i="34"/>
  <c r="D21" i="34"/>
  <c r="D22" i="34"/>
  <c r="J22" i="34" s="1"/>
  <c r="L22" i="34" s="1"/>
  <c r="D8" i="34"/>
  <c r="J8" i="34" s="1"/>
  <c r="D5" i="34"/>
  <c r="E5" i="34" s="1"/>
  <c r="J28" i="34"/>
  <c r="L28" i="34" s="1"/>
  <c r="J27" i="34"/>
  <c r="L27" i="34" s="1"/>
  <c r="J26" i="34"/>
  <c r="L26" i="34" s="1"/>
  <c r="I24" i="34"/>
  <c r="H24" i="34"/>
  <c r="G24" i="34"/>
  <c r="F24" i="34"/>
  <c r="E24" i="34"/>
  <c r="L23" i="34"/>
  <c r="J21" i="34"/>
  <c r="L21" i="34" s="1"/>
  <c r="J18" i="34"/>
  <c r="L18" i="34" s="1"/>
  <c r="D5" i="33"/>
  <c r="E5" i="33" s="1"/>
  <c r="D27" i="33"/>
  <c r="J27" i="33" s="1"/>
  <c r="L27" i="33" s="1"/>
  <c r="D28" i="33"/>
  <c r="D29" i="33"/>
  <c r="J29" i="33" s="1"/>
  <c r="L29" i="33" s="1"/>
  <c r="D26" i="33"/>
  <c r="J26" i="33" s="1"/>
  <c r="L26" i="33" s="1"/>
  <c r="D9" i="33"/>
  <c r="J9" i="33" s="1"/>
  <c r="L9" i="33" s="1"/>
  <c r="D10" i="33"/>
  <c r="J10" i="33" s="1"/>
  <c r="L10" i="33" s="1"/>
  <c r="D11" i="33"/>
  <c r="J11" i="33" s="1"/>
  <c r="L11" i="33" s="1"/>
  <c r="D12" i="33"/>
  <c r="J12" i="33" s="1"/>
  <c r="L12" i="33" s="1"/>
  <c r="D13" i="33"/>
  <c r="J13" i="33" s="1"/>
  <c r="L13" i="33" s="1"/>
  <c r="D14" i="33"/>
  <c r="J14" i="33" s="1"/>
  <c r="L14" i="33" s="1"/>
  <c r="D15" i="33"/>
  <c r="J15" i="33" s="1"/>
  <c r="L15" i="33" s="1"/>
  <c r="D16" i="33"/>
  <c r="J16" i="33" s="1"/>
  <c r="L16" i="33" s="1"/>
  <c r="D17" i="33"/>
  <c r="J17" i="33" s="1"/>
  <c r="L17" i="33" s="1"/>
  <c r="D18" i="33"/>
  <c r="J18" i="33" s="1"/>
  <c r="L18" i="33" s="1"/>
  <c r="D19" i="33"/>
  <c r="J19" i="33" s="1"/>
  <c r="L19" i="33" s="1"/>
  <c r="D20" i="33"/>
  <c r="D21" i="33"/>
  <c r="J21" i="33" s="1"/>
  <c r="L21" i="33" s="1"/>
  <c r="D22" i="33"/>
  <c r="D8" i="33"/>
  <c r="J8" i="33" s="1"/>
  <c r="J28" i="33"/>
  <c r="L28" i="33" s="1"/>
  <c r="K24" i="33"/>
  <c r="I24" i="33"/>
  <c r="H24" i="33"/>
  <c r="G24" i="33"/>
  <c r="F24" i="33"/>
  <c r="E24" i="33"/>
  <c r="L23" i="33"/>
  <c r="J22" i="33"/>
  <c r="L22" i="33" s="1"/>
  <c r="J28" i="32"/>
  <c r="L28" i="32" s="1"/>
  <c r="J26" i="32"/>
  <c r="L26" i="32" s="1"/>
  <c r="D5" i="32"/>
  <c r="J29" i="32"/>
  <c r="L29" i="32" s="1"/>
  <c r="J27" i="32"/>
  <c r="L27" i="32" s="1"/>
  <c r="K24" i="32"/>
  <c r="I24" i="32"/>
  <c r="H24" i="32"/>
  <c r="G24" i="32"/>
  <c r="F24" i="32"/>
  <c r="E24" i="32"/>
  <c r="L23" i="32"/>
  <c r="J22" i="32"/>
  <c r="L22" i="32" s="1"/>
  <c r="J21" i="32"/>
  <c r="L21" i="32" s="1"/>
  <c r="J19" i="32"/>
  <c r="L19" i="32" s="1"/>
  <c r="J18" i="32"/>
  <c r="L18" i="32" s="1"/>
  <c r="J17" i="32"/>
  <c r="L17" i="32" s="1"/>
  <c r="J16" i="32"/>
  <c r="L16" i="32" s="1"/>
  <c r="J15" i="32"/>
  <c r="L15" i="32" s="1"/>
  <c r="J14" i="32"/>
  <c r="L14" i="32" s="1"/>
  <c r="J13" i="32"/>
  <c r="L13" i="32" s="1"/>
  <c r="J12" i="32"/>
  <c r="L12" i="32" s="1"/>
  <c r="J11" i="32"/>
  <c r="L11" i="32" s="1"/>
  <c r="J10" i="32"/>
  <c r="L10" i="32" s="1"/>
  <c r="J9" i="32"/>
  <c r="L9" i="32" s="1"/>
  <c r="J8" i="32"/>
  <c r="E5" i="32"/>
  <c r="L10" i="34" l="1"/>
  <c r="K24" i="40"/>
  <c r="M24" i="40" s="1"/>
  <c r="M26" i="41"/>
  <c r="D26" i="42"/>
  <c r="K26" i="42" s="1"/>
  <c r="D27" i="42"/>
  <c r="K27" i="42" s="1"/>
  <c r="M27" i="41"/>
  <c r="M28" i="41"/>
  <c r="D28" i="42"/>
  <c r="K28" i="42" s="1"/>
  <c r="M14" i="42"/>
  <c r="D14" i="43"/>
  <c r="K14" i="43" s="1"/>
  <c r="M12" i="42"/>
  <c r="D12" i="43"/>
  <c r="K12" i="43" s="1"/>
  <c r="M10" i="42"/>
  <c r="D10" i="43"/>
  <c r="K10" i="43" s="1"/>
  <c r="M16" i="42"/>
  <c r="D16" i="43"/>
  <c r="K16" i="43" s="1"/>
  <c r="M18" i="42"/>
  <c r="D18" i="43"/>
  <c r="K18" i="43" s="1"/>
  <c r="M15" i="42"/>
  <c r="D15" i="43"/>
  <c r="K15" i="43" s="1"/>
  <c r="M17" i="42"/>
  <c r="D17" i="43"/>
  <c r="K17" i="43" s="1"/>
  <c r="M19" i="42"/>
  <c r="D19" i="43"/>
  <c r="K19" i="43" s="1"/>
  <c r="M29" i="41"/>
  <c r="D29" i="42"/>
  <c r="K29" i="42" s="1"/>
  <c r="M22" i="41"/>
  <c r="D22" i="42"/>
  <c r="K22" i="42" s="1"/>
  <c r="M21" i="41"/>
  <c r="D21" i="42"/>
  <c r="K21" i="42" s="1"/>
  <c r="K8" i="42"/>
  <c r="D8" i="43" s="1"/>
  <c r="M11" i="40"/>
  <c r="D11" i="41"/>
  <c r="K11" i="41" s="1"/>
  <c r="M9" i="40"/>
  <c r="D9" i="41"/>
  <c r="M13" i="40"/>
  <c r="D13" i="41"/>
  <c r="K13" i="41" s="1"/>
  <c r="M8" i="41"/>
  <c r="L13" i="38"/>
  <c r="K24" i="38"/>
  <c r="L12" i="38"/>
  <c r="L11" i="38"/>
  <c r="K24" i="34"/>
  <c r="D8" i="35"/>
  <c r="J8" i="35" s="1"/>
  <c r="L8" i="35" s="1"/>
  <c r="D24" i="38"/>
  <c r="J24" i="39"/>
  <c r="L24" i="39" s="1"/>
  <c r="L8" i="39"/>
  <c r="D24" i="39"/>
  <c r="J24" i="38"/>
  <c r="L8" i="38"/>
  <c r="J24" i="36"/>
  <c r="L24" i="36" s="1"/>
  <c r="L8" i="36"/>
  <c r="D24" i="36"/>
  <c r="L10" i="35"/>
  <c r="J24" i="34"/>
  <c r="L8" i="34"/>
  <c r="D24" i="34"/>
  <c r="J24" i="33"/>
  <c r="L24" i="33" s="1"/>
  <c r="D24" i="33"/>
  <c r="L8" i="33"/>
  <c r="J24" i="32"/>
  <c r="L24" i="32" s="1"/>
  <c r="L8" i="32"/>
  <c r="D24" i="32"/>
  <c r="D24" i="35" l="1"/>
  <c r="J24" i="35"/>
  <c r="L24" i="35" s="1"/>
  <c r="M26" i="42"/>
  <c r="D26" i="43"/>
  <c r="K26" i="43" s="1"/>
  <c r="M29" i="42"/>
  <c r="D29" i="43"/>
  <c r="K29" i="43" s="1"/>
  <c r="M15" i="43"/>
  <c r="D15" i="44"/>
  <c r="K15" i="44" s="1"/>
  <c r="M18" i="43"/>
  <c r="D18" i="44"/>
  <c r="K18" i="44" s="1"/>
  <c r="M16" i="43"/>
  <c r="D16" i="44"/>
  <c r="K16" i="44" s="1"/>
  <c r="M10" i="43"/>
  <c r="D10" i="44"/>
  <c r="K10" i="44" s="1"/>
  <c r="M12" i="43"/>
  <c r="D12" i="44"/>
  <c r="K12" i="44" s="1"/>
  <c r="M14" i="43"/>
  <c r="D14" i="44"/>
  <c r="K14" i="44" s="1"/>
  <c r="M28" i="42"/>
  <c r="D28" i="43"/>
  <c r="K28" i="43" s="1"/>
  <c r="M19" i="43"/>
  <c r="D19" i="44"/>
  <c r="K19" i="44" s="1"/>
  <c r="M27" i="42"/>
  <c r="D27" i="43"/>
  <c r="K27" i="43" s="1"/>
  <c r="M17" i="43"/>
  <c r="D17" i="44"/>
  <c r="K17" i="44" s="1"/>
  <c r="M21" i="42"/>
  <c r="D21" i="43"/>
  <c r="K21" i="43" s="1"/>
  <c r="M22" i="42"/>
  <c r="D22" i="43"/>
  <c r="K22" i="43" s="1"/>
  <c r="K8" i="43"/>
  <c r="D8" i="44" s="1"/>
  <c r="K8" i="44" s="1"/>
  <c r="M11" i="41"/>
  <c r="D11" i="42"/>
  <c r="K11" i="42" s="1"/>
  <c r="M13" i="41"/>
  <c r="D13" i="42"/>
  <c r="K13" i="42" s="1"/>
  <c r="M8" i="42"/>
  <c r="K9" i="41"/>
  <c r="D9" i="42" s="1"/>
  <c r="D24" i="41"/>
  <c r="L24" i="38"/>
  <c r="L24" i="34"/>
  <c r="M26" i="43" l="1"/>
  <c r="D26" i="44"/>
  <c r="K26" i="44" s="1"/>
  <c r="M27" i="43"/>
  <c r="D27" i="44"/>
  <c r="K27" i="44" s="1"/>
  <c r="M28" i="43"/>
  <c r="D28" i="44"/>
  <c r="K28" i="44" s="1"/>
  <c r="M14" i="44"/>
  <c r="D14" i="45"/>
  <c r="K14" i="45" s="1"/>
  <c r="M14" i="45" s="1"/>
  <c r="M12" i="44"/>
  <c r="D12" i="45"/>
  <c r="K12" i="45" s="1"/>
  <c r="M12" i="45" s="1"/>
  <c r="M10" i="44"/>
  <c r="D10" i="45"/>
  <c r="K10" i="45" s="1"/>
  <c r="M10" i="45" s="1"/>
  <c r="M16" i="44"/>
  <c r="D16" i="45"/>
  <c r="K16" i="45" s="1"/>
  <c r="M16" i="45" s="1"/>
  <c r="M18" i="44"/>
  <c r="D18" i="45"/>
  <c r="K18" i="45" s="1"/>
  <c r="M18" i="45" s="1"/>
  <c r="D15" i="45"/>
  <c r="K15" i="45" s="1"/>
  <c r="M15" i="45" s="1"/>
  <c r="M15" i="44"/>
  <c r="M29" i="43"/>
  <c r="D29" i="44"/>
  <c r="K29" i="44" s="1"/>
  <c r="D19" i="45"/>
  <c r="K19" i="45" s="1"/>
  <c r="M19" i="45" s="1"/>
  <c r="M19" i="44"/>
  <c r="M22" i="43"/>
  <c r="D22" i="44"/>
  <c r="K22" i="44" s="1"/>
  <c r="M21" i="43"/>
  <c r="D21" i="44"/>
  <c r="K21" i="44" s="1"/>
  <c r="M17" i="44"/>
  <c r="D17" i="45"/>
  <c r="K17" i="45" s="1"/>
  <c r="M17" i="45" s="1"/>
  <c r="M27" i="46"/>
  <c r="K27" i="47"/>
  <c r="M27" i="47" s="1"/>
  <c r="M8" i="44"/>
  <c r="D8" i="45"/>
  <c r="M8" i="43"/>
  <c r="M13" i="42"/>
  <c r="D13" i="43"/>
  <c r="K13" i="43" s="1"/>
  <c r="M11" i="42"/>
  <c r="D11" i="43"/>
  <c r="K11" i="43" s="1"/>
  <c r="K9" i="42"/>
  <c r="D9" i="43" s="1"/>
  <c r="D24" i="42"/>
  <c r="M9" i="41"/>
  <c r="K24" i="41"/>
  <c r="M24" i="41" s="1"/>
  <c r="M26" i="44" l="1"/>
  <c r="D26" i="45"/>
  <c r="K26" i="45" s="1"/>
  <c r="M26" i="45" s="1"/>
  <c r="M11" i="43"/>
  <c r="D11" i="44"/>
  <c r="K11" i="44" s="1"/>
  <c r="D22" i="45"/>
  <c r="K22" i="45" s="1"/>
  <c r="M22" i="45" s="1"/>
  <c r="M22" i="44"/>
  <c r="M29" i="44"/>
  <c r="D29" i="45"/>
  <c r="K29" i="45" s="1"/>
  <c r="M29" i="45" s="1"/>
  <c r="M28" i="44"/>
  <c r="D28" i="45"/>
  <c r="K28" i="45" s="1"/>
  <c r="M28" i="45" s="1"/>
  <c r="M27" i="44"/>
  <c r="D27" i="45"/>
  <c r="K27" i="45" s="1"/>
  <c r="M27" i="45" s="1"/>
  <c r="M13" i="43"/>
  <c r="D13" i="44"/>
  <c r="K13" i="44" s="1"/>
  <c r="M21" i="44"/>
  <c r="D21" i="45"/>
  <c r="K21" i="45" s="1"/>
  <c r="M21" i="45" s="1"/>
  <c r="K8" i="45"/>
  <c r="K8" i="46" s="1"/>
  <c r="K9" i="43"/>
  <c r="D9" i="44" s="1"/>
  <c r="K9" i="44" s="1"/>
  <c r="D24" i="43"/>
  <c r="M9" i="42"/>
  <c r="K24" i="42"/>
  <c r="M24" i="42" s="1"/>
  <c r="M13" i="44" l="1"/>
  <c r="D13" i="45"/>
  <c r="K13" i="45" s="1"/>
  <c r="M13" i="45" s="1"/>
  <c r="M11" i="44"/>
  <c r="D11" i="45"/>
  <c r="K11" i="45" s="1"/>
  <c r="M11" i="45" s="1"/>
  <c r="M9" i="44"/>
  <c r="D9" i="45"/>
  <c r="K24" i="44"/>
  <c r="M24" i="44" s="1"/>
  <c r="K8" i="47"/>
  <c r="M8" i="46"/>
  <c r="K24" i="46"/>
  <c r="M24" i="46" s="1"/>
  <c r="M8" i="45"/>
  <c r="M9" i="43"/>
  <c r="K24" i="43"/>
  <c r="K9" i="45" l="1"/>
  <c r="D24" i="45"/>
  <c r="K24" i="47"/>
  <c r="M24" i="47" s="1"/>
  <c r="M8" i="47"/>
  <c r="M24" i="43"/>
  <c r="D24" i="44"/>
  <c r="M9" i="45" l="1"/>
  <c r="K24" i="45"/>
  <c r="M24" i="45" s="1"/>
  <c r="D8" i="166"/>
  <c r="N8" i="166" s="1"/>
  <c r="P8" i="166" s="1"/>
  <c r="P8" i="165"/>
  <c r="D16" i="198"/>
  <c r="N16" i="198" s="1"/>
  <c r="P16" i="198" s="1"/>
  <c r="P16" i="197"/>
  <c r="P10" i="248" l="1"/>
</calcChain>
</file>

<file path=xl/comments1.xml><?xml version="1.0" encoding="utf-8"?>
<comments xmlns="http://schemas.openxmlformats.org/spreadsheetml/2006/main">
  <authors>
    <author>Huyen</author>
  </authors>
  <commentList>
    <comment ref="H12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MUON CT</t>
        </r>
      </text>
    </comment>
  </commentList>
</comments>
</file>

<file path=xl/comments10.xml><?xml version="1.0" encoding="utf-8"?>
<comments xmlns="http://schemas.openxmlformats.org/spreadsheetml/2006/main">
  <authors>
    <author>BMTC</author>
  </authors>
  <commentList>
    <comment ref="G20" authorId="0">
      <text>
        <r>
          <rPr>
            <b/>
            <sz val="8"/>
            <color indexed="81"/>
            <rFont val="Tahoma"/>
            <family val="2"/>
          </rPr>
          <t>10 BỊCH LẤY TRƯỚC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BMTC</author>
  </authors>
  <commentList>
    <comment ref="R17" authorId="0">
      <text>
        <r>
          <rPr>
            <b/>
            <sz val="8"/>
            <color indexed="81"/>
            <rFont val="Tahoma"/>
            <family val="2"/>
          </rPr>
          <t>GIAO NT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Huyen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BS MGAY 26/04
</t>
        </r>
      </text>
    </comment>
  </commentList>
</comments>
</file>

<file path=xl/comments3.xml><?xml version="1.0" encoding="utf-8"?>
<comments xmlns="http://schemas.openxmlformats.org/spreadsheetml/2006/main">
  <authors>
    <author>Huyen</author>
  </authors>
  <commentList>
    <comment ref="E23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BOT C PHA :20 GÓI</t>
        </r>
      </text>
    </comment>
  </commentList>
</comments>
</file>

<file path=xl/comments4.xml><?xml version="1.0" encoding="utf-8"?>
<comments xmlns="http://schemas.openxmlformats.org/spreadsheetml/2006/main">
  <authors>
    <author>Huyen</author>
  </authors>
  <commentList>
    <comment ref="H16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MUON BEN VIVO, CT SE TRA SAU</t>
        </r>
      </text>
    </comment>
  </commentList>
</comments>
</file>

<file path=xl/comments5.xml><?xml version="1.0" encoding="utf-8"?>
<comments xmlns="http://schemas.openxmlformats.org/spreadsheetml/2006/main">
  <authors>
    <author>Huyen</author>
  </authors>
  <commentList>
    <comment ref="P14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HỦY 1 CỤC DO NỞ VÀ BỊ RÁCH</t>
        </r>
      </text>
    </comment>
  </commentList>
</comments>
</file>

<file path=xl/comments6.xml><?xml version="1.0" encoding="utf-8"?>
<comments xmlns="http://schemas.openxmlformats.org/spreadsheetml/2006/main">
  <authors>
    <author>Huyen</author>
  </authors>
  <commentList>
    <comment ref="P9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hủy bị nở
</t>
        </r>
      </text>
    </comment>
  </commentList>
</comments>
</file>

<file path=xl/comments7.xml><?xml version="1.0" encoding="utf-8"?>
<comments xmlns="http://schemas.openxmlformats.org/spreadsheetml/2006/main">
  <authors>
    <author>bienhoa</author>
  </authors>
  <commentList>
    <comment ref="G13" authorId="0">
      <text>
        <r>
          <rPr>
            <b/>
            <sz val="9"/>
            <color indexed="81"/>
            <rFont val="Tahoma"/>
            <charset val="1"/>
          </rPr>
          <t>không có giao chỉ có ngày 11/06 chú Phước chở xuống</t>
        </r>
      </text>
    </comment>
  </commentList>
</comments>
</file>

<file path=xl/comments8.xml><?xml version="1.0" encoding="utf-8"?>
<comments xmlns="http://schemas.openxmlformats.org/spreadsheetml/2006/main">
  <authors>
    <author>bienhoa</author>
  </authors>
  <commentList>
    <comment ref="G17" authorId="0">
      <text>
        <r>
          <rPr>
            <b/>
            <sz val="9"/>
            <color indexed="81"/>
            <rFont val="Tahoma"/>
            <family val="2"/>
          </rPr>
          <t>quên giao nên phải lấy sau</t>
        </r>
      </text>
    </comment>
  </commentList>
</comments>
</file>

<file path=xl/comments9.xml><?xml version="1.0" encoding="utf-8"?>
<comments xmlns="http://schemas.openxmlformats.org/spreadsheetml/2006/main">
  <authors>
    <author>BMTC</author>
  </authors>
  <commentList>
    <comment ref="R21" authorId="0">
      <text>
        <r>
          <rPr>
            <b/>
            <sz val="8"/>
            <color indexed="81"/>
            <rFont val="Tahoma"/>
            <family val="2"/>
          </rPr>
          <t>XUẤT NHA TRANG</t>
        </r>
      </text>
    </comment>
  </commentList>
</comments>
</file>

<file path=xl/sharedStrings.xml><?xml version="1.0" encoding="utf-8"?>
<sst xmlns="http://schemas.openxmlformats.org/spreadsheetml/2006/main" count="15653" uniqueCount="130">
  <si>
    <t>THEO DÕI NHẬP XUẤT TỒN BỘT BTP HÀNG NGÀY</t>
  </si>
  <si>
    <t>NGÀY</t>
  </si>
  <si>
    <t>STT</t>
  </si>
  <si>
    <t>Tên bột BTP</t>
  </si>
  <si>
    <t>ĐVT</t>
  </si>
  <si>
    <t>TĐ</t>
  </si>
  <si>
    <t>NHẬP</t>
  </si>
  <si>
    <t>Xuất</t>
  </si>
  <si>
    <t>TC</t>
  </si>
  <si>
    <t>T.T TẾ</t>
  </si>
  <si>
    <t>CL</t>
  </si>
  <si>
    <t>CT</t>
  </si>
  <si>
    <t>Croissant</t>
  </si>
  <si>
    <t>Cái</t>
  </si>
  <si>
    <t>Croissant ham</t>
  </si>
  <si>
    <t>Croisant 12x8</t>
  </si>
  <si>
    <t>Croissant mini</t>
  </si>
  <si>
    <t>cái</t>
  </si>
  <si>
    <t>Danish vuông</t>
  </si>
  <si>
    <t>Danish tròn</t>
  </si>
  <si>
    <t xml:space="preserve">Danish bar dày </t>
  </si>
  <si>
    <t>mâm</t>
  </si>
  <si>
    <t>Danish bar mỏng</t>
  </si>
  <si>
    <t>Smart Aleck 2,3 kg /cục</t>
  </si>
  <si>
    <t>cục</t>
  </si>
  <si>
    <t>Chocolate Mêxico</t>
  </si>
  <si>
    <t>Only U Toping</t>
  </si>
  <si>
    <t>cây</t>
  </si>
  <si>
    <t>chinese pastry</t>
  </si>
  <si>
    <t>Cro-Donut</t>
  </si>
  <si>
    <t>Kaya dome</t>
  </si>
  <si>
    <t>Raisin dome</t>
  </si>
  <si>
    <t>Total</t>
  </si>
  <si>
    <t>CF</t>
  </si>
  <si>
    <t>Croissant nhỏ</t>
  </si>
  <si>
    <t>Danish tròn nhỏ</t>
  </si>
  <si>
    <t>Danish vuông nhỏ</t>
  </si>
  <si>
    <t>Custard raisin</t>
  </si>
  <si>
    <t>NTP</t>
  </si>
  <si>
    <t>PXL</t>
  </si>
  <si>
    <t>PICO</t>
  </si>
  <si>
    <t>Q7</t>
  </si>
  <si>
    <t>VC</t>
  </si>
  <si>
    <t>VT</t>
  </si>
  <si>
    <t>AEON</t>
  </si>
  <si>
    <t>NO</t>
  </si>
  <si>
    <t>Q2</t>
  </si>
  <si>
    <t>KS</t>
  </si>
  <si>
    <t>QUẬN 7</t>
  </si>
  <si>
    <t>VINCOM</t>
  </si>
  <si>
    <t>AOEN</t>
  </si>
  <si>
    <t>Q.7</t>
  </si>
  <si>
    <t>VIVO</t>
  </si>
  <si>
    <t>AOEN MALL</t>
  </si>
  <si>
    <t>Q.2</t>
  </si>
  <si>
    <t>CRESENT</t>
  </si>
  <si>
    <t>CRESENT MALL</t>
  </si>
  <si>
    <t xml:space="preserve"> </t>
  </si>
  <si>
    <t>VTAU</t>
  </si>
  <si>
    <t xml:space="preserve">CRESENT </t>
  </si>
  <si>
    <t>VIV0</t>
  </si>
  <si>
    <t>vc</t>
  </si>
  <si>
    <t>AEON MALL</t>
  </si>
  <si>
    <t>BỘT S PHA</t>
  </si>
  <si>
    <t>BỊCH</t>
  </si>
  <si>
    <t xml:space="preserve">KHO CHÍNH </t>
  </si>
  <si>
    <t>KHO CHÍNH</t>
  </si>
  <si>
    <t>GÓI</t>
  </si>
  <si>
    <t>kho chinh</t>
  </si>
  <si>
    <t>VIVO BS</t>
  </si>
  <si>
    <t>AEONMALL</t>
  </si>
  <si>
    <t>KHO NTP</t>
  </si>
  <si>
    <t>KHO CHINH NTP</t>
  </si>
  <si>
    <t>BỘT C PHA</t>
  </si>
  <si>
    <t>KHO CHÍNH NTP</t>
  </si>
  <si>
    <t xml:space="preserve">  </t>
  </si>
  <si>
    <t>kho ntp</t>
  </si>
  <si>
    <t>BIÊN HÒA</t>
  </si>
  <si>
    <t>QT</t>
  </si>
  <si>
    <t>BIEN HÒA</t>
  </si>
  <si>
    <t>QUANG TRUNG</t>
  </si>
  <si>
    <t>VŨNG TÀU</t>
  </si>
  <si>
    <t>QUẬN 2</t>
  </si>
  <si>
    <t xml:space="preserve"> KHONTP</t>
  </si>
  <si>
    <t>CÔNG TY CỔ PHẦN BÌNH MINH TOÀN CẦU</t>
  </si>
  <si>
    <t>LỊCH GIAO HÀNG KHO</t>
  </si>
  <si>
    <t>THỨ 2</t>
  </si>
  <si>
    <t>CANTAVIL QUẬN 2</t>
  </si>
  <si>
    <t>CAO THẮNG</t>
  </si>
  <si>
    <t>THỨ 3</t>
  </si>
  <si>
    <t>VINCOM QUANG TRUNG</t>
  </si>
  <si>
    <t>THỨ 4</t>
  </si>
  <si>
    <t>NGUYỄN TRI PHƯƠNG</t>
  </si>
  <si>
    <t>PHAN XÍCH LONG</t>
  </si>
  <si>
    <t>PICO CỘNG HÒA</t>
  </si>
  <si>
    <t>THỨ 5</t>
  </si>
  <si>
    <t>CRESENT MALL QUẬN 7</t>
  </si>
  <si>
    <t>VIVO QUẬN 7</t>
  </si>
  <si>
    <t>THỨ 6</t>
  </si>
  <si>
    <t>VINCOM BIÊN HÒA</t>
  </si>
  <si>
    <t>THỨ 7</t>
  </si>
  <si>
    <t>VINCOM QUẬN 1</t>
  </si>
  <si>
    <t>MK</t>
  </si>
  <si>
    <t>CỤC</t>
  </si>
  <si>
    <t>QUẬN  7</t>
  </si>
  <si>
    <t>HỦY</t>
  </si>
  <si>
    <t>TOTAL</t>
  </si>
  <si>
    <t>Bột Japan</t>
  </si>
  <si>
    <t>Bột Green tea</t>
  </si>
  <si>
    <t>Bột Vanilla</t>
  </si>
  <si>
    <t>Bột S pha</t>
  </si>
  <si>
    <t>Bịch</t>
  </si>
  <si>
    <t>Bột Choco</t>
  </si>
  <si>
    <t>Wat Topping</t>
  </si>
  <si>
    <t>SGC</t>
  </si>
  <si>
    <t xml:space="preserve">                                                      </t>
  </si>
  <si>
    <t>B.TÂN</t>
  </si>
  <si>
    <t>CH</t>
  </si>
  <si>
    <t>TQD</t>
  </si>
  <si>
    <t>BH</t>
  </si>
  <si>
    <t>KHO TQD</t>
  </si>
  <si>
    <t>Bột MF Choco</t>
  </si>
  <si>
    <t>Bột MF Greentea</t>
  </si>
  <si>
    <t>Bột MF Raisin</t>
  </si>
  <si>
    <t>TỔNG
XUẤT</t>
  </si>
  <si>
    <t>TỔNG</t>
  </si>
  <si>
    <t>NĐC</t>
  </si>
  <si>
    <t>TỔNG HỢP SỐ LƯỢNG BTP NHẬP T6</t>
  </si>
  <si>
    <t>TỔNG HỢP SỐ LƯỢNG BTP XUẤT T6</t>
  </si>
  <si>
    <t>THÁNG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</si>
</sst>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m/d;@"/>
    <numFmt numFmtId="165" formatCode="[$-409]d\-mmm;@"/>
  </numFmts>
  <fonts count="31">
    <font>
      <sz val="11"/>
      <color indexed="8"/>
      <name val="Calibri"/>
      <family val="2"/>
      <charset val="134"/>
    </font>
    <font>
      <sz val="11"/>
      <color indexed="8"/>
      <name val="Times New Roman"/>
      <family val="1"/>
      <charset val="134"/>
    </font>
    <font>
      <sz val="18"/>
      <color indexed="10"/>
      <name val="Times New Roman"/>
      <family val="1"/>
      <charset val="134"/>
    </font>
    <font>
      <sz val="16"/>
      <color indexed="8"/>
      <name val="Times New Roman"/>
      <family val="1"/>
      <charset val="134"/>
    </font>
    <font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sz val="12"/>
      <name val="Times New Roman"/>
      <family val="1"/>
      <charset val="134"/>
    </font>
    <font>
      <sz val="14"/>
      <color indexed="8"/>
      <name val="Calibri"/>
      <family val="2"/>
      <charset val="134"/>
    </font>
    <font>
      <sz val="12"/>
      <color indexed="8"/>
      <name val="Times New Roman"/>
      <family val="1"/>
      <charset val="134"/>
    </font>
    <font>
      <sz val="11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9" tint="0.39997558519241921"/>
      <name val="Times New Roman"/>
      <family val="1"/>
      <charset val="134"/>
    </font>
    <font>
      <sz val="10"/>
      <color indexed="10"/>
      <name val="Times New Roman"/>
      <family val="1"/>
      <charset val="134"/>
    </font>
    <font>
      <sz val="12"/>
      <color indexed="8"/>
      <name val="Times New Roman"/>
      <family val="1"/>
    </font>
    <font>
      <b/>
      <sz val="20"/>
      <color indexed="8"/>
      <name val="Times New Roman"/>
      <family val="1"/>
    </font>
    <font>
      <u/>
      <sz val="12"/>
      <color indexed="8"/>
      <name val="Times New Roman"/>
      <family val="1"/>
    </font>
    <font>
      <sz val="14"/>
      <color rgb="FFFF0000"/>
      <name val="Times New Roman"/>
      <family val="1"/>
      <charset val="134"/>
    </font>
    <font>
      <b/>
      <sz val="11"/>
      <color indexed="8"/>
      <name val="Times New Roman"/>
      <family val="1"/>
    </font>
    <font>
      <sz val="14"/>
      <color rgb="FF7030A0"/>
      <name val="Times New Roman"/>
      <family val="1"/>
      <charset val="134"/>
    </font>
    <font>
      <b/>
      <sz val="14"/>
      <color rgb="FF7030A0"/>
      <name val="Times New Roman"/>
      <family val="1"/>
    </font>
    <font>
      <sz val="12"/>
      <color rgb="FFFF0000"/>
      <name val="Times New Roman"/>
      <family val="1"/>
      <charset val="134"/>
    </font>
    <font>
      <sz val="14"/>
      <color indexed="8"/>
      <name val="Times New Roman"/>
      <family val="1"/>
    </font>
    <font>
      <sz val="11"/>
      <color rgb="FFFF0000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Times New Roman"/>
      <family val="1"/>
      <charset val="134"/>
    </font>
    <font>
      <sz val="11"/>
      <color rgb="FFFF0000"/>
      <name val="Calibri"/>
      <family val="2"/>
      <charset val="134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</cellStyleXfs>
  <cellXfs count="318">
    <xf numFmtId="0" fontId="0" fillId="0" borderId="0" xfId="0" applyAlignment="1"/>
    <xf numFmtId="0" fontId="1" fillId="0" borderId="0" xfId="0" applyFont="1" applyAlignment="1"/>
    <xf numFmtId="0" fontId="3" fillId="2" borderId="0" xfId="0" applyFont="1" applyFill="1" applyAlignment="1"/>
    <xf numFmtId="0" fontId="1" fillId="2" borderId="0" xfId="0" applyFont="1" applyFill="1" applyAlignment="1"/>
    <xf numFmtId="14" fontId="4" fillId="3" borderId="1" xfId="0" applyNumberFormat="1" applyFont="1" applyFill="1" applyBorder="1" applyAlignment="1"/>
    <xf numFmtId="0" fontId="6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41" fontId="4" fillId="0" borderId="1" xfId="0" applyNumberFormat="1" applyFont="1" applyBorder="1" applyAlignment="1">
      <alignment horizontal="center" vertical="center"/>
    </xf>
    <xf numFmtId="43" fontId="1" fillId="0" borderId="1" xfId="0" applyNumberFormat="1" applyFont="1" applyBorder="1" applyAlignment="1"/>
    <xf numFmtId="1" fontId="7" fillId="0" borderId="1" xfId="0" applyNumberFormat="1" applyFont="1" applyBorder="1" applyAlignment="1">
      <alignment horizontal="center"/>
    </xf>
    <xf numFmtId="0" fontId="0" fillId="0" borderId="1" xfId="0" applyBorder="1" applyAlignment="1"/>
    <xf numFmtId="0" fontId="4" fillId="0" borderId="6" xfId="0" applyFont="1" applyBorder="1" applyAlignment="1"/>
    <xf numFmtId="41" fontId="4" fillId="0" borderId="5" xfId="0" applyNumberFormat="1" applyFont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Border="1" applyAlignment="1"/>
    <xf numFmtId="0" fontId="4" fillId="0" borderId="1" xfId="0" applyFont="1" applyBorder="1" applyAlignment="1"/>
    <xf numFmtId="43" fontId="0" fillId="0" borderId="1" xfId="1" applyFont="1" applyBorder="1" applyAlignme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43" fontId="1" fillId="4" borderId="1" xfId="0" applyNumberFormat="1" applyFont="1" applyFill="1" applyBorder="1" applyAlignment="1"/>
    <xf numFmtId="43" fontId="1" fillId="4" borderId="1" xfId="0" applyNumberFormat="1" applyFont="1" applyFill="1" applyBorder="1" applyAlignment="1">
      <alignment horizontal="center"/>
    </xf>
    <xf numFmtId="0" fontId="8" fillId="0" borderId="1" xfId="0" applyFont="1" applyBorder="1" applyAlignment="1"/>
    <xf numFmtId="0" fontId="1" fillId="0" borderId="1" xfId="0" applyFont="1" applyBorder="1" applyAlignment="1"/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/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/>
    </xf>
    <xf numFmtId="43" fontId="1" fillId="0" borderId="0" xfId="0" applyNumberFormat="1" applyFont="1" applyBorder="1" applyAlignment="1"/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43" fontId="1" fillId="6" borderId="1" xfId="0" applyNumberFormat="1" applyFont="1" applyFill="1" applyBorder="1" applyAlignment="1"/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43" fontId="13" fillId="6" borderId="1" xfId="0" applyNumberFormat="1" applyFont="1" applyFill="1" applyBorder="1" applyAlignment="1"/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5" fillId="0" borderId="0" xfId="0" applyFont="1" applyAlignment="1"/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2" fontId="1" fillId="0" borderId="1" xfId="0" applyNumberFormat="1" applyFont="1" applyBorder="1" applyAlignment="1"/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/>
    <xf numFmtId="0" fontId="18" fillId="4" borderId="1" xfId="0" applyFont="1" applyFill="1" applyBorder="1" applyAlignment="1">
      <alignment horizontal="center"/>
    </xf>
    <xf numFmtId="43" fontId="19" fillId="4" borderId="1" xfId="0" applyNumberFormat="1" applyFont="1" applyFill="1" applyBorder="1" applyAlignment="1"/>
    <xf numFmtId="0" fontId="20" fillId="0" borderId="1" xfId="0" applyFont="1" applyBorder="1" applyAlignment="1"/>
    <xf numFmtId="0" fontId="21" fillId="0" borderId="1" xfId="0" applyFont="1" applyBorder="1" applyAlignment="1"/>
    <xf numFmtId="43" fontId="0" fillId="0" borderId="0" xfId="0" applyNumberFormat="1" applyAlignment="1"/>
    <xf numFmtId="0" fontId="23" fillId="0" borderId="1" xfId="0" applyFont="1" applyBorder="1" applyAlignment="1"/>
    <xf numFmtId="1" fontId="22" fillId="7" borderId="1" xfId="0" applyNumberFormat="1" applyFont="1" applyFill="1" applyBorder="1" applyAlignment="1">
      <alignment horizontal="center"/>
    </xf>
    <xf numFmtId="41" fontId="0" fillId="0" borderId="1" xfId="0" applyNumberFormat="1" applyBorder="1" applyAlignment="1"/>
    <xf numFmtId="41" fontId="1" fillId="0" borderId="1" xfId="0" applyNumberFormat="1" applyFont="1" applyBorder="1" applyAlignment="1"/>
    <xf numFmtId="165" fontId="22" fillId="7" borderId="1" xfId="0" applyNumberFormat="1" applyFont="1" applyFill="1" applyBorder="1" applyAlignment="1"/>
    <xf numFmtId="165" fontId="22" fillId="7" borderId="1" xfId="0" applyNumberFormat="1" applyFont="1" applyFill="1" applyBorder="1" applyAlignment="1">
      <alignment horizontal="center"/>
    </xf>
    <xf numFmtId="0" fontId="6" fillId="8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165" fontId="22" fillId="7" borderId="3" xfId="0" applyNumberFormat="1" applyFont="1" applyFill="1" applyBorder="1" applyAlignment="1">
      <alignment horizontal="center"/>
    </xf>
    <xf numFmtId="41" fontId="7" fillId="0" borderId="1" xfId="0" applyNumberFormat="1" applyFont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 vertical="center"/>
    </xf>
    <xf numFmtId="0" fontId="0" fillId="7" borderId="1" xfId="0" applyFill="1" applyBorder="1" applyAlignment="1"/>
    <xf numFmtId="0" fontId="6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27" fillId="0" borderId="1" xfId="0" applyFont="1" applyBorder="1" applyAlignment="1"/>
    <xf numFmtId="0" fontId="28" fillId="0" borderId="0" xfId="0" applyFont="1" applyAlignment="1"/>
    <xf numFmtId="0" fontId="28" fillId="2" borderId="0" xfId="0" applyFont="1" applyFill="1" applyAlignment="1"/>
    <xf numFmtId="0" fontId="28" fillId="4" borderId="6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29" fillId="0" borderId="1" xfId="0" applyFont="1" applyBorder="1" applyAlignment="1"/>
    <xf numFmtId="43" fontId="28" fillId="0" borderId="1" xfId="0" applyNumberFormat="1" applyFont="1" applyBorder="1" applyAlignment="1"/>
    <xf numFmtId="43" fontId="28" fillId="4" borderId="1" xfId="0" applyNumberFormat="1" applyFont="1" applyFill="1" applyBorder="1" applyAlignment="1"/>
    <xf numFmtId="0" fontId="28" fillId="0" borderId="1" xfId="0" applyFont="1" applyBorder="1" applyAlignment="1"/>
    <xf numFmtId="0" fontId="29" fillId="0" borderId="0" xfId="0" applyFont="1" applyAlignment="1"/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" fontId="22" fillId="7" borderId="3" xfId="0" applyNumberFormat="1" applyFont="1" applyFill="1" applyBorder="1" applyAlignment="1">
      <alignment horizontal="center"/>
    </xf>
    <xf numFmtId="1" fontId="22" fillId="7" borderId="5" xfId="0" applyNumberFormat="1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/>
    </xf>
    <xf numFmtId="1" fontId="22" fillId="7" borderId="11" xfId="0" applyNumberFormat="1" applyFont="1" applyFill="1" applyBorder="1" applyAlignment="1">
      <alignment horizontal="center"/>
    </xf>
    <xf numFmtId="1" fontId="22" fillId="7" borderId="10" xfId="0" applyNumberFormat="1" applyFont="1" applyFill="1" applyBorder="1" applyAlignment="1">
      <alignment horizontal="center"/>
    </xf>
    <xf numFmtId="1" fontId="22" fillId="7" borderId="9" xfId="0" applyNumberFormat="1" applyFont="1" applyFill="1" applyBorder="1" applyAlignment="1">
      <alignment horizontal="center"/>
    </xf>
    <xf numFmtId="1" fontId="22" fillId="7" borderId="12" xfId="0" applyNumberFormat="1" applyFont="1" applyFill="1" applyBorder="1" applyAlignment="1">
      <alignment horizontal="center"/>
    </xf>
    <xf numFmtId="1" fontId="22" fillId="7" borderId="13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1" fontId="7" fillId="8" borderId="1" xfId="0" applyNumberFormat="1" applyFont="1" applyFill="1" applyBorder="1" applyAlignment="1">
      <alignment horizontal="center"/>
    </xf>
    <xf numFmtId="1" fontId="7" fillId="9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externalLink" Target="externalLinks/externalLink1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281" Type="http://schemas.openxmlformats.org/officeDocument/2006/relationships/theme" Target="theme/theme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calcChain" Target="calcChain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cc\Local%20Settings\Temporary%20Internet%20Files\Content.Outlook\6KVBFHAN\THEO%20D&#213;I%20NXT%20B&#7896;T%20BTP%20T4-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4-2015"/>
      <sheetName val="T.NHẬP"/>
      <sheetName val="T.XUẤT"/>
      <sheetName val="TH NXT"/>
      <sheetName val="CT"/>
      <sheetName val="VC"/>
      <sheetName val="NO"/>
      <sheetName val="NTP"/>
      <sheetName val="Q2"/>
      <sheetName val="Q7"/>
      <sheetName val="BD"/>
      <sheetName val="AEON"/>
      <sheetName val="VT"/>
      <sheetName val="PICO"/>
      <sheetName val="PXL"/>
      <sheetName val="VIVO"/>
      <sheetName val="CF"/>
      <sheetName val="X.HỦY"/>
      <sheetName val="Sheet1"/>
    </sheetNames>
    <sheetDataSet>
      <sheetData sheetId="0">
        <row r="154">
          <cell r="S154">
            <v>150</v>
          </cell>
        </row>
        <row r="155">
          <cell r="S155">
            <v>60</v>
          </cell>
        </row>
        <row r="156">
          <cell r="S156">
            <v>185</v>
          </cell>
        </row>
        <row r="157">
          <cell r="S157">
            <v>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9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2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5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52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6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9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3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0" max="10" width="10.85546875" customWidth="1"/>
    <col min="11" max="11" width="11.5703125" customWidth="1"/>
    <col min="12" max="12" width="11.140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</row>
    <row r="3" spans="1:12" ht="20.25">
      <c r="A3" s="1"/>
      <c r="B3" s="1"/>
      <c r="C3" s="1"/>
      <c r="D3" s="1"/>
      <c r="E3" s="2"/>
      <c r="F3" s="3"/>
      <c r="G3" s="3"/>
      <c r="H3" s="3"/>
      <c r="I3" s="3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.75">
      <c r="A5" s="292" t="s">
        <v>1</v>
      </c>
      <c r="B5" s="292"/>
      <c r="C5" s="292"/>
      <c r="D5" s="4">
        <f>DATE(2015,3,31)</f>
        <v>42094</v>
      </c>
      <c r="E5" s="293">
        <f>D5+1</f>
        <v>42095</v>
      </c>
      <c r="F5" s="294"/>
      <c r="G5" s="294"/>
      <c r="H5" s="294"/>
      <c r="I5" s="294"/>
      <c r="J5" s="294"/>
      <c r="K5" s="294"/>
      <c r="L5" s="294"/>
    </row>
    <row r="6" spans="1:12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302" t="s">
        <v>8</v>
      </c>
      <c r="K6" s="289" t="s">
        <v>9</v>
      </c>
      <c r="L6" s="289" t="s">
        <v>10</v>
      </c>
    </row>
    <row r="7" spans="1:12">
      <c r="A7" s="295"/>
      <c r="B7" s="296"/>
      <c r="C7" s="298"/>
      <c r="D7" s="290"/>
      <c r="E7" s="290"/>
      <c r="F7" s="5" t="s">
        <v>11</v>
      </c>
      <c r="G7" s="5" t="s">
        <v>39</v>
      </c>
      <c r="H7" s="5" t="s">
        <v>38</v>
      </c>
      <c r="I7" s="5" t="s">
        <v>40</v>
      </c>
      <c r="J7" s="302"/>
      <c r="K7" s="290"/>
      <c r="L7" s="290"/>
    </row>
    <row r="8" spans="1:12" ht="18.75">
      <c r="A8" s="6">
        <v>1</v>
      </c>
      <c r="B8" s="7" t="s">
        <v>12</v>
      </c>
      <c r="C8" s="8" t="s">
        <v>13</v>
      </c>
      <c r="D8" s="9">
        <v>282</v>
      </c>
      <c r="E8" s="10">
        <v>144</v>
      </c>
      <c r="F8" s="11">
        <v>50</v>
      </c>
      <c r="G8" s="11">
        <v>42</v>
      </c>
      <c r="H8" s="11"/>
      <c r="I8" s="11">
        <v>40</v>
      </c>
      <c r="J8" s="9">
        <f t="shared" ref="J8:J19" si="0">D8+E8-SUM(F8:I8)</f>
        <v>294</v>
      </c>
      <c r="K8" s="9">
        <v>294</v>
      </c>
      <c r="L8" s="9">
        <f t="shared" ref="L8:L19" si="1">K8-J8</f>
        <v>0</v>
      </c>
    </row>
    <row r="9" spans="1:12" ht="18.75">
      <c r="A9" s="6">
        <v>2</v>
      </c>
      <c r="B9" s="12" t="s">
        <v>14</v>
      </c>
      <c r="C9" s="13" t="s">
        <v>13</v>
      </c>
      <c r="D9" s="9">
        <v>308</v>
      </c>
      <c r="E9" s="14"/>
      <c r="F9" s="11"/>
      <c r="G9" s="11">
        <v>40</v>
      </c>
      <c r="H9" s="11">
        <v>50</v>
      </c>
      <c r="I9" s="11">
        <v>30</v>
      </c>
      <c r="J9" s="9">
        <f t="shared" si="0"/>
        <v>188</v>
      </c>
      <c r="K9" s="9">
        <v>188</v>
      </c>
      <c r="L9" s="9">
        <f t="shared" si="1"/>
        <v>0</v>
      </c>
    </row>
    <row r="10" spans="1:12" ht="18.75">
      <c r="A10" s="6">
        <v>3</v>
      </c>
      <c r="B10" s="12" t="s">
        <v>15</v>
      </c>
      <c r="C10" s="8" t="s">
        <v>13</v>
      </c>
      <c r="D10" s="9">
        <v>190</v>
      </c>
      <c r="E10" s="10">
        <v>34</v>
      </c>
      <c r="F10" s="11"/>
      <c r="G10" s="11">
        <v>40</v>
      </c>
      <c r="H10" s="11">
        <v>50</v>
      </c>
      <c r="I10" s="11">
        <v>40</v>
      </c>
      <c r="J10" s="9">
        <f t="shared" si="0"/>
        <v>94</v>
      </c>
      <c r="K10" s="9">
        <v>94</v>
      </c>
      <c r="L10" s="9">
        <f t="shared" si="1"/>
        <v>0</v>
      </c>
    </row>
    <row r="11" spans="1:12" ht="18.75">
      <c r="A11" s="6">
        <v>4</v>
      </c>
      <c r="B11" s="15" t="s">
        <v>16</v>
      </c>
      <c r="C11" s="6" t="s">
        <v>17</v>
      </c>
      <c r="D11" s="9">
        <v>240</v>
      </c>
      <c r="E11" s="10">
        <v>237</v>
      </c>
      <c r="F11" s="11"/>
      <c r="G11" s="11">
        <v>120</v>
      </c>
      <c r="H11" s="11">
        <v>120</v>
      </c>
      <c r="I11" s="11"/>
      <c r="J11" s="9">
        <f t="shared" si="0"/>
        <v>237</v>
      </c>
      <c r="K11" s="9">
        <v>237</v>
      </c>
      <c r="L11" s="9">
        <f t="shared" si="1"/>
        <v>0</v>
      </c>
    </row>
    <row r="12" spans="1:12" ht="18.75">
      <c r="A12" s="6">
        <v>5</v>
      </c>
      <c r="B12" s="15" t="s">
        <v>18</v>
      </c>
      <c r="C12" s="6" t="s">
        <v>17</v>
      </c>
      <c r="D12" s="9">
        <v>263</v>
      </c>
      <c r="E12" s="14">
        <v>120</v>
      </c>
      <c r="F12" s="11"/>
      <c r="G12" s="11">
        <v>60</v>
      </c>
      <c r="H12" s="11">
        <v>50</v>
      </c>
      <c r="I12" s="11">
        <v>83</v>
      </c>
      <c r="J12" s="9">
        <f t="shared" si="0"/>
        <v>190</v>
      </c>
      <c r="K12" s="9">
        <v>190</v>
      </c>
      <c r="L12" s="9">
        <f t="shared" si="1"/>
        <v>0</v>
      </c>
    </row>
    <row r="13" spans="1:12" ht="18.75">
      <c r="A13" s="6">
        <v>6</v>
      </c>
      <c r="B13" s="16" t="s">
        <v>19</v>
      </c>
      <c r="C13" s="17" t="s">
        <v>17</v>
      </c>
      <c r="D13" s="9">
        <v>175</v>
      </c>
      <c r="E13" s="14">
        <v>35</v>
      </c>
      <c r="F13" s="11"/>
      <c r="G13" s="11">
        <v>60</v>
      </c>
      <c r="H13" s="11"/>
      <c r="I13" s="11">
        <v>40</v>
      </c>
      <c r="J13" s="9">
        <f t="shared" si="0"/>
        <v>110</v>
      </c>
      <c r="K13" s="9">
        <v>110</v>
      </c>
      <c r="L13" s="9">
        <f t="shared" si="1"/>
        <v>0</v>
      </c>
    </row>
    <row r="14" spans="1:12" ht="18.75">
      <c r="A14" s="6">
        <v>7</v>
      </c>
      <c r="B14" s="12" t="s">
        <v>20</v>
      </c>
      <c r="C14" s="6" t="s">
        <v>21</v>
      </c>
      <c r="D14" s="9">
        <v>0</v>
      </c>
      <c r="E14" s="14">
        <v>3</v>
      </c>
      <c r="F14" s="11"/>
      <c r="G14" s="11"/>
      <c r="H14" s="11">
        <v>1</v>
      </c>
      <c r="I14" s="11"/>
      <c r="J14" s="9">
        <f t="shared" si="0"/>
        <v>2</v>
      </c>
      <c r="K14" s="9">
        <v>2</v>
      </c>
      <c r="L14" s="9">
        <f t="shared" si="1"/>
        <v>0</v>
      </c>
    </row>
    <row r="15" spans="1:12" ht="18.75">
      <c r="A15" s="6">
        <v>8</v>
      </c>
      <c r="B15" s="12" t="s">
        <v>22</v>
      </c>
      <c r="C15" s="18" t="s">
        <v>21</v>
      </c>
      <c r="D15" s="9">
        <v>0</v>
      </c>
      <c r="E15" s="14"/>
      <c r="F15" s="11"/>
      <c r="G15" s="11"/>
      <c r="H15" s="11"/>
      <c r="I15" s="11"/>
      <c r="J15" s="9">
        <f t="shared" si="0"/>
        <v>0</v>
      </c>
      <c r="K15" s="9"/>
      <c r="L15" s="9">
        <f t="shared" si="1"/>
        <v>0</v>
      </c>
    </row>
    <row r="16" spans="1:12" ht="18.75">
      <c r="A16" s="6">
        <v>9</v>
      </c>
      <c r="B16" s="15" t="s">
        <v>23</v>
      </c>
      <c r="C16" s="8" t="s">
        <v>24</v>
      </c>
      <c r="D16" s="9">
        <v>3</v>
      </c>
      <c r="E16" s="14">
        <v>2</v>
      </c>
      <c r="F16" s="11"/>
      <c r="G16" s="11"/>
      <c r="H16" s="11">
        <v>1</v>
      </c>
      <c r="I16" s="11">
        <v>1</v>
      </c>
      <c r="J16" s="9">
        <f t="shared" si="0"/>
        <v>3</v>
      </c>
      <c r="K16" s="9">
        <v>3</v>
      </c>
      <c r="L16" s="9">
        <f t="shared" si="1"/>
        <v>0</v>
      </c>
    </row>
    <row r="17" spans="1:12" ht="18.75">
      <c r="A17" s="6">
        <v>10</v>
      </c>
      <c r="B17" s="19" t="s">
        <v>25</v>
      </c>
      <c r="C17" s="6" t="s">
        <v>21</v>
      </c>
      <c r="D17" s="9">
        <v>4</v>
      </c>
      <c r="E17" s="14"/>
      <c r="F17" s="11"/>
      <c r="G17" s="11"/>
      <c r="H17" s="11"/>
      <c r="I17" s="11"/>
      <c r="J17" s="9">
        <f t="shared" si="0"/>
        <v>4</v>
      </c>
      <c r="K17" s="9">
        <v>4</v>
      </c>
      <c r="L17" s="9">
        <f t="shared" si="1"/>
        <v>0</v>
      </c>
    </row>
    <row r="18" spans="1:12" ht="18.75">
      <c r="A18" s="6">
        <v>11</v>
      </c>
      <c r="B18" s="12" t="s">
        <v>26</v>
      </c>
      <c r="C18" s="6" t="s">
        <v>27</v>
      </c>
      <c r="D18" s="9">
        <v>2</v>
      </c>
      <c r="E18" s="14"/>
      <c r="F18" s="11"/>
      <c r="G18" s="11">
        <v>1</v>
      </c>
      <c r="H18" s="11"/>
      <c r="I18" s="11"/>
      <c r="J18" s="9">
        <f t="shared" si="0"/>
        <v>1</v>
      </c>
      <c r="K18" s="9">
        <v>1</v>
      </c>
      <c r="L18" s="9">
        <f t="shared" si="1"/>
        <v>0</v>
      </c>
    </row>
    <row r="19" spans="1:12" ht="18.75">
      <c r="A19" s="6">
        <v>12</v>
      </c>
      <c r="B19" s="12" t="s">
        <v>28</v>
      </c>
      <c r="C19" s="6" t="s">
        <v>27</v>
      </c>
      <c r="D19" s="9">
        <v>2</v>
      </c>
      <c r="E19" s="14"/>
      <c r="F19" s="11"/>
      <c r="G19" s="11"/>
      <c r="H19" s="11"/>
      <c r="I19" s="11">
        <v>1</v>
      </c>
      <c r="J19" s="9">
        <f t="shared" si="0"/>
        <v>1</v>
      </c>
      <c r="K19" s="9">
        <v>1</v>
      </c>
      <c r="L19" s="9">
        <f t="shared" si="1"/>
        <v>0</v>
      </c>
    </row>
    <row r="20" spans="1:12" ht="18.75">
      <c r="A20" s="6">
        <v>13</v>
      </c>
      <c r="B20" s="12" t="s">
        <v>29</v>
      </c>
      <c r="C20" s="6" t="s">
        <v>17</v>
      </c>
      <c r="D20" s="9">
        <v>0</v>
      </c>
      <c r="E20" s="14"/>
      <c r="F20" s="11"/>
      <c r="G20" s="11"/>
      <c r="H20" s="11"/>
      <c r="I20" s="11"/>
      <c r="J20" s="9"/>
      <c r="K20" s="9"/>
      <c r="L20" s="9"/>
    </row>
    <row r="21" spans="1:12" ht="18.75">
      <c r="A21" s="6">
        <v>14</v>
      </c>
      <c r="B21" s="20" t="s">
        <v>30</v>
      </c>
      <c r="C21" s="6" t="s">
        <v>17</v>
      </c>
      <c r="D21" s="9">
        <v>14</v>
      </c>
      <c r="E21" s="14"/>
      <c r="F21" s="11"/>
      <c r="G21" s="11">
        <v>10</v>
      </c>
      <c r="H21" s="11"/>
      <c r="I21" s="11"/>
      <c r="J21" s="9">
        <f>D21+E21-SUM(F21:I21)</f>
        <v>4</v>
      </c>
      <c r="K21" s="9">
        <v>4</v>
      </c>
      <c r="L21" s="9">
        <f t="shared" ref="L21" si="2">K21-J21</f>
        <v>0</v>
      </c>
    </row>
    <row r="22" spans="1:12" ht="18.75">
      <c r="A22" s="6">
        <v>15</v>
      </c>
      <c r="B22" s="20" t="s">
        <v>31</v>
      </c>
      <c r="C22" s="6" t="s">
        <v>17</v>
      </c>
      <c r="D22" s="9">
        <v>16</v>
      </c>
      <c r="E22" s="14"/>
      <c r="F22" s="11"/>
      <c r="G22" s="11">
        <v>10</v>
      </c>
      <c r="H22" s="11"/>
      <c r="I22" s="11"/>
      <c r="J22" s="9">
        <f>D22+E22-SUM(F22:I22)</f>
        <v>6</v>
      </c>
      <c r="K22" s="9">
        <v>6</v>
      </c>
      <c r="L22" s="9">
        <f>K22-J22</f>
        <v>0</v>
      </c>
    </row>
    <row r="23" spans="1:12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>
        <f>K23-J23</f>
        <v>0</v>
      </c>
    </row>
    <row r="24" spans="1:12" ht="18.75">
      <c r="A24" s="6"/>
      <c r="B24" s="20" t="s">
        <v>32</v>
      </c>
      <c r="C24" s="6"/>
      <c r="D24" s="9">
        <f t="shared" ref="D24" si="3">SUM(D8:D22)</f>
        <v>1499</v>
      </c>
      <c r="E24" s="9">
        <f t="shared" ref="E24:K24" si="4">SUM(E8:E22)</f>
        <v>575</v>
      </c>
      <c r="F24" s="9">
        <f t="shared" si="4"/>
        <v>50</v>
      </c>
      <c r="G24" s="9">
        <f t="shared" si="4"/>
        <v>383</v>
      </c>
      <c r="H24" s="9">
        <f t="shared" si="4"/>
        <v>272</v>
      </c>
      <c r="I24" s="9">
        <f t="shared" si="4"/>
        <v>235</v>
      </c>
      <c r="J24" s="9">
        <f t="shared" si="4"/>
        <v>1134</v>
      </c>
      <c r="K24" s="9">
        <f t="shared" si="4"/>
        <v>1134</v>
      </c>
      <c r="L24" s="9">
        <f>K24-J24</f>
        <v>0</v>
      </c>
    </row>
    <row r="25" spans="1:12" ht="18.75">
      <c r="A25" s="22"/>
      <c r="B25" s="23"/>
      <c r="C25" s="22"/>
      <c r="D25" s="24"/>
      <c r="E25" s="24"/>
      <c r="F25" s="25" t="s">
        <v>33</v>
      </c>
      <c r="G25" s="24"/>
      <c r="H25" s="24"/>
      <c r="I25" s="24"/>
      <c r="J25" s="24"/>
      <c r="K25" s="24"/>
      <c r="L25" s="24"/>
    </row>
    <row r="26" spans="1:12" ht="18.75">
      <c r="A26" s="6">
        <v>1</v>
      </c>
      <c r="B26" s="20" t="s">
        <v>34</v>
      </c>
      <c r="C26" s="6" t="s">
        <v>17</v>
      </c>
      <c r="D26" s="9">
        <v>106</v>
      </c>
      <c r="E26" s="10">
        <v>197</v>
      </c>
      <c r="F26" s="9">
        <v>97</v>
      </c>
      <c r="G26" s="11"/>
      <c r="H26" s="9"/>
      <c r="I26" s="9"/>
      <c r="J26" s="9">
        <f t="shared" ref="J26" si="5">D26+E26-F26</f>
        <v>206</v>
      </c>
      <c r="K26" s="9">
        <v>206</v>
      </c>
      <c r="L26" s="9">
        <f t="shared" ref="L26" si="6">K26-J26</f>
        <v>0</v>
      </c>
    </row>
    <row r="27" spans="1:12" ht="18.75">
      <c r="A27" s="6">
        <v>2</v>
      </c>
      <c r="B27" s="20" t="s">
        <v>35</v>
      </c>
      <c r="C27" s="6" t="s">
        <v>17</v>
      </c>
      <c r="D27" s="9">
        <v>157</v>
      </c>
      <c r="E27" s="9"/>
      <c r="F27" s="9">
        <v>27</v>
      </c>
      <c r="G27" s="11"/>
      <c r="H27" s="9"/>
      <c r="I27" s="9"/>
      <c r="J27" s="9">
        <f>D27+E27-F27</f>
        <v>130</v>
      </c>
      <c r="K27" s="9">
        <v>130</v>
      </c>
      <c r="L27" s="9">
        <f>K27-J27</f>
        <v>0</v>
      </c>
    </row>
    <row r="28" spans="1:12" ht="18.75">
      <c r="A28" s="6">
        <v>3</v>
      </c>
      <c r="B28" s="20" t="s">
        <v>36</v>
      </c>
      <c r="C28" s="6" t="s">
        <v>17</v>
      </c>
      <c r="D28" s="9">
        <v>297</v>
      </c>
      <c r="E28" s="9">
        <v>114</v>
      </c>
      <c r="F28" s="9">
        <v>121</v>
      </c>
      <c r="G28" s="11"/>
      <c r="H28" s="9"/>
      <c r="I28" s="9"/>
      <c r="J28" s="9">
        <f>D28+E28-F28</f>
        <v>290</v>
      </c>
      <c r="K28" s="9">
        <v>290</v>
      </c>
      <c r="L28" s="9">
        <f>K28-J28</f>
        <v>0</v>
      </c>
    </row>
    <row r="29" spans="1:12" ht="18.75">
      <c r="A29" s="6">
        <v>4</v>
      </c>
      <c r="B29" s="20" t="s">
        <v>37</v>
      </c>
      <c r="C29" s="6" t="s">
        <v>17</v>
      </c>
      <c r="D29" s="9">
        <v>96</v>
      </c>
      <c r="E29" s="9">
        <v>98</v>
      </c>
      <c r="F29" s="9">
        <v>60</v>
      </c>
      <c r="G29" s="11"/>
      <c r="H29" s="9"/>
      <c r="I29" s="9"/>
      <c r="J29" s="9">
        <f>D29+E29-F29</f>
        <v>134</v>
      </c>
      <c r="K29" s="9">
        <v>134</v>
      </c>
      <c r="L29" s="9">
        <f>K29-J29</f>
        <v>0</v>
      </c>
    </row>
    <row r="30" spans="1:12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</row>
    <row r="31" spans="1:12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</row>
  </sheetData>
  <mergeCells count="12">
    <mergeCell ref="K6:K7"/>
    <mergeCell ref="L6:L7"/>
    <mergeCell ref="B2:L2"/>
    <mergeCell ref="A5:C5"/>
    <mergeCell ref="E5:L5"/>
    <mergeCell ref="A6:A7"/>
    <mergeCell ref="B6:B7"/>
    <mergeCell ref="C6:C7"/>
    <mergeCell ref="D6:D7"/>
    <mergeCell ref="E6:E7"/>
    <mergeCell ref="F6:I6"/>
    <mergeCell ref="J6:J7"/>
  </mergeCells>
  <conditionalFormatting sqref="D23">
    <cfRule type="cellIs" dxfId="8" priority="1" stopIfTrue="1" operator="lessThan">
      <formula>0</formula>
    </cfRule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4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DATE(2015,4,9)</f>
        <v>42103</v>
      </c>
      <c r="E5" s="293">
        <f>D5+1</f>
        <v>42104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32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49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VLOOKUP($B8,'0904'!$B8:$K22,10,0)</f>
        <v>342</v>
      </c>
      <c r="E8" s="10">
        <v>82</v>
      </c>
      <c r="F8" s="11">
        <v>20</v>
      </c>
      <c r="G8" s="11">
        <v>120</v>
      </c>
      <c r="H8" s="11"/>
      <c r="I8" s="11"/>
      <c r="J8" s="11"/>
      <c r="K8" s="9">
        <f>D8+E8-SUM(F8:J8)</f>
        <v>284</v>
      </c>
      <c r="L8" s="9">
        <v>284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VLOOKUP($B9,'0904'!$B9:$K23,10,0)</f>
        <v>143</v>
      </c>
      <c r="E9" s="14"/>
      <c r="F9" s="11"/>
      <c r="G9" s="11">
        <v>93</v>
      </c>
      <c r="H9" s="11"/>
      <c r="I9" s="11"/>
      <c r="J9" s="11"/>
      <c r="K9" s="9">
        <f t="shared" ref="K9:K19" si="1">D9+E9-SUM(F9:J9)</f>
        <v>50</v>
      </c>
      <c r="L9" s="9">
        <v>50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VLOOKUP($B10,'0904'!$B10:$K24,10,0)</f>
        <v>133</v>
      </c>
      <c r="E10" s="10"/>
      <c r="F10" s="11"/>
      <c r="G10" s="11">
        <v>93</v>
      </c>
      <c r="H10" s="11"/>
      <c r="I10" s="11"/>
      <c r="J10" s="11"/>
      <c r="K10" s="9">
        <f t="shared" si="1"/>
        <v>40</v>
      </c>
      <c r="L10" s="9">
        <v>40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VLOOKUP($B11,'0904'!$B11:$K25,10,0)</f>
        <v>278</v>
      </c>
      <c r="E11" s="10"/>
      <c r="F11" s="11"/>
      <c r="G11" s="11">
        <v>200</v>
      </c>
      <c r="H11" s="11"/>
      <c r="I11" s="11"/>
      <c r="J11" s="11"/>
      <c r="K11" s="9">
        <f t="shared" si="1"/>
        <v>78</v>
      </c>
      <c r="L11" s="9">
        <v>78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VLOOKUP($B12,'0904'!$B12:$K26,10,0)</f>
        <v>144</v>
      </c>
      <c r="E12" s="14">
        <v>178</v>
      </c>
      <c r="F12" s="11"/>
      <c r="G12" s="11">
        <v>130</v>
      </c>
      <c r="H12" s="11"/>
      <c r="I12" s="11"/>
      <c r="J12" s="11"/>
      <c r="K12" s="9">
        <f t="shared" si="1"/>
        <v>192</v>
      </c>
      <c r="L12" s="9">
        <v>192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VLOOKUP($B13,'0904'!$B13:$K27,10,0)</f>
        <v>130</v>
      </c>
      <c r="E13" s="14">
        <v>37</v>
      </c>
      <c r="F13" s="11"/>
      <c r="G13" s="11">
        <v>80</v>
      </c>
      <c r="H13" s="11"/>
      <c r="I13" s="11"/>
      <c r="J13" s="11"/>
      <c r="K13" s="9">
        <f t="shared" si="1"/>
        <v>87</v>
      </c>
      <c r="L13" s="9">
        <v>93</v>
      </c>
      <c r="M13" s="9">
        <f t="shared" si="0"/>
        <v>6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VLOOKUP($B14,'0904'!$B14:$K28,10,0)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VLOOKUP($B15,'0904'!$B15:$K29,10,0)</f>
        <v>2</v>
      </c>
      <c r="E15" s="14"/>
      <c r="F15" s="11"/>
      <c r="G15" s="11">
        <v>2</v>
      </c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VLOOKUP($B16,'0904'!$B16:$K30,10,0)</f>
        <v>2</v>
      </c>
      <c r="E16" s="14">
        <v>4</v>
      </c>
      <c r="F16" s="11">
        <v>1</v>
      </c>
      <c r="G16" s="11">
        <v>2</v>
      </c>
      <c r="H16" s="11"/>
      <c r="I16" s="11"/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VLOOKUP($B17,'0904'!$B17:$K31,10,0)</f>
        <v>2</v>
      </c>
      <c r="E17" s="14">
        <v>2</v>
      </c>
      <c r="F17" s="11"/>
      <c r="G17" s="11">
        <v>1</v>
      </c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VLOOKUP($B18,'0904'!$B18:$K32,10,0)</f>
        <v>0</v>
      </c>
      <c r="E18" s="14">
        <v>2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VLOOKUP($B19,'0904'!$B19:$K33,10,0)</f>
        <v>1</v>
      </c>
      <c r="E19" s="14">
        <v>1</v>
      </c>
      <c r="F19" s="11"/>
      <c r="G19" s="11">
        <v>1</v>
      </c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VLOOKUP($B20,'0904'!$B20:$K34,10,0)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VLOOKUP($B21,'0904'!$B21:$K35,10,0)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VLOOKUP($B22,'0904'!$B22:$K36,10,0)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 t="shared" ref="D24" si="3">SUM(D8:D22)</f>
        <v>1177</v>
      </c>
      <c r="E24" s="9">
        <f t="shared" ref="E24:L24" si="4">SUM(E8:E22)</f>
        <v>308</v>
      </c>
      <c r="F24" s="9"/>
      <c r="G24" s="9"/>
      <c r="H24" s="9"/>
      <c r="I24" s="9">
        <f t="shared" si="4"/>
        <v>0</v>
      </c>
      <c r="J24" s="9"/>
      <c r="K24" s="9">
        <f t="shared" si="4"/>
        <v>742</v>
      </c>
      <c r="L24" s="9">
        <f t="shared" si="4"/>
        <v>748</v>
      </c>
      <c r="M24" s="9">
        <f>L24-K24</f>
        <v>6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VLOOKUP($B26,'0904'!$B26:$K29,10,0)</f>
        <v>168</v>
      </c>
      <c r="E26" s="10">
        <v>138</v>
      </c>
      <c r="F26" s="9">
        <v>116</v>
      </c>
      <c r="G26" s="11"/>
      <c r="H26" s="9"/>
      <c r="I26" s="9"/>
      <c r="J26" s="9"/>
      <c r="K26" s="9">
        <f t="shared" ref="K26" si="5">D26+E26-F26</f>
        <v>190</v>
      </c>
      <c r="L26" s="9">
        <v>190</v>
      </c>
      <c r="M26" s="9">
        <f t="shared" ref="M26" si="6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VLOOKUP($B27,'0904'!$B27:$K30,10,0)</f>
        <v>97</v>
      </c>
      <c r="E27" s="9">
        <v>31</v>
      </c>
      <c r="F27" s="9">
        <v>40</v>
      </c>
      <c r="G27" s="11"/>
      <c r="H27" s="9"/>
      <c r="I27" s="9"/>
      <c r="J27" s="9"/>
      <c r="K27" s="9">
        <f>D27+E27-F27</f>
        <v>88</v>
      </c>
      <c r="L27" s="9">
        <v>88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VLOOKUP($B28,'0904'!$B28:$K31,10,0)</f>
        <v>316</v>
      </c>
      <c r="E28" s="9">
        <v>156</v>
      </c>
      <c r="F28" s="9">
        <v>164</v>
      </c>
      <c r="G28" s="11"/>
      <c r="H28" s="9"/>
      <c r="I28" s="9"/>
      <c r="J28" s="9"/>
      <c r="K28" s="9">
        <f>D28+E28-F28</f>
        <v>308</v>
      </c>
      <c r="L28" s="9">
        <v>308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VLOOKUP($B29,'0904'!$B29:$K32,10,0)</f>
        <v>128</v>
      </c>
      <c r="E29" s="9"/>
      <c r="F29" s="9">
        <v>58</v>
      </c>
      <c r="G29" s="11"/>
      <c r="H29" s="9"/>
      <c r="I29" s="9"/>
      <c r="J29" s="9"/>
      <c r="K29" s="9">
        <f>D29+E29-F29</f>
        <v>70</v>
      </c>
      <c r="L29" s="9">
        <v>70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0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DATE(2015,7,8)</f>
        <v>42193</v>
      </c>
      <c r="E5" s="293">
        <f>D5+1</f>
        <v>42194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07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51</v>
      </c>
      <c r="H7" s="5" t="s">
        <v>52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VLOOKUP($B8,'0807'!$B8:$M22,11,0)</f>
        <v>679</v>
      </c>
      <c r="E8" s="10">
        <f>110+27+94</f>
        <v>231</v>
      </c>
      <c r="F8" s="11">
        <v>60</v>
      </c>
      <c r="G8" s="11">
        <v>150</v>
      </c>
      <c r="H8" s="11">
        <v>154</v>
      </c>
      <c r="I8" s="11"/>
      <c r="J8" s="11"/>
      <c r="K8" s="9">
        <f>D8+E8-SUM(F8:J8)</f>
        <v>546</v>
      </c>
      <c r="L8" s="9">
        <f>84+240+221</f>
        <v>545</v>
      </c>
      <c r="M8" s="9">
        <f t="shared" ref="M8:M19" si="0">L8-K8</f>
        <v>-1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VLOOKUP($B9,'0807'!$B9:$M23,11,0)</f>
        <v>195</v>
      </c>
      <c r="E9" s="14">
        <f>87+85</f>
        <v>172</v>
      </c>
      <c r="F9" s="11">
        <v>10</v>
      </c>
      <c r="G9" s="11">
        <v>150</v>
      </c>
      <c r="H9" s="11"/>
      <c r="I9" s="11"/>
      <c r="J9" s="11"/>
      <c r="K9" s="9">
        <f t="shared" ref="K9:K24" si="1">D9+E9-SUM(F9:J9)</f>
        <v>207</v>
      </c>
      <c r="L9" s="9">
        <f>35+172</f>
        <v>207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VLOOKUP($B10,'0807'!$B10:$M24,11,0)</f>
        <v>483</v>
      </c>
      <c r="E10" s="10"/>
      <c r="F10" s="11">
        <v>20</v>
      </c>
      <c r="G10" s="11">
        <v>100</v>
      </c>
      <c r="H10" s="11">
        <v>100</v>
      </c>
      <c r="I10" s="11"/>
      <c r="J10" s="11"/>
      <c r="K10" s="9">
        <f t="shared" si="1"/>
        <v>263</v>
      </c>
      <c r="L10" s="9">
        <f>160+103</f>
        <v>263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VLOOKUP($B11,'0807'!$B11:$M25,11,0)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VLOOKUP($B12,'0807'!$B12:$M26,11,0)</f>
        <v>745</v>
      </c>
      <c r="E12" s="14">
        <v>119</v>
      </c>
      <c r="F12" s="11">
        <v>20</v>
      </c>
      <c r="G12" s="11">
        <v>90</v>
      </c>
      <c r="H12" s="11">
        <v>301</v>
      </c>
      <c r="I12" s="11"/>
      <c r="J12" s="11"/>
      <c r="K12" s="9">
        <f t="shared" si="1"/>
        <v>453</v>
      </c>
      <c r="L12" s="9">
        <f>97+73+145+119+19</f>
        <v>453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VLOOKUP($B13,'0807'!$B13:$M27,11,0)</f>
        <v>391</v>
      </c>
      <c r="E13" s="14"/>
      <c r="F13" s="11">
        <v>20</v>
      </c>
      <c r="G13" s="11">
        <v>80</v>
      </c>
      <c r="H13" s="11">
        <v>150</v>
      </c>
      <c r="I13" s="11"/>
      <c r="J13" s="11"/>
      <c r="K13" s="9">
        <f t="shared" si="1"/>
        <v>141</v>
      </c>
      <c r="L13" s="9">
        <v>140</v>
      </c>
      <c r="M13" s="9">
        <f t="shared" si="0"/>
        <v>-1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VLOOKUP($B14,'0807'!$B14:$M28,11,0)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VLOOKUP($B15,'0807'!$B15:$M29,11,0)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VLOOKUP($B16,'0807'!$B16:$M30,11,0)</f>
        <v>11</v>
      </c>
      <c r="E16" s="14">
        <v>2</v>
      </c>
      <c r="F16" s="11">
        <v>1</v>
      </c>
      <c r="G16" s="11">
        <v>2</v>
      </c>
      <c r="H16" s="11">
        <v>2</v>
      </c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VLOOKUP($B17,'0807'!$B17:$M31,11,0)</f>
        <v>3</v>
      </c>
      <c r="E17" s="14">
        <v>2</v>
      </c>
      <c r="F17" s="11"/>
      <c r="G17" s="11">
        <v>2</v>
      </c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VLOOKUP($B18,'0807'!$B18:$M32,11,0)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VLOOKUP($B19,'0807'!$B19:$M33,11,0)</f>
        <v>1</v>
      </c>
      <c r="E19" s="14">
        <v>2</v>
      </c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VLOOKUP($B20,'0807'!$B20:$M34,11,0)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VLOOKUP($B21,'0807'!$B21:$M35,11,0)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VLOOKUP($B22,'0807'!$B22:$M36,11,0)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VLOOKUP($B23,'0807'!$B23:$M37,11,0)</f>
        <v>112</v>
      </c>
      <c r="E23" s="14"/>
      <c r="F23" s="9"/>
      <c r="G23" s="9"/>
      <c r="H23" s="9"/>
      <c r="I23" s="9"/>
      <c r="J23" s="9"/>
      <c r="K23" s="9">
        <f t="shared" si="1"/>
        <v>112</v>
      </c>
      <c r="L23" s="9">
        <v>112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VLOOKUP($B24,'0807'!$B24:$M38,11,0)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VLOOKUP($B26,'0807'!$B26:$M40,11,0)</f>
        <v>317</v>
      </c>
      <c r="E26" s="10">
        <v>139</v>
      </c>
      <c r="F26" s="9">
        <v>42</v>
      </c>
      <c r="G26" s="11"/>
      <c r="H26" s="9"/>
      <c r="I26" s="9"/>
      <c r="J26" s="9"/>
      <c r="K26" s="9">
        <f t="shared" ref="K26" si="3">D26+E26-F26</f>
        <v>414</v>
      </c>
      <c r="L26" s="9">
        <v>414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VLOOKUP($B27,'0807'!$B27:$M41,11,0)</f>
        <v>177</v>
      </c>
      <c r="E27" s="9">
        <v>60</v>
      </c>
      <c r="F27" s="9">
        <v>60</v>
      </c>
      <c r="G27" s="11"/>
      <c r="H27" s="9"/>
      <c r="I27" s="9"/>
      <c r="J27" s="9"/>
      <c r="K27" s="9">
        <f>D27+E27-F27</f>
        <v>177</v>
      </c>
      <c r="L27" s="9">
        <v>177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VLOOKUP($B28,'0807'!$B28:$M42,11,0)</f>
        <v>369</v>
      </c>
      <c r="E28" s="9">
        <v>212</v>
      </c>
      <c r="F28" s="9">
        <v>249</v>
      </c>
      <c r="G28" s="11"/>
      <c r="H28" s="9"/>
      <c r="I28" s="9"/>
      <c r="J28" s="9"/>
      <c r="K28" s="9">
        <f>D28+E28-F28</f>
        <v>332</v>
      </c>
      <c r="L28" s="9">
        <v>332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VLOOKUP($B29,'0807'!$B29:$M43,11,0)</f>
        <v>144</v>
      </c>
      <c r="E29" s="9"/>
      <c r="F29" s="9">
        <v>54</v>
      </c>
      <c r="G29" s="11"/>
      <c r="H29" s="9"/>
      <c r="I29" s="9"/>
      <c r="J29" s="9"/>
      <c r="K29" s="9">
        <f>D29+E29-F29</f>
        <v>90</v>
      </c>
      <c r="L29" s="9">
        <v>90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3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DATE(2015,7,9)</f>
        <v>42194</v>
      </c>
      <c r="E5" s="293">
        <f>D5+1</f>
        <v>42195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08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49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VLOOKUP($B8,'0907'!$B8:$M22,11,0)</f>
        <v>545</v>
      </c>
      <c r="E8" s="10">
        <f>97+103+114</f>
        <v>314</v>
      </c>
      <c r="F8" s="11">
        <v>60</v>
      </c>
      <c r="G8" s="11">
        <v>120</v>
      </c>
      <c r="H8" s="11"/>
      <c r="I8" s="11"/>
      <c r="J8" s="11"/>
      <c r="K8" s="9">
        <f>D8+E8-SUM(F8:J8)</f>
        <v>679</v>
      </c>
      <c r="L8" s="9">
        <f>120+120+124+315</f>
        <v>679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VLOOKUP($B9,'0907'!$B9:$M23,11,0)</f>
        <v>207</v>
      </c>
      <c r="E9" s="14"/>
      <c r="F9" s="11"/>
      <c r="G9" s="11">
        <v>90</v>
      </c>
      <c r="H9" s="11"/>
      <c r="I9" s="11"/>
      <c r="J9" s="11"/>
      <c r="K9" s="9">
        <f t="shared" ref="K9:K24" si="1">D9+E9-SUM(F9:J9)</f>
        <v>117</v>
      </c>
      <c r="L9" s="9">
        <f>92+25</f>
        <v>117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VLOOKUP($B10,'0907'!$B10:$M24,11,0)</f>
        <v>263</v>
      </c>
      <c r="E10" s="10"/>
      <c r="F10" s="11">
        <v>20</v>
      </c>
      <c r="G10" s="11">
        <v>153</v>
      </c>
      <c r="H10" s="11"/>
      <c r="I10" s="11"/>
      <c r="J10" s="11"/>
      <c r="K10" s="9">
        <f t="shared" si="1"/>
        <v>90</v>
      </c>
      <c r="L10" s="9">
        <v>90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VLOOKUP($B11,'0907'!$B11:$M25,11,0)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VLOOKUP($B12,'0907'!$B12:$M26,11,0)</f>
        <v>453</v>
      </c>
      <c r="E12" s="14">
        <v>149</v>
      </c>
      <c r="F12" s="11">
        <v>20</v>
      </c>
      <c r="G12" s="11">
        <v>150</v>
      </c>
      <c r="H12" s="11"/>
      <c r="I12" s="11"/>
      <c r="J12" s="11"/>
      <c r="K12" s="9">
        <f t="shared" si="1"/>
        <v>432</v>
      </c>
      <c r="L12" s="9">
        <f>25+120+120+20+147</f>
        <v>432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VLOOKUP($B13,'0907'!$B13:$M27,11,0)</f>
        <v>140</v>
      </c>
      <c r="E13" s="14">
        <v>142</v>
      </c>
      <c r="F13" s="11"/>
      <c r="G13" s="11">
        <v>121</v>
      </c>
      <c r="H13" s="11"/>
      <c r="I13" s="11"/>
      <c r="J13" s="11"/>
      <c r="K13" s="9">
        <f t="shared" si="1"/>
        <v>161</v>
      </c>
      <c r="L13" s="9">
        <v>160</v>
      </c>
      <c r="M13" s="9">
        <f t="shared" si="0"/>
        <v>-1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VLOOKUP($B14,'0907'!$B14:$M28,11,0)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VLOOKUP($B15,'0907'!$B15:$M29,11,0)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VLOOKUP($B16,'0907'!$B16:$M30,11,0)</f>
        <v>8</v>
      </c>
      <c r="E16" s="14"/>
      <c r="F16" s="11"/>
      <c r="G16" s="11">
        <v>3</v>
      </c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VLOOKUP($B17,'0907'!$B17:$M31,11,0)</f>
        <v>3</v>
      </c>
      <c r="E17" s="14">
        <v>2</v>
      </c>
      <c r="F17" s="11"/>
      <c r="G17" s="11">
        <v>2</v>
      </c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VLOOKUP($B18,'0907'!$B18:$M32,11,0)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VLOOKUP($B19,'0907'!$B19:$M33,11,0)</f>
        <v>3</v>
      </c>
      <c r="E19" s="14"/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VLOOKUP($B20,'0907'!$B20:$M34,11,0)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VLOOKUP($B21,'0907'!$B21:$M35,11,0)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VLOOKUP($B22,'0907'!$B22:$M36,11,0)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VLOOKUP($B23,'0907'!$B23:$M37,11,0)</f>
        <v>112</v>
      </c>
      <c r="E23" s="14">
        <v>40</v>
      </c>
      <c r="F23" s="9"/>
      <c r="G23" s="9"/>
      <c r="H23" s="9"/>
      <c r="I23" s="9"/>
      <c r="J23" s="9"/>
      <c r="K23" s="9">
        <f t="shared" si="1"/>
        <v>152</v>
      </c>
      <c r="L23" s="9">
        <v>152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VLOOKUP($B24,'0907'!$B24:$M38,11,0)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VLOOKUP($B26,'0907'!$B26:$M40,11,0)</f>
        <v>414</v>
      </c>
      <c r="E26" s="10">
        <v>66</v>
      </c>
      <c r="F26" s="9">
        <v>173</v>
      </c>
      <c r="G26" s="11"/>
      <c r="H26" s="9"/>
      <c r="I26" s="9"/>
      <c r="J26" s="9"/>
      <c r="K26" s="9">
        <f t="shared" ref="K26" si="3">D26+E26-F26</f>
        <v>307</v>
      </c>
      <c r="L26" s="9">
        <v>307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VLOOKUP($B27,'0907'!$B27:$M41,11,0)</f>
        <v>177</v>
      </c>
      <c r="E27" s="9"/>
      <c r="F27" s="9">
        <v>20</v>
      </c>
      <c r="G27" s="11"/>
      <c r="H27" s="9"/>
      <c r="I27" s="9"/>
      <c r="J27" s="9"/>
      <c r="K27" s="9">
        <f>D27+E27-F27</f>
        <v>157</v>
      </c>
      <c r="L27" s="9">
        <v>157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VLOOKUP($B28,'0907'!$B28:$M42,11,0)</f>
        <v>332</v>
      </c>
      <c r="E28" s="9">
        <v>80</v>
      </c>
      <c r="F28" s="9">
        <v>80</v>
      </c>
      <c r="G28" s="11"/>
      <c r="H28" s="9"/>
      <c r="I28" s="9"/>
      <c r="J28" s="9"/>
      <c r="K28" s="9">
        <f>D28+E28-F28</f>
        <v>332</v>
      </c>
      <c r="L28" s="9">
        <v>332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VLOOKUP($B29,'0907'!$B29:$M43,11,0)</f>
        <v>90</v>
      </c>
      <c r="E29" s="9">
        <v>84</v>
      </c>
      <c r="F29" s="9">
        <v>50</v>
      </c>
      <c r="G29" s="11"/>
      <c r="H29" s="9"/>
      <c r="I29" s="9"/>
      <c r="J29" s="9"/>
      <c r="K29" s="9">
        <f>D29+E29-F29</f>
        <v>124</v>
      </c>
      <c r="L29" s="9">
        <v>124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5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DATE(2015,7,10)</f>
        <v>42195</v>
      </c>
      <c r="E5" s="293">
        <f>D5+1</f>
        <v>42196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08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43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VLOOKUP($B8,'1007'!$B8:$M22,11,0)</f>
        <v>679</v>
      </c>
      <c r="E8" s="10"/>
      <c r="F8" s="11">
        <v>70</v>
      </c>
      <c r="G8" s="11">
        <v>100</v>
      </c>
      <c r="H8" s="11"/>
      <c r="I8" s="11"/>
      <c r="J8" s="11"/>
      <c r="K8" s="9">
        <f>D8+E8-SUM(F8:J8)</f>
        <v>509</v>
      </c>
      <c r="L8" s="9">
        <f>185+120+120+84</f>
        <v>509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VLOOKUP($B9,'1007'!$B9:$M23,11,0)</f>
        <v>117</v>
      </c>
      <c r="E9" s="14"/>
      <c r="F9" s="11"/>
      <c r="G9" s="11"/>
      <c r="H9" s="11"/>
      <c r="I9" s="11"/>
      <c r="J9" s="11"/>
      <c r="K9" s="9">
        <f t="shared" ref="K9:K24" si="1">D9+E9-SUM(F9:J9)</f>
        <v>117</v>
      </c>
      <c r="L9" s="9">
        <f>92+35</f>
        <v>127</v>
      </c>
      <c r="M9" s="9">
        <f t="shared" si="0"/>
        <v>10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VLOOKUP($B10,'1007'!$B10:$M24,11,0)</f>
        <v>90</v>
      </c>
      <c r="E10" s="10">
        <f>113+135+137</f>
        <v>385</v>
      </c>
      <c r="F10" s="11">
        <v>20</v>
      </c>
      <c r="G10" s="11">
        <v>150</v>
      </c>
      <c r="H10" s="11"/>
      <c r="I10" s="11"/>
      <c r="J10" s="11"/>
      <c r="K10" s="9">
        <f t="shared" si="1"/>
        <v>305</v>
      </c>
      <c r="L10" s="9">
        <f>248+47+10</f>
        <v>305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VLOOKUP($B11,'1007'!$B11:$M25,11,0)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VLOOKUP($B12,'1007'!$B12:$M26,11,0)</f>
        <v>432</v>
      </c>
      <c r="E12" s="14">
        <v>131</v>
      </c>
      <c r="F12" s="11">
        <v>20</v>
      </c>
      <c r="G12" s="11">
        <v>148</v>
      </c>
      <c r="H12" s="11"/>
      <c r="I12" s="11"/>
      <c r="J12" s="11"/>
      <c r="K12" s="9">
        <f t="shared" si="1"/>
        <v>395</v>
      </c>
      <c r="L12" s="9">
        <f>130+145+120</f>
        <v>395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VLOOKUP($B13,'1007'!$B13:$M27,11,0)</f>
        <v>160</v>
      </c>
      <c r="E13" s="14">
        <v>295</v>
      </c>
      <c r="F13" s="11">
        <v>20</v>
      </c>
      <c r="G13" s="11">
        <v>118</v>
      </c>
      <c r="H13" s="11"/>
      <c r="I13" s="11"/>
      <c r="J13" s="11"/>
      <c r="K13" s="9">
        <f t="shared" si="1"/>
        <v>317</v>
      </c>
      <c r="L13" s="9">
        <f>172+145</f>
        <v>317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VLOOKUP($B14,'1007'!$B14:$M28,11,0)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VLOOKUP($B15,'1007'!$B15:$M29,11,0)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VLOOKUP($B16,'1007'!$B16:$M30,11,0)</f>
        <v>5</v>
      </c>
      <c r="E16" s="14">
        <v>4</v>
      </c>
      <c r="F16" s="11">
        <v>1</v>
      </c>
      <c r="G16" s="11">
        <v>3</v>
      </c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VLOOKUP($B17,'1007'!$B17:$M31,11,0)</f>
        <v>3</v>
      </c>
      <c r="E17" s="14">
        <v>2</v>
      </c>
      <c r="F17" s="11"/>
      <c r="G17" s="11">
        <v>2</v>
      </c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VLOOKUP($B18,'1007'!$B18:$M32,11,0)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VLOOKUP($B19,'1007'!$B19:$M33,11,0)</f>
        <v>3</v>
      </c>
      <c r="E19" s="14"/>
      <c r="F19" s="11"/>
      <c r="G19" s="11">
        <v>1</v>
      </c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VLOOKUP($B20,'1007'!$B20:$M34,11,0)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VLOOKUP($B21,'1007'!$B21:$M35,11,0)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VLOOKUP($B22,'1007'!$B22:$M36,11,0)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VLOOKUP($B23,'1007'!$B23:$M37,11,0)</f>
        <v>152</v>
      </c>
      <c r="E23" s="14">
        <v>32</v>
      </c>
      <c r="F23" s="9"/>
      <c r="G23" s="9"/>
      <c r="H23" s="9"/>
      <c r="I23" s="9"/>
      <c r="J23" s="9"/>
      <c r="K23" s="9">
        <f t="shared" si="1"/>
        <v>184</v>
      </c>
      <c r="L23" s="9">
        <v>184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VLOOKUP($B24,'1007'!$B24:$M38,11,0)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VLOOKUP($B26,'1007'!$B26:$M40,11,0)</f>
        <v>307</v>
      </c>
      <c r="E26" s="10">
        <v>120</v>
      </c>
      <c r="F26" s="9">
        <v>102</v>
      </c>
      <c r="G26" s="11"/>
      <c r="H26" s="9"/>
      <c r="I26" s="9"/>
      <c r="J26" s="9"/>
      <c r="K26" s="9">
        <f t="shared" ref="K26" si="3">D26+E26-F26</f>
        <v>325</v>
      </c>
      <c r="L26" s="9">
        <v>325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VLOOKUP($B27,'1007'!$B27:$M41,11,0)</f>
        <v>157</v>
      </c>
      <c r="E27" s="9"/>
      <c r="F27" s="9">
        <v>31</v>
      </c>
      <c r="G27" s="11"/>
      <c r="H27" s="9"/>
      <c r="I27" s="9"/>
      <c r="J27" s="9"/>
      <c r="K27" s="9">
        <f>D27+E27-F27</f>
        <v>126</v>
      </c>
      <c r="L27" s="9">
        <v>126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VLOOKUP($B28,'1007'!$B28:$M42,11,0)</f>
        <v>332</v>
      </c>
      <c r="E28" s="9">
        <v>149</v>
      </c>
      <c r="F28" s="9">
        <v>121</v>
      </c>
      <c r="G28" s="11"/>
      <c r="H28" s="9"/>
      <c r="I28" s="9"/>
      <c r="J28" s="9"/>
      <c r="K28" s="9">
        <f>D28+E28-F28</f>
        <v>360</v>
      </c>
      <c r="L28" s="9">
        <v>360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VLOOKUP($B29,'1007'!$B29:$M43,11,0)</f>
        <v>124</v>
      </c>
      <c r="E29" s="9"/>
      <c r="F29" s="9">
        <v>40</v>
      </c>
      <c r="G29" s="11"/>
      <c r="H29" s="9"/>
      <c r="I29" s="9"/>
      <c r="J29" s="9"/>
      <c r="K29" s="9">
        <f>D29+E29-F29</f>
        <v>84</v>
      </c>
      <c r="L29" s="9">
        <v>84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DATE(2015,7,11)</f>
        <v>42196</v>
      </c>
      <c r="E5" s="293">
        <f>D5+1</f>
        <v>42197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09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39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VLOOKUP($B8,'1107'!$B8:$M22,11,0)</f>
        <v>509</v>
      </c>
      <c r="E8" s="10"/>
      <c r="F8" s="11">
        <v>70</v>
      </c>
      <c r="G8" s="11"/>
      <c r="H8" s="11"/>
      <c r="I8" s="11"/>
      <c r="J8" s="11"/>
      <c r="K8" s="9">
        <f>D8+E8-SUM(F8:J8)</f>
        <v>439</v>
      </c>
      <c r="L8" s="9">
        <f>144+180+115</f>
        <v>439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VLOOKUP($B9,'1107'!$B9:$M23,11,0)</f>
        <v>127</v>
      </c>
      <c r="E9" s="14">
        <f>83+74+77+87</f>
        <v>321</v>
      </c>
      <c r="F9" s="11"/>
      <c r="G9" s="11"/>
      <c r="H9" s="11"/>
      <c r="I9" s="11"/>
      <c r="J9" s="11"/>
      <c r="K9" s="9">
        <f t="shared" ref="K9:K24" si="1">D9+E9-SUM(F9:J9)</f>
        <v>448</v>
      </c>
      <c r="L9" s="9">
        <f>92+35+321</f>
        <v>448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VLOOKUP($B10,'1107'!$B10:$M24,11,0)</f>
        <v>305</v>
      </c>
      <c r="E10" s="10"/>
      <c r="F10" s="11">
        <v>10</v>
      </c>
      <c r="G10" s="11"/>
      <c r="H10" s="11"/>
      <c r="I10" s="11"/>
      <c r="J10" s="11"/>
      <c r="K10" s="9">
        <f t="shared" si="1"/>
        <v>295</v>
      </c>
      <c r="L10" s="9">
        <f>160+88+47</f>
        <v>295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VLOOKUP($B11,'1107'!$B11:$M25,11,0)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VLOOKUP($B12,'1107'!$B12:$M26,11,0)</f>
        <v>395</v>
      </c>
      <c r="E12" s="14">
        <v>122</v>
      </c>
      <c r="F12" s="11">
        <v>10</v>
      </c>
      <c r="G12" s="11"/>
      <c r="H12" s="11"/>
      <c r="I12" s="11"/>
      <c r="J12" s="11"/>
      <c r="K12" s="9">
        <f t="shared" si="1"/>
        <v>507</v>
      </c>
      <c r="L12" s="9">
        <f>130+135+120+122</f>
        <v>507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VLOOKUP($B13,'1107'!$B13:$M27,11,0)</f>
        <v>317</v>
      </c>
      <c r="E13" s="14">
        <v>154</v>
      </c>
      <c r="F13" s="11">
        <v>20</v>
      </c>
      <c r="G13" s="11"/>
      <c r="H13" s="11"/>
      <c r="I13" s="11"/>
      <c r="J13" s="11"/>
      <c r="K13" s="9">
        <f t="shared" si="1"/>
        <v>451</v>
      </c>
      <c r="L13" s="9">
        <f>130+132+40+149</f>
        <v>451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VLOOKUP($B14,'1107'!$B14:$M28,11,0)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VLOOKUP($B15,'1107'!$B15:$M29,11,0)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VLOOKUP($B16,'1107'!$B16:$M30,11,0)</f>
        <v>5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VLOOKUP($B17,'1107'!$B17:$M31,11,0)</f>
        <v>3</v>
      </c>
      <c r="E17" s="14"/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VLOOKUP($B18,'1107'!$B18:$M32,11,0)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VLOOKUP($B19,'1107'!$B19:$M33,11,0)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VLOOKUP($B20,'1107'!$B20:$M34,11,0)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VLOOKUP($B21,'1107'!$B21:$M35,11,0)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VLOOKUP($B22,'1107'!$B22:$M36,11,0)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VLOOKUP($B23,'1107'!$B23:$M37,11,0)</f>
        <v>184</v>
      </c>
      <c r="E23" s="14"/>
      <c r="F23" s="9"/>
      <c r="G23" s="9"/>
      <c r="H23" s="9"/>
      <c r="I23" s="9"/>
      <c r="J23" s="9"/>
      <c r="K23" s="9">
        <f t="shared" si="1"/>
        <v>184</v>
      </c>
      <c r="L23" s="9">
        <v>184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VLOOKUP($B24,'1107'!$B24:$M38,11,0)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VLOOKUP($B26,'1107'!$B26:$M40,11,0)</f>
        <v>325</v>
      </c>
      <c r="E26" s="10">
        <v>132</v>
      </c>
      <c r="F26" s="9">
        <v>125</v>
      </c>
      <c r="G26" s="11"/>
      <c r="H26" s="9"/>
      <c r="I26" s="9"/>
      <c r="J26" s="9"/>
      <c r="K26" s="9">
        <f t="shared" ref="K26" si="3">D26+E26-F26</f>
        <v>332</v>
      </c>
      <c r="L26" s="9">
        <v>332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VLOOKUP($B27,'1107'!$B27:$M41,11,0)</f>
        <v>126</v>
      </c>
      <c r="E27" s="9">
        <v>23</v>
      </c>
      <c r="F27" s="9">
        <v>35</v>
      </c>
      <c r="G27" s="11"/>
      <c r="H27" s="9"/>
      <c r="I27" s="9"/>
      <c r="J27" s="9"/>
      <c r="K27" s="9">
        <f>D27+E27-F27</f>
        <v>114</v>
      </c>
      <c r="L27" s="9">
        <v>114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VLOOKUP($B28,'1107'!$B28:$M42,11,0)</f>
        <v>360</v>
      </c>
      <c r="E28" s="9">
        <v>255</v>
      </c>
      <c r="F28" s="9">
        <v>111</v>
      </c>
      <c r="G28" s="11"/>
      <c r="H28" s="9"/>
      <c r="I28" s="9"/>
      <c r="J28" s="9"/>
      <c r="K28" s="9">
        <f>D28+E28-F28</f>
        <v>504</v>
      </c>
      <c r="L28" s="9">
        <v>504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VLOOKUP($B29,'1107'!$B29:$M43,11,0)</f>
        <v>84</v>
      </c>
      <c r="E29" s="9">
        <v>47</v>
      </c>
      <c r="F29" s="9">
        <v>14</v>
      </c>
      <c r="G29" s="11"/>
      <c r="H29" s="9"/>
      <c r="I29" s="9"/>
      <c r="J29" s="9"/>
      <c r="K29" s="9">
        <f>D29+E29-F29</f>
        <v>117</v>
      </c>
      <c r="L29" s="9">
        <v>117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2" workbookViewId="0">
      <pane xSplit="1" topLeftCell="D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DATE(2015,7,12)</f>
        <v>42197</v>
      </c>
      <c r="E5" s="293">
        <f>D5+1</f>
        <v>42198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09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62</v>
      </c>
      <c r="H7" s="5" t="s">
        <v>45</v>
      </c>
      <c r="I7" s="5" t="s">
        <v>71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VLOOKUP($B8,'1207'!$B8:$M22,11,0)</f>
        <v>439</v>
      </c>
      <c r="E8" s="10">
        <f>97+92+40+94</f>
        <v>323</v>
      </c>
      <c r="F8" s="11">
        <v>60</v>
      </c>
      <c r="G8" s="11">
        <v>34</v>
      </c>
      <c r="H8" s="11">
        <v>40</v>
      </c>
      <c r="I8" s="11"/>
      <c r="J8" s="11"/>
      <c r="K8" s="9">
        <f>D8+E8-SUM(F8:J8)</f>
        <v>628</v>
      </c>
      <c r="L8" s="9">
        <f>150+155+323</f>
        <v>628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VLOOKUP($B9,'1207'!$B9:$M23,11,0)</f>
        <v>448</v>
      </c>
      <c r="E9" s="14"/>
      <c r="F9" s="11"/>
      <c r="G9" s="11">
        <v>30</v>
      </c>
      <c r="H9" s="11"/>
      <c r="I9" s="11"/>
      <c r="J9" s="11"/>
      <c r="K9" s="9">
        <f t="shared" ref="K9:K24" si="1">D9+E9-SUM(F9:J9)</f>
        <v>418</v>
      </c>
      <c r="L9" s="9">
        <f>240+168+10</f>
        <v>418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VLOOKUP($B10,'1207'!$B10:$M24,11,0)</f>
        <v>295</v>
      </c>
      <c r="E10" s="10">
        <v>124</v>
      </c>
      <c r="F10" s="11">
        <v>20</v>
      </c>
      <c r="G10" s="11">
        <v>45</v>
      </c>
      <c r="H10" s="11">
        <v>30</v>
      </c>
      <c r="I10" s="11"/>
      <c r="J10" s="11"/>
      <c r="K10" s="9">
        <f t="shared" si="1"/>
        <v>324</v>
      </c>
      <c r="L10" s="9">
        <f>200+124</f>
        <v>324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VLOOKUP($B11,'1207'!$B11:$M25,11,0)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VLOOKUP($B12,'1207'!$B12:$M26,11,0)</f>
        <v>507</v>
      </c>
      <c r="E12" s="14">
        <v>168</v>
      </c>
      <c r="F12" s="11">
        <v>20</v>
      </c>
      <c r="G12" s="11">
        <v>40</v>
      </c>
      <c r="H12" s="11">
        <v>35</v>
      </c>
      <c r="I12" s="11"/>
      <c r="J12" s="11"/>
      <c r="K12" s="9">
        <f t="shared" si="1"/>
        <v>580</v>
      </c>
      <c r="L12" s="9">
        <f>122+170+120+168</f>
        <v>580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VLOOKUP($B13,'1207'!$B13:$M27,11,0)</f>
        <v>451</v>
      </c>
      <c r="E13" s="14">
        <f>111+40</f>
        <v>151</v>
      </c>
      <c r="F13" s="11">
        <v>20</v>
      </c>
      <c r="G13" s="11">
        <v>40</v>
      </c>
      <c r="H13" s="11"/>
      <c r="I13" s="11"/>
      <c r="J13" s="11"/>
      <c r="K13" s="9">
        <f t="shared" si="1"/>
        <v>542</v>
      </c>
      <c r="L13" s="9">
        <f>130+112+154+146</f>
        <v>542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VLOOKUP($B14,'1207'!$B14:$M28,11,0)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VLOOKUP($B15,'1207'!$B15:$M29,11,0)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VLOOKUP($B16,'1207'!$B16:$M30,11,0)</f>
        <v>5</v>
      </c>
      <c r="E16" s="14">
        <v>4</v>
      </c>
      <c r="F16" s="11"/>
      <c r="G16" s="11">
        <v>2</v>
      </c>
      <c r="H16" s="11"/>
      <c r="I16" s="11"/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VLOOKUP($B17,'1207'!$B17:$M31,11,0)</f>
        <v>3</v>
      </c>
      <c r="E17" s="14"/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VLOOKUP($B18,'1207'!$B18:$M32,11,0)</f>
        <v>2</v>
      </c>
      <c r="E18" s="14"/>
      <c r="F18" s="11"/>
      <c r="G18" s="11">
        <v>1</v>
      </c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VLOOKUP($B19,'1207'!$B19:$M33,11,0)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VLOOKUP($B20,'1207'!$B20:$M34,11,0)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VLOOKUP($B21,'1207'!$B21:$M35,11,0)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VLOOKUP($B22,'1207'!$B22:$M36,11,0)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VLOOKUP($B23,'1207'!$B23:$M37,11,0)</f>
        <v>184</v>
      </c>
      <c r="E23" s="14"/>
      <c r="F23" s="9">
        <v>40</v>
      </c>
      <c r="G23" s="9"/>
      <c r="H23" s="9"/>
      <c r="I23" s="9">
        <v>144</v>
      </c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VLOOKUP($B24,'1207'!$B24:$M38,11,0)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VLOOKUP($B26,'1207'!$B26:$M40,11,0)</f>
        <v>332</v>
      </c>
      <c r="E26" s="10">
        <v>67</v>
      </c>
      <c r="F26" s="9">
        <v>116</v>
      </c>
      <c r="G26" s="11"/>
      <c r="H26" s="9"/>
      <c r="I26" s="9"/>
      <c r="J26" s="9"/>
      <c r="K26" s="9">
        <f t="shared" ref="K26" si="3">D26+E26-F26</f>
        <v>283</v>
      </c>
      <c r="L26" s="9">
        <v>283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VLOOKUP($B27,'1207'!$B27:$M41,11,0)</f>
        <v>114</v>
      </c>
      <c r="E27" s="9">
        <v>54</v>
      </c>
      <c r="F27" s="9">
        <v>38</v>
      </c>
      <c r="G27" s="11"/>
      <c r="H27" s="9"/>
      <c r="I27" s="9"/>
      <c r="J27" s="9"/>
      <c r="K27" s="9">
        <f>D27+E27-F27</f>
        <v>130</v>
      </c>
      <c r="L27" s="9">
        <v>130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VLOOKUP($B28,'1207'!$B28:$M42,11,0)</f>
        <v>504</v>
      </c>
      <c r="E28" s="9"/>
      <c r="F28" s="9">
        <v>101</v>
      </c>
      <c r="G28" s="11"/>
      <c r="H28" s="9"/>
      <c r="I28" s="9"/>
      <c r="J28" s="9"/>
      <c r="K28" s="9">
        <f>D28+E28-F28</f>
        <v>403</v>
      </c>
      <c r="L28" s="9">
        <v>403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VLOOKUP($B29,'1207'!$B29:$M43,11,0)</f>
        <v>117</v>
      </c>
      <c r="E29" s="9">
        <v>73</v>
      </c>
      <c r="F29" s="9">
        <v>55</v>
      </c>
      <c r="G29" s="11"/>
      <c r="H29" s="9"/>
      <c r="I29" s="9"/>
      <c r="J29" s="9"/>
      <c r="K29" s="9">
        <f>D29+E29-F29</f>
        <v>135</v>
      </c>
      <c r="L29" s="9">
        <v>135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DATE(2015,7,13)</f>
        <v>42198</v>
      </c>
      <c r="E5" s="293">
        <f>D5+1</f>
        <v>42199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09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54</v>
      </c>
      <c r="H7" s="5" t="s">
        <v>72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VLOOKUP($B8,'1307'!$B8:$M22,11,0)</f>
        <v>628</v>
      </c>
      <c r="E8" s="10">
        <f>107+90+38</f>
        <v>235</v>
      </c>
      <c r="F8" s="11">
        <v>70</v>
      </c>
      <c r="G8" s="11">
        <v>69</v>
      </c>
      <c r="H8" s="11"/>
      <c r="I8" s="11"/>
      <c r="J8" s="11"/>
      <c r="K8" s="9">
        <f>D8+E8-SUM(F8:J8)</f>
        <v>724</v>
      </c>
      <c r="L8" s="9">
        <f>120+120+70+115+235+64</f>
        <v>724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VLOOKUP($B9,'1307'!$B9:$M23,11,0)</f>
        <v>418</v>
      </c>
      <c r="E9" s="14"/>
      <c r="F9" s="11"/>
      <c r="G9" s="11">
        <v>50</v>
      </c>
      <c r="H9" s="11"/>
      <c r="I9" s="11"/>
      <c r="J9" s="11"/>
      <c r="K9" s="9">
        <f t="shared" ref="K9:K24" si="1">D9+E9-SUM(F9:J9)</f>
        <v>368</v>
      </c>
      <c r="L9" s="9">
        <f>120+100+137+10</f>
        <v>367</v>
      </c>
      <c r="M9" s="9">
        <f t="shared" si="0"/>
        <v>-1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VLOOKUP($B10,'1307'!$B10:$M24,11,0)</f>
        <v>324</v>
      </c>
      <c r="E10" s="10">
        <v>156</v>
      </c>
      <c r="F10" s="11">
        <v>20</v>
      </c>
      <c r="G10" s="11">
        <v>40</v>
      </c>
      <c r="H10" s="11"/>
      <c r="I10" s="11"/>
      <c r="J10" s="11"/>
      <c r="K10" s="9">
        <f t="shared" si="1"/>
        <v>420</v>
      </c>
      <c r="L10" s="9">
        <f>124+150+146</f>
        <v>420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VLOOKUP($B11,'1307'!$B11:$M25,11,0)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VLOOKUP($B12,'1307'!$B12:$M26,11,0)</f>
        <v>580</v>
      </c>
      <c r="E12" s="14">
        <v>173</v>
      </c>
      <c r="F12" s="11">
        <v>20</v>
      </c>
      <c r="G12" s="11">
        <v>50</v>
      </c>
      <c r="H12" s="11"/>
      <c r="I12" s="11"/>
      <c r="J12" s="11"/>
      <c r="K12" s="9">
        <f t="shared" si="1"/>
        <v>683</v>
      </c>
      <c r="L12" s="9">
        <f>158+100+132+120+173</f>
        <v>683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VLOOKUP($B13,'1307'!$B13:$M27,11,0)</f>
        <v>542</v>
      </c>
      <c r="E13" s="14">
        <v>151</v>
      </c>
      <c r="F13" s="11">
        <v>20</v>
      </c>
      <c r="G13" s="11">
        <v>50</v>
      </c>
      <c r="H13" s="11"/>
      <c r="I13" s="11"/>
      <c r="J13" s="11"/>
      <c r="K13" s="9">
        <f t="shared" si="1"/>
        <v>623</v>
      </c>
      <c r="L13" s="9">
        <f>140+42+151+151+139</f>
        <v>623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VLOOKUP($B14,'1307'!$B14:$M28,11,0)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VLOOKUP($B15,'1307'!$B15:$M29,11,0)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VLOOKUP($B16,'1307'!$B16:$M30,11,0)</f>
        <v>7</v>
      </c>
      <c r="E16" s="14">
        <v>2</v>
      </c>
      <c r="F16" s="11"/>
      <c r="G16" s="11">
        <v>1</v>
      </c>
      <c r="H16" s="11"/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VLOOKUP($B17,'1307'!$B17:$M31,11,0)</f>
        <v>3</v>
      </c>
      <c r="E17" s="14"/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VLOOKUP($B18,'1307'!$B18:$M32,11,0)</f>
        <v>1</v>
      </c>
      <c r="E18" s="14">
        <v>2</v>
      </c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VLOOKUP($B19,'1307'!$B19:$M33,11,0)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VLOOKUP($B20,'1307'!$B20:$M34,11,0)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VLOOKUP($B21,'1307'!$B21:$M35,11,0)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VLOOKUP($B22,'1307'!$B22:$M36,11,0)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VLOOKUP($B23,'1307'!$B23:$M37,11,0)</f>
        <v>0</v>
      </c>
      <c r="E23" s="14">
        <v>32</v>
      </c>
      <c r="F23" s="9"/>
      <c r="G23" s="9"/>
      <c r="H23" s="9">
        <v>32</v>
      </c>
      <c r="I23" s="9"/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VLOOKUP($B24,'1307'!$B24:$M38,11,0)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VLOOKUP($B26,'1307'!$B26:$M40,11,0)</f>
        <v>283</v>
      </c>
      <c r="E26" s="10"/>
      <c r="F26" s="9">
        <v>75</v>
      </c>
      <c r="G26" s="11"/>
      <c r="H26" s="9"/>
      <c r="I26" s="9"/>
      <c r="J26" s="9"/>
      <c r="K26" s="9">
        <f t="shared" ref="K26" si="3">D26+E26-F26</f>
        <v>208</v>
      </c>
      <c r="L26" s="9">
        <v>208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VLOOKUP($B27,'1307'!$B27:$M41,11,0)</f>
        <v>130</v>
      </c>
      <c r="E27" s="9"/>
      <c r="F27" s="9">
        <v>19</v>
      </c>
      <c r="G27" s="11"/>
      <c r="H27" s="9"/>
      <c r="I27" s="9"/>
      <c r="J27" s="9"/>
      <c r="K27" s="9">
        <f>D27+E27-F27</f>
        <v>111</v>
      </c>
      <c r="L27" s="9">
        <v>111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VLOOKUP($B28,'1307'!$B28:$M42,11,0)</f>
        <v>403</v>
      </c>
      <c r="E28" s="9">
        <v>122</v>
      </c>
      <c r="F28" s="9">
        <v>80</v>
      </c>
      <c r="G28" s="11"/>
      <c r="H28" s="9"/>
      <c r="I28" s="9"/>
      <c r="J28" s="9"/>
      <c r="K28" s="9">
        <f>D28+E28-F28</f>
        <v>445</v>
      </c>
      <c r="L28" s="9">
        <v>445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VLOOKUP($B29,'1307'!$B29:$M43,11,0)</f>
        <v>135</v>
      </c>
      <c r="E29" s="9">
        <v>33</v>
      </c>
      <c r="F29" s="9">
        <v>50</v>
      </c>
      <c r="G29" s="11"/>
      <c r="H29" s="9"/>
      <c r="I29" s="9"/>
      <c r="J29" s="9"/>
      <c r="K29" s="9">
        <f>D29+E29-F29</f>
        <v>118</v>
      </c>
      <c r="L29" s="9">
        <v>118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  <legacy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7" workbookViewId="0">
      <pane xSplit="1" topLeftCell="D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DATE(2015,7,14)</f>
        <v>42199</v>
      </c>
      <c r="E5" s="293">
        <f>D5+1</f>
        <v>42200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10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39</v>
      </c>
      <c r="H7" s="5" t="s">
        <v>40</v>
      </c>
      <c r="I7" s="5" t="s">
        <v>38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VLOOKUP($B8,'1407'!$B8:$M22,11,0)</f>
        <v>724</v>
      </c>
      <c r="E8" s="10">
        <f>101+76+95+18</f>
        <v>290</v>
      </c>
      <c r="F8" s="11">
        <v>50</v>
      </c>
      <c r="G8" s="11">
        <v>80</v>
      </c>
      <c r="H8" s="11">
        <v>40</v>
      </c>
      <c r="I8" s="11">
        <v>30</v>
      </c>
      <c r="J8" s="11"/>
      <c r="K8" s="9">
        <f>D8+E8-SUM(F8:J8)</f>
        <v>814</v>
      </c>
      <c r="L8" s="9">
        <f>120+123+89+90+120+272</f>
        <v>814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VLOOKUP($B9,'1407'!$B9:$M23,11,0)</f>
        <v>367</v>
      </c>
      <c r="E9" s="14"/>
      <c r="F9" s="11"/>
      <c r="G9" s="11">
        <v>80</v>
      </c>
      <c r="H9" s="11">
        <v>40</v>
      </c>
      <c r="I9" s="11">
        <v>37</v>
      </c>
      <c r="J9" s="11"/>
      <c r="K9" s="9">
        <f t="shared" ref="K9:K24" si="1">D9+E9-SUM(F9:J9)</f>
        <v>210</v>
      </c>
      <c r="L9" s="9">
        <f>110+100</f>
        <v>210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VLOOKUP($B10,'1407'!$B10:$M24,11,0)</f>
        <v>420</v>
      </c>
      <c r="E10" s="10">
        <v>120</v>
      </c>
      <c r="F10" s="11">
        <v>30</v>
      </c>
      <c r="G10" s="11">
        <v>60</v>
      </c>
      <c r="H10" s="11">
        <v>50</v>
      </c>
      <c r="I10" s="11">
        <v>10</v>
      </c>
      <c r="J10" s="11"/>
      <c r="K10" s="9">
        <f t="shared" si="1"/>
        <v>390</v>
      </c>
      <c r="L10" s="9">
        <f>196+120+74</f>
        <v>390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VLOOKUP($B11,'1407'!$B11:$M25,11,0)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VLOOKUP($B12,'1407'!$B12:$M26,11,0)</f>
        <v>683</v>
      </c>
      <c r="E12" s="14">
        <f>117+79+36</f>
        <v>232</v>
      </c>
      <c r="F12" s="11">
        <v>20</v>
      </c>
      <c r="G12" s="11">
        <v>60</v>
      </c>
      <c r="H12" s="11">
        <v>70</v>
      </c>
      <c r="I12" s="11">
        <v>30</v>
      </c>
      <c r="J12" s="11"/>
      <c r="K12" s="9">
        <f t="shared" si="1"/>
        <v>735</v>
      </c>
      <c r="L12" s="9">
        <f>170+124+50+21+174+196</f>
        <v>735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VLOOKUP($B13,'1407'!$B13:$M27,11,0)</f>
        <v>623</v>
      </c>
      <c r="E13" s="14">
        <v>156</v>
      </c>
      <c r="F13" s="11">
        <v>20</v>
      </c>
      <c r="G13" s="11">
        <v>60</v>
      </c>
      <c r="H13" s="11">
        <v>30</v>
      </c>
      <c r="I13" s="11">
        <v>20</v>
      </c>
      <c r="J13" s="11"/>
      <c r="K13" s="9">
        <f t="shared" si="1"/>
        <v>649</v>
      </c>
      <c r="L13" s="9">
        <f>151+140+114+60+140+44</f>
        <v>649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VLOOKUP($B14,'1407'!$B14:$M28,11,0)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VLOOKUP($B15,'1407'!$B15:$M29,11,0)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VLOOKUP($B16,'1407'!$B16:$M30,11,0)</f>
        <v>8</v>
      </c>
      <c r="E16" s="14">
        <v>2</v>
      </c>
      <c r="F16" s="11">
        <v>1</v>
      </c>
      <c r="G16" s="11">
        <v>1</v>
      </c>
      <c r="H16" s="11">
        <v>2</v>
      </c>
      <c r="I16" s="11">
        <v>1</v>
      </c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VLOOKUP($B17,'1407'!$B17:$M31,11,0)</f>
        <v>3</v>
      </c>
      <c r="E17" s="14"/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VLOOKUP($B18,'1407'!$B18:$M32,11,0)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VLOOKUP($B19,'1407'!$B19:$M33,11,0)</f>
        <v>2</v>
      </c>
      <c r="E19" s="14">
        <v>2</v>
      </c>
      <c r="F19" s="11"/>
      <c r="G19" s="11"/>
      <c r="H19" s="11"/>
      <c r="I19" s="11"/>
      <c r="J19" s="11"/>
      <c r="K19" s="9">
        <f t="shared" si="1"/>
        <v>4</v>
      </c>
      <c r="L19" s="9">
        <v>4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VLOOKUP($B20,'1407'!$B20:$M34,11,0)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VLOOKUP($B21,'1407'!$B21:$M35,11,0)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VLOOKUP($B22,'1407'!$B22:$M36,11,0)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VLOOKUP($B23,'1407'!$B23:$M37,11,0)</f>
        <v>0</v>
      </c>
      <c r="E23" s="14">
        <v>32</v>
      </c>
      <c r="F23" s="9">
        <v>32</v>
      </c>
      <c r="G23" s="9"/>
      <c r="H23" s="9"/>
      <c r="I23" s="9"/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VLOOKUP($B26,'1407'!$B26:$M40,11,0)</f>
        <v>208</v>
      </c>
      <c r="E26" s="10">
        <v>143</v>
      </c>
      <c r="F26" s="9">
        <v>140</v>
      </c>
      <c r="G26" s="11"/>
      <c r="H26" s="9"/>
      <c r="I26" s="9"/>
      <c r="J26" s="9"/>
      <c r="K26" s="9">
        <f t="shared" ref="K26" si="3">D26+E26-F26</f>
        <v>211</v>
      </c>
      <c r="L26" s="9">
        <v>211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VLOOKUP($B27,'1407'!$B27:$M41,11,0)</f>
        <v>111</v>
      </c>
      <c r="E27" s="9">
        <v>58</v>
      </c>
      <c r="F27" s="9">
        <v>67</v>
      </c>
      <c r="G27" s="11"/>
      <c r="H27" s="9"/>
      <c r="I27" s="9"/>
      <c r="J27" s="9"/>
      <c r="K27" s="9">
        <f>D27+E27-F27</f>
        <v>102</v>
      </c>
      <c r="L27" s="9">
        <v>102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VLOOKUP($B28,'1407'!$B28:$M42,11,0)</f>
        <v>445</v>
      </c>
      <c r="E28" s="9">
        <v>63</v>
      </c>
      <c r="F28" s="9">
        <v>160</v>
      </c>
      <c r="G28" s="11"/>
      <c r="H28" s="9"/>
      <c r="I28" s="9"/>
      <c r="J28" s="9"/>
      <c r="K28" s="9">
        <f>D28+E28-F28</f>
        <v>348</v>
      </c>
      <c r="L28" s="9">
        <v>348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VLOOKUP($B29,'1407'!$B29:$M43,11,0)</f>
        <v>118</v>
      </c>
      <c r="E29" s="9">
        <v>86</v>
      </c>
      <c r="F29" s="9">
        <v>75</v>
      </c>
      <c r="G29" s="11"/>
      <c r="H29" s="9"/>
      <c r="I29" s="9"/>
      <c r="J29" s="9"/>
      <c r="K29" s="9">
        <f>D29+E29-F29</f>
        <v>129</v>
      </c>
      <c r="L29" s="9">
        <v>129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DATE(2015,7,15)</f>
        <v>42200</v>
      </c>
      <c r="E5" s="293">
        <f>D5+1</f>
        <v>42201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11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52</v>
      </c>
      <c r="H7" s="5" t="s">
        <v>51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VLOOKUP($B8,'1507'!$B8:$M22,11,0)</f>
        <v>814</v>
      </c>
      <c r="E8" s="10">
        <f>41+93+96+89</f>
        <v>319</v>
      </c>
      <c r="F8" s="11">
        <v>50</v>
      </c>
      <c r="G8" s="11">
        <v>203</v>
      </c>
      <c r="H8" s="11">
        <v>120</v>
      </c>
      <c r="I8" s="11"/>
      <c r="J8" s="11"/>
      <c r="K8" s="9">
        <f>D8+E8-SUM(F8:J8)</f>
        <v>760</v>
      </c>
      <c r="L8" s="9">
        <f>120+200+120+319</f>
        <v>759</v>
      </c>
      <c r="M8" s="9">
        <f t="shared" ref="M8:M19" si="0">L8-K8</f>
        <v>-1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VLOOKUP($B9,'1507'!$B9:$M23,11,0)</f>
        <v>210</v>
      </c>
      <c r="E9" s="14"/>
      <c r="F9" s="11"/>
      <c r="G9" s="11">
        <v>50</v>
      </c>
      <c r="H9" s="11">
        <v>20</v>
      </c>
      <c r="I9" s="11"/>
      <c r="J9" s="11"/>
      <c r="K9" s="9">
        <f t="shared" ref="K9:K24" si="1">D9+E9-SUM(F9:J9)</f>
        <v>140</v>
      </c>
      <c r="L9" s="9">
        <v>140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VLOOKUP($B10,'1507'!$B10:$M24,11,0)</f>
        <v>390</v>
      </c>
      <c r="E10" s="10">
        <v>143</v>
      </c>
      <c r="F10" s="11">
        <v>20</v>
      </c>
      <c r="G10" s="11">
        <v>100</v>
      </c>
      <c r="H10" s="11">
        <v>100</v>
      </c>
      <c r="I10" s="11"/>
      <c r="J10" s="11"/>
      <c r="K10" s="9">
        <f t="shared" si="1"/>
        <v>313</v>
      </c>
      <c r="L10" s="9">
        <f>230+83</f>
        <v>313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VLOOKUP($B11,'1507'!$B11:$M25,11,0)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VLOOKUP($B12,'1507'!$B12:$M26,11,0)</f>
        <v>735</v>
      </c>
      <c r="E12" s="14">
        <f>125+112</f>
        <v>237</v>
      </c>
      <c r="F12" s="11">
        <v>20</v>
      </c>
      <c r="G12" s="11">
        <v>296</v>
      </c>
      <c r="H12" s="11">
        <v>120</v>
      </c>
      <c r="I12" s="11"/>
      <c r="J12" s="11"/>
      <c r="K12" s="9">
        <f t="shared" si="1"/>
        <v>536</v>
      </c>
      <c r="L12" s="9">
        <f>80+78+130+248</f>
        <v>536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VLOOKUP($B13,'1507'!$B13:$M27,11,0)</f>
        <v>649</v>
      </c>
      <c r="E13" s="14"/>
      <c r="F13" s="11">
        <v>20</v>
      </c>
      <c r="G13" s="11">
        <v>155</v>
      </c>
      <c r="H13" s="11">
        <v>80</v>
      </c>
      <c r="I13" s="11"/>
      <c r="J13" s="11"/>
      <c r="K13" s="9">
        <f t="shared" si="1"/>
        <v>394</v>
      </c>
      <c r="L13" s="9">
        <f>130+121+146</f>
        <v>397</v>
      </c>
      <c r="M13" s="9">
        <f t="shared" si="0"/>
        <v>3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VLOOKUP($B14,'1507'!$B14:$M28,11,0)</f>
        <v>2</v>
      </c>
      <c r="E14" s="14"/>
      <c r="F14" s="11"/>
      <c r="G14" s="11"/>
      <c r="H14" s="11">
        <v>2</v>
      </c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VLOOKUP($B15,'1507'!$B15:$M29,11,0)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VLOOKUP($B16,'1507'!$B16:$M30,11,0)</f>
        <v>5</v>
      </c>
      <c r="E16" s="14">
        <v>4</v>
      </c>
      <c r="F16" s="11">
        <v>1</v>
      </c>
      <c r="G16" s="11">
        <v>3</v>
      </c>
      <c r="H16" s="11">
        <v>3</v>
      </c>
      <c r="I16" s="11"/>
      <c r="J16" s="11"/>
      <c r="K16" s="9">
        <f t="shared" si="1"/>
        <v>2</v>
      </c>
      <c r="L16" s="9">
        <v>2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VLOOKUP($B17,'1507'!$B17:$M31,11,0)</f>
        <v>3</v>
      </c>
      <c r="E17" s="14"/>
      <c r="F17" s="11"/>
      <c r="G17" s="11"/>
      <c r="H17" s="11">
        <v>2</v>
      </c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VLOOKUP($B18,'1507'!$B18:$M32,11,0)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VLOOKUP($B19,'1507'!$B19:$M33,11,0)</f>
        <v>4</v>
      </c>
      <c r="E19" s="14"/>
      <c r="F19" s="11"/>
      <c r="G19" s="11"/>
      <c r="H19" s="11">
        <v>1</v>
      </c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VLOOKUP($B20,'1507'!$B20:$M34,11,0)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VLOOKUP($B21,'1507'!$B21:$M35,11,0)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VLOOKUP($B22,'1507'!$B22:$M36,11,0)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VLOOKUP($B23,'1507'!$B23:$M37,11,0)</f>
        <v>0</v>
      </c>
      <c r="E23" s="14"/>
      <c r="F23" s="9"/>
      <c r="G23" s="9"/>
      <c r="H23" s="9"/>
      <c r="I23" s="9"/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VLOOKUP($B24,'1507'!$B24:$M38,11,0)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VLOOKUP($B26,'1507'!$B26:$M40,11,0)</f>
        <v>211</v>
      </c>
      <c r="E26" s="10">
        <v>126</v>
      </c>
      <c r="F26" s="9">
        <v>120</v>
      </c>
      <c r="G26" s="11"/>
      <c r="H26" s="9"/>
      <c r="I26" s="9"/>
      <c r="J26" s="9"/>
      <c r="K26" s="9">
        <f t="shared" ref="K26" si="3">D26+E26-F26</f>
        <v>217</v>
      </c>
      <c r="L26" s="9">
        <v>217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VLOOKUP($B27,'1507'!$B27:$M41,11,0)</f>
        <v>102</v>
      </c>
      <c r="E27" s="9"/>
      <c r="F27" s="9">
        <v>7</v>
      </c>
      <c r="G27" s="11"/>
      <c r="H27" s="9"/>
      <c r="I27" s="9"/>
      <c r="J27" s="9"/>
      <c r="K27" s="9">
        <f>D27+E27-F27</f>
        <v>95</v>
      </c>
      <c r="L27" s="9">
        <v>95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VLOOKUP($B28,'1507'!$B28:$M42,11,0)</f>
        <v>348</v>
      </c>
      <c r="E28" s="9">
        <v>224</v>
      </c>
      <c r="F28" s="9">
        <v>198</v>
      </c>
      <c r="G28" s="11"/>
      <c r="H28" s="9"/>
      <c r="I28" s="9"/>
      <c r="J28" s="9"/>
      <c r="K28" s="9">
        <f>D28+E28-F28</f>
        <v>374</v>
      </c>
      <c r="L28" s="9">
        <v>374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VLOOKUP($B29,'1507'!$B29:$M43,11,0)</f>
        <v>129</v>
      </c>
      <c r="E29" s="9">
        <v>80</v>
      </c>
      <c r="F29" s="9">
        <v>43</v>
      </c>
      <c r="G29" s="11"/>
      <c r="H29" s="9"/>
      <c r="I29" s="9"/>
      <c r="J29" s="9"/>
      <c r="K29" s="9">
        <f>D29+E29-F29</f>
        <v>166</v>
      </c>
      <c r="L29" s="9">
        <v>166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1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DATE(2015,7,16)</f>
        <v>42201</v>
      </c>
      <c r="E5" s="293">
        <f>D5+1</f>
        <v>42202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12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49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VLOOKUP($B8,'1607'!$B8:$M22,11,0)</f>
        <v>759</v>
      </c>
      <c r="E8" s="10">
        <v>27</v>
      </c>
      <c r="F8" s="11">
        <v>51</v>
      </c>
      <c r="G8" s="11">
        <v>130</v>
      </c>
      <c r="H8" s="11"/>
      <c r="I8" s="11"/>
      <c r="J8" s="11"/>
      <c r="K8" s="9">
        <f>D8+E8-SUM(F8:J8)</f>
        <v>605</v>
      </c>
      <c r="L8" s="9">
        <f>80+230+80+200+15</f>
        <v>605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VLOOKUP($B9,'1607'!$B9:$M23,11,0)</f>
        <v>140</v>
      </c>
      <c r="E9" s="14">
        <f>14+77+89</f>
        <v>180</v>
      </c>
      <c r="F9" s="11"/>
      <c r="G9" s="11">
        <v>100</v>
      </c>
      <c r="H9" s="11"/>
      <c r="I9" s="11"/>
      <c r="J9" s="11"/>
      <c r="K9" s="9">
        <f t="shared" ref="K9:K24" si="1">D9+E9-SUM(F9:J9)</f>
        <v>220</v>
      </c>
      <c r="L9" s="9">
        <f>40+180</f>
        <v>220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VLOOKUP($B10,'1607'!$B10:$M24,11,0)</f>
        <v>313</v>
      </c>
      <c r="E10" s="10">
        <v>220</v>
      </c>
      <c r="F10" s="11">
        <v>20</v>
      </c>
      <c r="G10" s="11"/>
      <c r="H10" s="11"/>
      <c r="I10" s="11"/>
      <c r="J10" s="11"/>
      <c r="K10" s="9">
        <f t="shared" si="1"/>
        <v>513</v>
      </c>
      <c r="L10" s="9">
        <f>230+73+220</f>
        <v>523</v>
      </c>
      <c r="M10" s="9">
        <f t="shared" si="0"/>
        <v>10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VLOOKUP($B11,'1607'!$B11:$M25,11,0)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VLOOKUP($B12,'1607'!$B12:$M26,11,0)</f>
        <v>536</v>
      </c>
      <c r="E12" s="14">
        <v>144</v>
      </c>
      <c r="F12" s="11">
        <v>20</v>
      </c>
      <c r="G12" s="11">
        <v>146</v>
      </c>
      <c r="H12" s="11"/>
      <c r="I12" s="11"/>
      <c r="J12" s="11"/>
      <c r="K12" s="9">
        <f t="shared" si="1"/>
        <v>514</v>
      </c>
      <c r="L12" s="9">
        <f>180+190+125+19</f>
        <v>514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VLOOKUP($B13,'1607'!$B13:$M27,11,0)</f>
        <v>397</v>
      </c>
      <c r="E13" s="14">
        <v>122</v>
      </c>
      <c r="F13" s="11">
        <v>20</v>
      </c>
      <c r="G13" s="11">
        <v>151</v>
      </c>
      <c r="H13" s="11"/>
      <c r="I13" s="11"/>
      <c r="J13" s="11"/>
      <c r="K13" s="9">
        <f t="shared" si="1"/>
        <v>348</v>
      </c>
      <c r="L13" s="9">
        <f>46+74+100+122</f>
        <v>342</v>
      </c>
      <c r="M13" s="9">
        <f t="shared" si="0"/>
        <v>-6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VLOOKUP($B14,'1607'!$B14:$M28,11,0)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VLOOKUP($B15,'1607'!$B15:$M29,11,0)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VLOOKUP($B16,'1607'!$B16:$M30,11,0)</f>
        <v>2</v>
      </c>
      <c r="E16" s="14"/>
      <c r="F16" s="11"/>
      <c r="G16" s="11">
        <v>2</v>
      </c>
      <c r="H16" s="11"/>
      <c r="I16" s="11"/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VLOOKUP($B17,'1607'!$B17:$M31,11,0)</f>
        <v>1</v>
      </c>
      <c r="E17" s="14">
        <v>2</v>
      </c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VLOOKUP($B18,'1607'!$B18:$M32,11,0)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VLOOKUP($B19,'1607'!$B19:$M33,11,0)</f>
        <v>3</v>
      </c>
      <c r="E19" s="14"/>
      <c r="F19" s="11"/>
      <c r="G19" s="11">
        <v>2</v>
      </c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VLOOKUP($B20,'1607'!$B20:$M34,11,0)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VLOOKUP($B21,'1607'!$B21:$M35,11,0)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VLOOKUP($B22,'1607'!$B22:$M36,11,0)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VLOOKUP($B23,'1607'!$B23:$M37,11,0)</f>
        <v>0</v>
      </c>
      <c r="E23" s="14">
        <v>35</v>
      </c>
      <c r="F23" s="9"/>
      <c r="G23" s="9"/>
      <c r="H23" s="9"/>
      <c r="I23" s="9"/>
      <c r="J23" s="9"/>
      <c r="K23" s="9">
        <f t="shared" si="1"/>
        <v>35</v>
      </c>
      <c r="L23" s="9">
        <v>35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VLOOKUP($B24,'1607'!$B24:$M38,11,0)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VLOOKUP($B26,'1607'!$B26:$M40,11,0)</f>
        <v>217</v>
      </c>
      <c r="E26" s="10">
        <v>136</v>
      </c>
      <c r="F26" s="9">
        <v>116</v>
      </c>
      <c r="G26" s="11"/>
      <c r="H26" s="9"/>
      <c r="I26" s="9"/>
      <c r="J26" s="9"/>
      <c r="K26" s="9">
        <f t="shared" ref="K26" si="3">D26+E26-F26</f>
        <v>237</v>
      </c>
      <c r="L26" s="9">
        <v>237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VLOOKUP($B27,'1607'!$B27:$M41,11,0)</f>
        <v>95</v>
      </c>
      <c r="E27" s="9">
        <v>64</v>
      </c>
      <c r="F27" s="9">
        <v>35</v>
      </c>
      <c r="G27" s="11"/>
      <c r="H27" s="9"/>
      <c r="I27" s="9"/>
      <c r="J27" s="9"/>
      <c r="K27" s="9">
        <f>D27+E27-F27</f>
        <v>124</v>
      </c>
      <c r="L27" s="9">
        <v>124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VLOOKUP($B28,'1607'!$B28:$M42,11,0)</f>
        <v>374</v>
      </c>
      <c r="E28" s="9">
        <v>225</v>
      </c>
      <c r="F28" s="9">
        <v>171</v>
      </c>
      <c r="G28" s="11"/>
      <c r="H28" s="9"/>
      <c r="I28" s="9"/>
      <c r="J28" s="9"/>
      <c r="K28" s="9">
        <f>D28+E28-F28</f>
        <v>428</v>
      </c>
      <c r="L28" s="9">
        <v>428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VLOOKUP($B29,'1607'!$B29:$M43,11,0)</f>
        <v>166</v>
      </c>
      <c r="E29" s="9"/>
      <c r="F29" s="9">
        <v>60</v>
      </c>
      <c r="G29" s="11"/>
      <c r="H29" s="9"/>
      <c r="I29" s="9"/>
      <c r="J29" s="9"/>
      <c r="K29" s="9">
        <f>D29+E29-F29</f>
        <v>106</v>
      </c>
      <c r="L29" s="9">
        <v>106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DATE(2015,7,17)</f>
        <v>42202</v>
      </c>
      <c r="E5" s="293">
        <f>D5+1</f>
        <v>42203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13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43</v>
      </c>
      <c r="H7" s="5" t="s">
        <v>71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VLOOKUP($B8,'1707'!$B8:$M22,11,0)</f>
        <v>605</v>
      </c>
      <c r="E8" s="10">
        <v>88</v>
      </c>
      <c r="F8" s="11">
        <v>50</v>
      </c>
      <c r="G8" s="11">
        <v>120</v>
      </c>
      <c r="H8" s="11"/>
      <c r="I8" s="11"/>
      <c r="J8" s="11"/>
      <c r="K8" s="9">
        <f>D8+E8-SUM(F8:J8)</f>
        <v>523</v>
      </c>
      <c r="L8" s="9">
        <f>129+120+107+88+80</f>
        <v>524</v>
      </c>
      <c r="M8" s="9">
        <f t="shared" ref="M8:M19" si="0">L8-K8</f>
        <v>1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VLOOKUP($B9,'1707'!$B9:$M23,11,0)</f>
        <v>220</v>
      </c>
      <c r="E9" s="14">
        <f>70+76</f>
        <v>146</v>
      </c>
      <c r="F9" s="11"/>
      <c r="G9" s="11"/>
      <c r="H9" s="11"/>
      <c r="I9" s="11"/>
      <c r="J9" s="11"/>
      <c r="K9" s="9">
        <f t="shared" ref="K9:K24" si="1">D9+E9-SUM(F9:J9)</f>
        <v>366</v>
      </c>
      <c r="L9" s="9">
        <f>210+156</f>
        <v>366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VLOOKUP($B10,'1707'!$B10:$M24,11,0)</f>
        <v>523</v>
      </c>
      <c r="E10" s="10"/>
      <c r="F10" s="11">
        <v>10</v>
      </c>
      <c r="G10" s="11"/>
      <c r="H10" s="11"/>
      <c r="I10" s="11"/>
      <c r="J10" s="11"/>
      <c r="K10" s="9">
        <f t="shared" si="1"/>
        <v>513</v>
      </c>
      <c r="L10" s="9">
        <f>73+220+96+120</f>
        <v>509</v>
      </c>
      <c r="M10" s="9">
        <f t="shared" si="0"/>
        <v>-4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VLOOKUP($B11,'1707'!$B11:$M25,11,0)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VLOOKUP($B12,'1707'!$B12:$M26,11,0)</f>
        <v>514</v>
      </c>
      <c r="E12" s="14">
        <v>124</v>
      </c>
      <c r="F12" s="11">
        <v>10</v>
      </c>
      <c r="G12" s="11">
        <v>30</v>
      </c>
      <c r="H12" s="11"/>
      <c r="I12" s="11"/>
      <c r="J12" s="11"/>
      <c r="K12" s="9">
        <f t="shared" si="1"/>
        <v>598</v>
      </c>
      <c r="L12" s="9">
        <f>140+190+125+124+19</f>
        <v>598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VLOOKUP($B13,'1707'!$B13:$M27,11,0)</f>
        <v>342</v>
      </c>
      <c r="E13" s="14">
        <v>79</v>
      </c>
      <c r="F13" s="11">
        <v>20</v>
      </c>
      <c r="G13" s="11">
        <v>50</v>
      </c>
      <c r="H13" s="11"/>
      <c r="I13" s="11"/>
      <c r="J13" s="11"/>
      <c r="K13" s="9">
        <f t="shared" si="1"/>
        <v>351</v>
      </c>
      <c r="L13" s="9">
        <f>120+140+79+12</f>
        <v>351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VLOOKUP($B14,'1707'!$B14:$M28,11,0)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VLOOKUP($B15,'1707'!$B15:$M29,11,0)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VLOOKUP($B16,'1707'!$B16:$M30,11,0)</f>
        <v>0</v>
      </c>
      <c r="E16" s="14">
        <v>4</v>
      </c>
      <c r="F16" s="11"/>
      <c r="G16" s="11">
        <v>1</v>
      </c>
      <c r="H16" s="11"/>
      <c r="I16" s="11"/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VLOOKUP($B17,'1707'!$B17:$M31,11,0)</f>
        <v>3</v>
      </c>
      <c r="E17" s="14"/>
      <c r="F17" s="11"/>
      <c r="G17" s="11">
        <v>1</v>
      </c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VLOOKUP($B18,'1707'!$B18:$M32,11,0)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VLOOKUP($B19,'1707'!$B19:$M33,11,0)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VLOOKUP($B20,'1707'!$B20:$M34,11,0)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VLOOKUP($B21,'1707'!$B21:$M35,11,0)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VLOOKUP($B22,'1707'!$B22:$M36,11,0)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VLOOKUP($B23,'1707'!$B23:$M37,11,0)</f>
        <v>35</v>
      </c>
      <c r="E23" s="14">
        <v>40</v>
      </c>
      <c r="F23" s="9"/>
      <c r="G23" s="9"/>
      <c r="H23" s="9">
        <v>75</v>
      </c>
      <c r="I23" s="9"/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VLOOKUP($B24,'1607'!$B24:$M38,11,0)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VLOOKUP($B26,'1707'!$B26:$M40,11,0)</f>
        <v>237</v>
      </c>
      <c r="E26" s="10">
        <f>124+30</f>
        <v>154</v>
      </c>
      <c r="F26" s="9">
        <v>124</v>
      </c>
      <c r="G26" s="11"/>
      <c r="H26" s="9"/>
      <c r="I26" s="9"/>
      <c r="J26" s="9"/>
      <c r="K26" s="9">
        <f t="shared" ref="K26" si="3">D26+E26-F26</f>
        <v>267</v>
      </c>
      <c r="L26" s="9">
        <v>267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VLOOKUP($B27,'1707'!$B27:$M41,11,0)</f>
        <v>124</v>
      </c>
      <c r="E27" s="9">
        <v>65</v>
      </c>
      <c r="F27" s="9">
        <v>10</v>
      </c>
      <c r="G27" s="11"/>
      <c r="H27" s="9"/>
      <c r="I27" s="9"/>
      <c r="J27" s="9"/>
      <c r="K27" s="9">
        <f>D27+E27-F27</f>
        <v>179</v>
      </c>
      <c r="L27" s="9">
        <v>179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VLOOKUP($B28,'1707'!$B28:$M42,11,0)</f>
        <v>428</v>
      </c>
      <c r="E28" s="9">
        <v>279</v>
      </c>
      <c r="F28" s="9">
        <v>93</v>
      </c>
      <c r="G28" s="11"/>
      <c r="H28" s="9"/>
      <c r="I28" s="9"/>
      <c r="J28" s="9"/>
      <c r="K28" s="9">
        <f>D28+E28-F28</f>
        <v>614</v>
      </c>
      <c r="L28" s="9">
        <v>614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VLOOKUP($B29,'1707'!$B29:$M43,11,0)</f>
        <v>106</v>
      </c>
      <c r="E29" s="9">
        <f>88+82</f>
        <v>170</v>
      </c>
      <c r="F29" s="9">
        <v>50</v>
      </c>
      <c r="G29" s="11"/>
      <c r="H29" s="9"/>
      <c r="I29" s="9"/>
      <c r="J29" s="9"/>
      <c r="K29" s="9">
        <f>D29+E29-F29</f>
        <v>226</v>
      </c>
      <c r="L29" s="9">
        <v>226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6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DATE(2015,4,10)</f>
        <v>42104</v>
      </c>
      <c r="E5" s="293">
        <f>D5+1</f>
        <v>42105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33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43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VLOOKUP($B8,'1004'!$B8:$K22,10,0)</f>
        <v>284</v>
      </c>
      <c r="E8" s="10">
        <f>34+80</f>
        <v>114</v>
      </c>
      <c r="F8" s="11">
        <v>50</v>
      </c>
      <c r="G8" s="11">
        <v>150</v>
      </c>
      <c r="H8" s="11"/>
      <c r="I8" s="11"/>
      <c r="J8" s="11"/>
      <c r="K8" s="9">
        <f>D8+E8-SUM(F8:J8)</f>
        <v>198</v>
      </c>
      <c r="L8" s="9">
        <f>12+118+50</f>
        <v>180</v>
      </c>
      <c r="M8" s="9">
        <f t="shared" ref="M8:M19" si="0">L8-K8</f>
        <v>-18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VLOOKUP($B9,'1004'!$B9:$K23,10,0)</f>
        <v>50</v>
      </c>
      <c r="E9" s="14"/>
      <c r="F9" s="11"/>
      <c r="G9" s="11">
        <v>50</v>
      </c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VLOOKUP($B10,'1004'!$B10:$K24,10,0)</f>
        <v>40</v>
      </c>
      <c r="E10" s="10"/>
      <c r="F10" s="11"/>
      <c r="G10" s="11">
        <v>40</v>
      </c>
      <c r="H10" s="11"/>
      <c r="I10" s="11"/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VLOOKUP($B11,'1004'!$B11:$K25,10,0)</f>
        <v>78</v>
      </c>
      <c r="E11" s="10"/>
      <c r="F11" s="11"/>
      <c r="G11" s="11"/>
      <c r="H11" s="11"/>
      <c r="I11" s="11"/>
      <c r="J11" s="11"/>
      <c r="K11" s="9">
        <f t="shared" si="1"/>
        <v>78</v>
      </c>
      <c r="L11" s="9">
        <v>78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VLOOKUP($B12,'1004'!$B12:$K26,10,0)</f>
        <v>192</v>
      </c>
      <c r="E12" s="14">
        <v>40</v>
      </c>
      <c r="F12" s="11"/>
      <c r="G12" s="11">
        <v>148</v>
      </c>
      <c r="H12" s="11"/>
      <c r="I12" s="11"/>
      <c r="J12" s="11"/>
      <c r="K12" s="9">
        <f t="shared" si="1"/>
        <v>84</v>
      </c>
      <c r="L12" s="9">
        <f>30+40</f>
        <v>70</v>
      </c>
      <c r="M12" s="9">
        <f t="shared" si="0"/>
        <v>-14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VLOOKUP($B13,'1004'!$B13:$K27,10,0)</f>
        <v>87</v>
      </c>
      <c r="E13" s="14"/>
      <c r="F13" s="11"/>
      <c r="G13" s="11">
        <v>60</v>
      </c>
      <c r="H13" s="11"/>
      <c r="I13" s="11"/>
      <c r="J13" s="11"/>
      <c r="K13" s="9">
        <f t="shared" si="1"/>
        <v>27</v>
      </c>
      <c r="L13" s="9">
        <v>33</v>
      </c>
      <c r="M13" s="9">
        <f t="shared" si="0"/>
        <v>6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VLOOKUP($B14,'1004'!$B14:$K28,10,0)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VLOOKUP($B15,'1004'!$B15:$K29,10,0)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VLOOKUP($B16,'1004'!$B16:$K30,10,0)</f>
        <v>3</v>
      </c>
      <c r="E16" s="14">
        <v>4</v>
      </c>
      <c r="F16" s="11"/>
      <c r="G16" s="11">
        <v>3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VLOOKUP($B17,'1004'!$B17:$K31,10,0)</f>
        <v>3</v>
      </c>
      <c r="E17" s="14">
        <v>2</v>
      </c>
      <c r="F17" s="11"/>
      <c r="G17" s="11">
        <v>2</v>
      </c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VLOOKUP($B18,'1004'!$B18:$K32,10,0)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VLOOKUP($B19,'1004'!$B19:$K33,10,0)</f>
        <v>1</v>
      </c>
      <c r="E19" s="14"/>
      <c r="F19" s="11"/>
      <c r="G19" s="11">
        <v>1</v>
      </c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VLOOKUP($B20,'1004'!$B20:$K34,10,0)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VLOOKUP($B21,'1004'!$B21:$K35,10,0)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VLOOKUP($B22,'1004'!$B22:$K36,10,0)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 t="shared" ref="D24" si="3">SUM(D8:D22)</f>
        <v>742</v>
      </c>
      <c r="E24" s="9">
        <f t="shared" ref="E24:L24" si="4">SUM(E8:E22)</f>
        <v>160</v>
      </c>
      <c r="F24" s="9"/>
      <c r="G24" s="9"/>
      <c r="H24" s="9"/>
      <c r="I24" s="9">
        <f t="shared" si="4"/>
        <v>0</v>
      </c>
      <c r="J24" s="9"/>
      <c r="K24" s="9">
        <f t="shared" si="4"/>
        <v>396</v>
      </c>
      <c r="L24" s="9">
        <f t="shared" si="4"/>
        <v>370</v>
      </c>
      <c r="M24" s="9">
        <f>L24-K24</f>
        <v>-26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VLOOKUP($B26,'1004'!$B26:$K29,10,0)</f>
        <v>190</v>
      </c>
      <c r="E26" s="10">
        <f>133+72</f>
        <v>205</v>
      </c>
      <c r="F26" s="9">
        <v>150</v>
      </c>
      <c r="G26" s="11"/>
      <c r="H26" s="9"/>
      <c r="I26" s="9"/>
      <c r="J26" s="9"/>
      <c r="K26" s="9">
        <f t="shared" ref="K26" si="5">D26+E26-F26</f>
        <v>245</v>
      </c>
      <c r="L26" s="9">
        <v>245</v>
      </c>
      <c r="M26" s="9">
        <f t="shared" ref="M26" si="6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VLOOKUP($B27,'1004'!$B27:$K30,10,0)</f>
        <v>88</v>
      </c>
      <c r="E27" s="9">
        <v>65</v>
      </c>
      <c r="F27" s="9">
        <v>44</v>
      </c>
      <c r="G27" s="11"/>
      <c r="H27" s="9"/>
      <c r="I27" s="9"/>
      <c r="J27" s="9"/>
      <c r="K27" s="9">
        <f>D27+E27-F27</f>
        <v>109</v>
      </c>
      <c r="L27" s="9">
        <v>109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VLOOKUP($B28,'1004'!$B28:$K31,10,0)</f>
        <v>308</v>
      </c>
      <c r="E28" s="9">
        <v>242</v>
      </c>
      <c r="F28" s="9">
        <v>201</v>
      </c>
      <c r="G28" s="11"/>
      <c r="H28" s="9"/>
      <c r="I28" s="9"/>
      <c r="J28" s="9"/>
      <c r="K28" s="9">
        <f>D28+E28-F28</f>
        <v>349</v>
      </c>
      <c r="L28" s="9">
        <v>349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VLOOKUP($B29,'1004'!$B29:$K32,10,0)</f>
        <v>70</v>
      </c>
      <c r="E29" s="9">
        <v>51</v>
      </c>
      <c r="F29" s="9">
        <v>39</v>
      </c>
      <c r="G29" s="11"/>
      <c r="H29" s="9"/>
      <c r="I29" s="9"/>
      <c r="J29" s="9"/>
      <c r="K29" s="9">
        <f>D29+E29-F29</f>
        <v>82</v>
      </c>
      <c r="L29" s="9">
        <v>82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8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DATE(2015,7,18)</f>
        <v>42203</v>
      </c>
      <c r="E5" s="293">
        <f>D5+1</f>
        <v>42204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13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/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VLOOKUP($B8,'1807'!$B8:$M22,11,0)</f>
        <v>524</v>
      </c>
      <c r="E8" s="10"/>
      <c r="F8" s="11">
        <v>60</v>
      </c>
      <c r="G8" s="11"/>
      <c r="H8" s="11"/>
      <c r="I8" s="11"/>
      <c r="J8" s="11"/>
      <c r="K8" s="9">
        <f>D8+E8-SUM(F8:J8)</f>
        <v>464</v>
      </c>
      <c r="L8" s="9">
        <f>120+119+97+30+98</f>
        <v>464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VLOOKUP($B9,'1807'!$B9:$M23,11,0)</f>
        <v>366</v>
      </c>
      <c r="E9" s="14"/>
      <c r="F9" s="11"/>
      <c r="G9" s="11"/>
      <c r="H9" s="11"/>
      <c r="I9" s="11"/>
      <c r="J9" s="11"/>
      <c r="K9" s="9">
        <f t="shared" ref="K9:K24" si="1">D9+E9-SUM(F9:J9)</f>
        <v>366</v>
      </c>
      <c r="L9" s="9">
        <f>90+120+86+70</f>
        <v>366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VLOOKUP($B10,'1807'!$B10:$M24,11,0)</f>
        <v>509</v>
      </c>
      <c r="E10" s="10"/>
      <c r="F10" s="11">
        <v>10</v>
      </c>
      <c r="G10" s="11"/>
      <c r="H10" s="11"/>
      <c r="I10" s="11"/>
      <c r="J10" s="11"/>
      <c r="K10" s="9">
        <f t="shared" si="1"/>
        <v>499</v>
      </c>
      <c r="L10" s="9">
        <f>220+73+90+120</f>
        <v>503</v>
      </c>
      <c r="M10" s="9">
        <f t="shared" si="0"/>
        <v>4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VLOOKUP($B11,'1807'!$B11:$M25,11,0)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VLOOKUP($B12,'1807'!$B12:$M26,11,0)</f>
        <v>598</v>
      </c>
      <c r="E12" s="14"/>
      <c r="F12" s="11">
        <v>20</v>
      </c>
      <c r="G12" s="11"/>
      <c r="H12" s="11"/>
      <c r="I12" s="11"/>
      <c r="J12" s="11"/>
      <c r="K12" s="9">
        <f t="shared" si="1"/>
        <v>578</v>
      </c>
      <c r="L12" s="9">
        <f>210+123+135+110</f>
        <v>578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VLOOKUP($B13,'1807'!$B13:$M27,11,0)</f>
        <v>351</v>
      </c>
      <c r="E13" s="14">
        <v>100</v>
      </c>
      <c r="F13" s="11">
        <v>10</v>
      </c>
      <c r="G13" s="11"/>
      <c r="H13" s="11"/>
      <c r="I13" s="11"/>
      <c r="J13" s="11"/>
      <c r="K13" s="9">
        <f t="shared" si="1"/>
        <v>441</v>
      </c>
      <c r="L13" s="9">
        <f>140+102+120+80</f>
        <v>442</v>
      </c>
      <c r="M13" s="9">
        <f t="shared" si="0"/>
        <v>1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VLOOKUP($B14,'1807'!$B14:$M28,11,0)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VLOOKUP($B15,'1807'!$B15:$M29,11,0)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VLOOKUP($B16,'1807'!$B16:$M30,11,0)</f>
        <v>3</v>
      </c>
      <c r="E16" s="14">
        <v>8</v>
      </c>
      <c r="F16" s="11">
        <v>1</v>
      </c>
      <c r="G16" s="11"/>
      <c r="H16" s="11"/>
      <c r="I16" s="11"/>
      <c r="J16" s="11"/>
      <c r="K16" s="9">
        <f t="shared" si="1"/>
        <v>10</v>
      </c>
      <c r="L16" s="9">
        <v>10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VLOOKUP($B17,'1807'!$B17:$M31,11,0)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VLOOKUP($B18,'1807'!$B18:$M32,11,0)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VLOOKUP($B19,'1807'!$B19:$M33,11,0)</f>
        <v>1</v>
      </c>
      <c r="E19" s="14">
        <v>2</v>
      </c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VLOOKUP($B20,'1807'!$B20:$M34,11,0)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VLOOKUP($B21,'1807'!$B21:$M35,11,0)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VLOOKUP($B22,'1807'!$B22:$M36,11,0)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VLOOKUP($B23,'1807'!$B23:$M37,11,0)</f>
        <v>0</v>
      </c>
      <c r="E23" s="14"/>
      <c r="F23" s="9"/>
      <c r="G23" s="9"/>
      <c r="H23" s="9"/>
      <c r="I23" s="9"/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VLOOKUP($B24,'1607'!$B24:$M38,11,0)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VLOOKUP($B26,'1807'!$B26:$M40,11,0)</f>
        <v>267</v>
      </c>
      <c r="E26" s="10"/>
      <c r="F26" s="9">
        <v>23</v>
      </c>
      <c r="G26" s="11"/>
      <c r="H26" s="9"/>
      <c r="I26" s="9"/>
      <c r="J26" s="9"/>
      <c r="K26" s="9">
        <f t="shared" ref="K26" si="3">D26+E26-F26</f>
        <v>244</v>
      </c>
      <c r="L26" s="9">
        <v>244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VLOOKUP($B27,'1807'!$B27:$M41,11,0)</f>
        <v>179</v>
      </c>
      <c r="E27" s="9"/>
      <c r="F27" s="9">
        <v>24</v>
      </c>
      <c r="G27" s="11"/>
      <c r="H27" s="9"/>
      <c r="I27" s="9"/>
      <c r="J27" s="9"/>
      <c r="K27" s="9">
        <f>D27+E27-F27</f>
        <v>155</v>
      </c>
      <c r="L27" s="9">
        <v>155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VLOOKUP($B28,'1807'!$B28:$M42,11,0)</f>
        <v>614</v>
      </c>
      <c r="E28" s="9"/>
      <c r="F28" s="9">
        <v>94</v>
      </c>
      <c r="G28" s="11"/>
      <c r="H28" s="9"/>
      <c r="I28" s="9"/>
      <c r="J28" s="9"/>
      <c r="K28" s="9">
        <f>D28+E28-F28</f>
        <v>520</v>
      </c>
      <c r="L28" s="9">
        <v>520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VLOOKUP($B29,'1807'!$B29:$M43,11,0)</f>
        <v>226</v>
      </c>
      <c r="E29" s="9"/>
      <c r="F29" s="9">
        <v>50</v>
      </c>
      <c r="G29" s="11"/>
      <c r="H29" s="9"/>
      <c r="I29" s="9"/>
      <c r="J29" s="9"/>
      <c r="K29" s="9">
        <f>D29+E29-F29</f>
        <v>176</v>
      </c>
      <c r="L29" s="9">
        <v>176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DATE(2015,7,19)</f>
        <v>42204</v>
      </c>
      <c r="E5" s="293">
        <f>D5+1</f>
        <v>42205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13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62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VLOOKUP($B8,'1907'!$B8:$M22,11,0)</f>
        <v>464</v>
      </c>
      <c r="E8" s="10">
        <f>79+107+101</f>
        <v>287</v>
      </c>
      <c r="F8" s="11">
        <v>52</v>
      </c>
      <c r="G8" s="11">
        <v>30</v>
      </c>
      <c r="H8" s="11"/>
      <c r="I8" s="11"/>
      <c r="J8" s="11"/>
      <c r="K8" s="9">
        <f>D8+E8-SUM(F8:J8)</f>
        <v>669</v>
      </c>
      <c r="L8" s="9">
        <f>96+89+110+87+287</f>
        <v>669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VLOOKUP($B9,'1907'!$B9:$M23,11,0)</f>
        <v>366</v>
      </c>
      <c r="E9" s="14"/>
      <c r="F9" s="11"/>
      <c r="G9" s="11">
        <v>30</v>
      </c>
      <c r="H9" s="11"/>
      <c r="I9" s="11"/>
      <c r="J9" s="11"/>
      <c r="K9" s="9">
        <f t="shared" ref="K9:K24" si="1">D9+E9-SUM(F9:J9)</f>
        <v>336</v>
      </c>
      <c r="L9" s="9">
        <f>60+120+86+70</f>
        <v>336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VLOOKUP($B10,'1907'!$B10:$M24,11,0)</f>
        <v>503</v>
      </c>
      <c r="E10" s="10">
        <v>133</v>
      </c>
      <c r="F10" s="11"/>
      <c r="G10" s="11">
        <v>60</v>
      </c>
      <c r="H10" s="11"/>
      <c r="I10" s="11"/>
      <c r="J10" s="11"/>
      <c r="K10" s="9">
        <f t="shared" si="1"/>
        <v>576</v>
      </c>
      <c r="L10" s="9">
        <f>200+123+120+133</f>
        <v>576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VLOOKUP($B11,'1907'!$B11:$M25,11,0)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VLOOKUP($B12,'1907'!$B12:$M26,11,0)</f>
        <v>578</v>
      </c>
      <c r="E12" s="14">
        <v>175</v>
      </c>
      <c r="F12" s="11">
        <v>20</v>
      </c>
      <c r="G12" s="11">
        <v>60</v>
      </c>
      <c r="H12" s="11"/>
      <c r="I12" s="11"/>
      <c r="J12" s="11"/>
      <c r="K12" s="9">
        <f t="shared" si="1"/>
        <v>673</v>
      </c>
      <c r="L12" s="9">
        <f>100+140+135+123+175</f>
        <v>673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VLOOKUP($B13,'1907'!$B13:$M27,11,0)</f>
        <v>442</v>
      </c>
      <c r="E13" s="14">
        <f>129+44</f>
        <v>173</v>
      </c>
      <c r="F13" s="11">
        <v>20</v>
      </c>
      <c r="G13" s="11">
        <v>50</v>
      </c>
      <c r="H13" s="11"/>
      <c r="I13" s="11"/>
      <c r="J13" s="11"/>
      <c r="K13" s="9">
        <f t="shared" si="1"/>
        <v>545</v>
      </c>
      <c r="L13" s="9">
        <f>80+102+110+80+173</f>
        <v>545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VLOOKUP($B14,'1907'!$B14:$M28,11,0)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VLOOKUP($B15,'1907'!$B15:$M29,11,0)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VLOOKUP($B16,'1907'!$B16:$M30,11,0)</f>
        <v>10</v>
      </c>
      <c r="E16" s="14">
        <v>4</v>
      </c>
      <c r="F16" s="11">
        <v>1</v>
      </c>
      <c r="G16" s="11">
        <v>2</v>
      </c>
      <c r="H16" s="11"/>
      <c r="I16" s="11"/>
      <c r="J16" s="11"/>
      <c r="K16" s="9">
        <f t="shared" si="1"/>
        <v>11</v>
      </c>
      <c r="L16" s="9">
        <v>11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VLOOKUP($B17,'1907'!$B17:$M31,11,0)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VLOOKUP($B18,'1907'!$B18:$M32,11,0)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VLOOKUP($B19,'1907'!$B19:$M33,11,0)</f>
        <v>3</v>
      </c>
      <c r="E19" s="14"/>
      <c r="F19" s="11"/>
      <c r="G19" s="11">
        <v>1</v>
      </c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VLOOKUP($B20,'1907'!$B20:$M34,11,0)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VLOOKUP($B21,'1907'!$B21:$M35,11,0)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VLOOKUP($B22,'1907'!$B22:$M36,11,0)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VLOOKUP($B23,'1907'!$B23:$M37,11,0)</f>
        <v>0</v>
      </c>
      <c r="E23" s="14">
        <v>32</v>
      </c>
      <c r="F23" s="9"/>
      <c r="G23" s="9"/>
      <c r="H23" s="9"/>
      <c r="I23" s="9"/>
      <c r="J23" s="9"/>
      <c r="K23" s="9">
        <f t="shared" si="1"/>
        <v>32</v>
      </c>
      <c r="L23" s="9">
        <v>32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VLOOKUP($B24,'1907'!$B24:$M38,11,0)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VLOOKUP($B26,'1907'!$B26:$M40,11,0)</f>
        <v>244</v>
      </c>
      <c r="E26" s="10">
        <v>150</v>
      </c>
      <c r="F26" s="9">
        <v>140</v>
      </c>
      <c r="G26" s="11"/>
      <c r="H26" s="9"/>
      <c r="I26" s="9"/>
      <c r="J26" s="9"/>
      <c r="K26" s="9">
        <f t="shared" ref="K26" si="3">D26+E26-F26</f>
        <v>254</v>
      </c>
      <c r="L26" s="9">
        <v>254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VLOOKUP($B27,'1907'!$B27:$M41,11,0)</f>
        <v>155</v>
      </c>
      <c r="E27" s="9"/>
      <c r="F27" s="9">
        <v>40</v>
      </c>
      <c r="G27" s="11"/>
      <c r="H27" s="9"/>
      <c r="I27" s="9"/>
      <c r="J27" s="9"/>
      <c r="K27" s="9">
        <f>D27+E27-F27</f>
        <v>115</v>
      </c>
      <c r="L27" s="9">
        <v>115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VLOOKUP($B28,'1907'!$B28:$M42,11,0)</f>
        <v>520</v>
      </c>
      <c r="E28" s="9"/>
      <c r="F28" s="9">
        <v>193</v>
      </c>
      <c r="G28" s="11"/>
      <c r="H28" s="9"/>
      <c r="I28" s="9"/>
      <c r="J28" s="9"/>
      <c r="K28" s="9">
        <f>D28+E28-F28</f>
        <v>327</v>
      </c>
      <c r="L28" s="9">
        <v>327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VLOOKUP($B29,'1907'!$B29:$M43,11,0)</f>
        <v>176</v>
      </c>
      <c r="E29" s="9">
        <v>78</v>
      </c>
      <c r="F29" s="9">
        <v>90</v>
      </c>
      <c r="G29" s="11"/>
      <c r="H29" s="9"/>
      <c r="I29" s="9"/>
      <c r="J29" s="9"/>
      <c r="K29" s="9">
        <f>D29+E29-F29</f>
        <v>164</v>
      </c>
      <c r="L29" s="9">
        <v>164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DATE(2015,7,20)</f>
        <v>42205</v>
      </c>
      <c r="E5" s="293">
        <f>D5+1</f>
        <v>42206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14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54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VLOOKUP($B8,'2007'!$B8:$M22,11,0)</f>
        <v>669</v>
      </c>
      <c r="E8" s="10"/>
      <c r="F8" s="11">
        <v>60</v>
      </c>
      <c r="G8" s="11">
        <v>176</v>
      </c>
      <c r="H8" s="11"/>
      <c r="I8" s="11"/>
      <c r="J8" s="11"/>
      <c r="K8" s="9">
        <f>D8+E8-SUM(F8:J8)</f>
        <v>433</v>
      </c>
      <c r="L8" s="9">
        <f>220+120+96</f>
        <v>436</v>
      </c>
      <c r="M8" s="9">
        <f t="shared" ref="M8:M19" si="0">L8-K8</f>
        <v>3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VLOOKUP($B9,'2007'!$B9:$M23,11,0)</f>
        <v>336</v>
      </c>
      <c r="E9" s="14">
        <v>157</v>
      </c>
      <c r="F9" s="11"/>
      <c r="G9" s="11">
        <v>100</v>
      </c>
      <c r="H9" s="11"/>
      <c r="I9" s="11"/>
      <c r="J9" s="11"/>
      <c r="K9" s="9">
        <f t="shared" ref="K9:K24" si="1">D9+E9-SUM(F9:J9)</f>
        <v>393</v>
      </c>
      <c r="L9" s="9">
        <f>120+20+86+167</f>
        <v>393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VLOOKUP($B10,'2007'!$B10:$M24,11,0)</f>
        <v>576</v>
      </c>
      <c r="E10" s="10">
        <v>259</v>
      </c>
      <c r="F10" s="11">
        <v>10</v>
      </c>
      <c r="G10" s="11">
        <v>80</v>
      </c>
      <c r="H10" s="11"/>
      <c r="I10" s="11"/>
      <c r="J10" s="11"/>
      <c r="K10" s="9">
        <f t="shared" si="1"/>
        <v>745</v>
      </c>
      <c r="L10" s="9">
        <f>110+180+103+53+30+10+259</f>
        <v>745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VLOOKUP($B11,'2007'!$B11:$M25,11,0)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VLOOKUP($B12,'2007'!$B12:$M26,11,0)</f>
        <v>673</v>
      </c>
      <c r="E12" s="14">
        <v>180</v>
      </c>
      <c r="F12" s="11">
        <v>20</v>
      </c>
      <c r="G12" s="11">
        <v>60</v>
      </c>
      <c r="H12" s="11"/>
      <c r="I12" s="11"/>
      <c r="J12" s="11"/>
      <c r="K12" s="9">
        <f t="shared" si="1"/>
        <v>773</v>
      </c>
      <c r="L12" s="9">
        <f>135+140+30+175+123+170</f>
        <v>773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VLOOKUP($B13,'2007'!$B13:$M27,11,0)</f>
        <v>545</v>
      </c>
      <c r="E13" s="14">
        <v>161</v>
      </c>
      <c r="F13" s="11">
        <v>10</v>
      </c>
      <c r="G13" s="11">
        <v>60</v>
      </c>
      <c r="H13" s="11"/>
      <c r="I13" s="11"/>
      <c r="J13" s="11"/>
      <c r="K13" s="9">
        <f t="shared" si="1"/>
        <v>636</v>
      </c>
      <c r="L13" s="9">
        <f>280+173+20+161</f>
        <v>634</v>
      </c>
      <c r="M13" s="9">
        <f t="shared" si="0"/>
        <v>-2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VLOOKUP($B14,'2007'!$B14:$M28,11,0)</f>
        <v>0</v>
      </c>
      <c r="E14" s="14">
        <v>4</v>
      </c>
      <c r="F14" s="11"/>
      <c r="G14" s="11"/>
      <c r="H14" s="11"/>
      <c r="I14" s="11"/>
      <c r="J14" s="11"/>
      <c r="K14" s="9">
        <f t="shared" si="1"/>
        <v>4</v>
      </c>
      <c r="L14" s="9">
        <v>4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VLOOKUP($B15,'2007'!$B15:$M29,11,0)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VLOOKUP($B16,'2007'!$B16:$M30,11,0)</f>
        <v>11</v>
      </c>
      <c r="E16" s="14"/>
      <c r="F16" s="11">
        <v>1</v>
      </c>
      <c r="G16" s="11">
        <v>3</v>
      </c>
      <c r="H16" s="11"/>
      <c r="I16" s="11"/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VLOOKUP($B17,'2007'!$B17:$M31,11,0)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VLOOKUP($B18,'2007'!$B18:$M32,11,0)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VLOOKUP($B19,'2007'!$B19:$M33,11,0)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VLOOKUP($B20,'2007'!$B20:$M34,11,0)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VLOOKUP($B21,'2007'!$B21:$M35,11,0)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VLOOKUP($B22,'2007'!$B22:$M36,11,0)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VLOOKUP($B23,'2007'!$B23:$M37,11,0)</f>
        <v>32</v>
      </c>
      <c r="E23" s="14">
        <v>32</v>
      </c>
      <c r="F23" s="9"/>
      <c r="G23" s="9"/>
      <c r="H23" s="9"/>
      <c r="I23" s="9"/>
      <c r="J23" s="9"/>
      <c r="K23" s="9">
        <f t="shared" si="1"/>
        <v>64</v>
      </c>
      <c r="L23" s="9">
        <v>64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VLOOKUP($B24,'1907'!$B24:$M38,11,0)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VLOOKUP($B26,'2007'!$B26:$M40,11,0)</f>
        <v>254</v>
      </c>
      <c r="E26" s="10">
        <v>139</v>
      </c>
      <c r="F26" s="9">
        <v>109</v>
      </c>
      <c r="G26" s="11"/>
      <c r="H26" s="9"/>
      <c r="I26" s="9"/>
      <c r="J26" s="9"/>
      <c r="K26" s="9">
        <f t="shared" ref="K26" si="3">D26+E26-F26</f>
        <v>284</v>
      </c>
      <c r="L26" s="9">
        <v>284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VLOOKUP($B27,'2007'!$B27:$M41,11,0)</f>
        <v>115</v>
      </c>
      <c r="E27" s="9">
        <v>63</v>
      </c>
      <c r="F27" s="9">
        <v>38</v>
      </c>
      <c r="G27" s="11"/>
      <c r="H27" s="9"/>
      <c r="I27" s="9"/>
      <c r="J27" s="9"/>
      <c r="K27" s="9">
        <f>D27+E27-F27</f>
        <v>140</v>
      </c>
      <c r="L27" s="9">
        <v>140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VLOOKUP($B28,'2007'!$B28:$M42,11,0)</f>
        <v>327</v>
      </c>
      <c r="E28" s="9">
        <v>145</v>
      </c>
      <c r="F28" s="9">
        <v>92</v>
      </c>
      <c r="G28" s="11"/>
      <c r="H28" s="9"/>
      <c r="I28" s="9"/>
      <c r="J28" s="9"/>
      <c r="K28" s="9">
        <f>D28+E28-F28</f>
        <v>380</v>
      </c>
      <c r="L28" s="9">
        <v>380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VLOOKUP($B29,'2007'!$B29:$M43,11,0)</f>
        <v>164</v>
      </c>
      <c r="E29" s="9">
        <v>82</v>
      </c>
      <c r="F29" s="9">
        <v>91</v>
      </c>
      <c r="G29" s="11"/>
      <c r="H29" s="9"/>
      <c r="I29" s="9"/>
      <c r="J29" s="9"/>
      <c r="K29" s="9">
        <f>D29+E29-F29</f>
        <v>155</v>
      </c>
      <c r="L29" s="9">
        <v>155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8" workbookViewId="0">
      <pane xSplit="1" topLeftCell="F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92" t="s">
        <v>1</v>
      </c>
      <c r="B5" s="292"/>
      <c r="C5" s="292"/>
      <c r="D5" s="4">
        <f>DATE(2015,7,21)</f>
        <v>42206</v>
      </c>
      <c r="E5" s="293">
        <f>D5+1</f>
        <v>42207</v>
      </c>
      <c r="F5" s="294"/>
      <c r="G5" s="294"/>
      <c r="H5" s="294"/>
      <c r="I5" s="294"/>
      <c r="J5" s="294"/>
      <c r="K5" s="294"/>
      <c r="L5" s="294"/>
      <c r="M5" s="294"/>
      <c r="N5" s="294"/>
    </row>
    <row r="6" spans="1:14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15"/>
      <c r="K6" s="115"/>
      <c r="L6" s="302" t="s">
        <v>8</v>
      </c>
      <c r="M6" s="289" t="s">
        <v>9</v>
      </c>
      <c r="N6" s="289" t="s">
        <v>10</v>
      </c>
    </row>
    <row r="7" spans="1:14">
      <c r="A7" s="295"/>
      <c r="B7" s="296"/>
      <c r="C7" s="298"/>
      <c r="D7" s="290"/>
      <c r="E7" s="290"/>
      <c r="F7" s="5" t="s">
        <v>11</v>
      </c>
      <c r="G7" s="5" t="s">
        <v>38</v>
      </c>
      <c r="H7" s="5" t="s">
        <v>40</v>
      </c>
      <c r="I7" s="5" t="s">
        <v>39</v>
      </c>
      <c r="J7" s="5" t="s">
        <v>71</v>
      </c>
      <c r="K7" s="5" t="s">
        <v>52</v>
      </c>
      <c r="L7" s="302"/>
      <c r="M7" s="290"/>
      <c r="N7" s="290"/>
    </row>
    <row r="8" spans="1:14" ht="18.75">
      <c r="A8" s="6">
        <v>1</v>
      </c>
      <c r="B8" s="7" t="s">
        <v>12</v>
      </c>
      <c r="C8" s="8" t="s">
        <v>13</v>
      </c>
      <c r="D8" s="9">
        <f>VLOOKUP($B8,'2107'!$B8:$M22,11,0)</f>
        <v>436</v>
      </c>
      <c r="E8" s="10">
        <f>100+105+103+95</f>
        <v>403</v>
      </c>
      <c r="F8" s="11">
        <v>60</v>
      </c>
      <c r="G8" s="11">
        <v>46</v>
      </c>
      <c r="H8" s="11">
        <v>40</v>
      </c>
      <c r="I8" s="11">
        <v>120</v>
      </c>
      <c r="J8" s="11"/>
      <c r="K8" s="11"/>
      <c r="L8" s="9">
        <f t="shared" ref="L8:L24" si="0">D8+E8-SUM(F8:K8)</f>
        <v>573</v>
      </c>
      <c r="M8" s="9">
        <f>47+120+403</f>
        <v>570</v>
      </c>
      <c r="N8" s="9">
        <f t="shared" ref="N8:N19" si="1">M8-L8</f>
        <v>-3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VLOOKUP($B9,'2107'!$B9:$M23,11,0)</f>
        <v>393</v>
      </c>
      <c r="E9" s="14"/>
      <c r="F9" s="11"/>
      <c r="G9" s="11">
        <v>46</v>
      </c>
      <c r="H9" s="11">
        <v>20</v>
      </c>
      <c r="I9" s="11">
        <v>120</v>
      </c>
      <c r="J9" s="11"/>
      <c r="K9" s="11"/>
      <c r="L9" s="9">
        <f t="shared" si="0"/>
        <v>207</v>
      </c>
      <c r="M9" s="9">
        <f>120+87</f>
        <v>207</v>
      </c>
      <c r="N9" s="9">
        <f t="shared" si="1"/>
        <v>0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VLOOKUP($B10,'2107'!$B10:$M24,11,0)</f>
        <v>745</v>
      </c>
      <c r="E10" s="10">
        <v>204</v>
      </c>
      <c r="F10" s="11">
        <v>20</v>
      </c>
      <c r="G10" s="11">
        <v>50</v>
      </c>
      <c r="H10" s="11">
        <v>50</v>
      </c>
      <c r="I10" s="11">
        <v>100</v>
      </c>
      <c r="J10" s="11"/>
      <c r="K10" s="11"/>
      <c r="L10" s="9">
        <f t="shared" si="0"/>
        <v>729</v>
      </c>
      <c r="M10" s="9">
        <f>133+133+204+259</f>
        <v>729</v>
      </c>
      <c r="N10" s="9">
        <f t="shared" si="1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VLOOKUP($B11,'2107'!$B11:$M25,11,0)</f>
        <v>0</v>
      </c>
      <c r="E11" s="10"/>
      <c r="F11" s="11"/>
      <c r="G11" s="11"/>
      <c r="H11" s="11"/>
      <c r="I11" s="11"/>
      <c r="J11" s="11"/>
      <c r="K11" s="11"/>
      <c r="L11" s="9">
        <f t="shared" si="0"/>
        <v>0</v>
      </c>
      <c r="M11" s="9"/>
      <c r="N11" s="9">
        <f t="shared" si="1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VLOOKUP($B12,'2107'!$B12:$M26,11,0)</f>
        <v>773</v>
      </c>
      <c r="E12" s="14">
        <f>123+135</f>
        <v>258</v>
      </c>
      <c r="F12" s="11">
        <v>20</v>
      </c>
      <c r="G12" s="11">
        <v>40</v>
      </c>
      <c r="H12" s="11">
        <v>100</v>
      </c>
      <c r="I12" s="11">
        <v>100</v>
      </c>
      <c r="J12" s="11"/>
      <c r="K12" s="11"/>
      <c r="L12" s="9">
        <f t="shared" si="0"/>
        <v>771</v>
      </c>
      <c r="M12" s="9">
        <f>155+160+123+55+20+258</f>
        <v>771</v>
      </c>
      <c r="N12" s="9">
        <f t="shared" si="1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VLOOKUP($B13,'2107'!$B13:$M27,11,0)</f>
        <v>634</v>
      </c>
      <c r="E13" s="14">
        <v>162</v>
      </c>
      <c r="F13" s="11">
        <v>17</v>
      </c>
      <c r="G13" s="11">
        <v>50</v>
      </c>
      <c r="H13" s="11">
        <v>120</v>
      </c>
      <c r="I13" s="11">
        <v>100</v>
      </c>
      <c r="J13" s="11"/>
      <c r="K13" s="11"/>
      <c r="L13" s="9">
        <f t="shared" si="0"/>
        <v>509</v>
      </c>
      <c r="M13" s="9">
        <f>161+173+20+162</f>
        <v>516</v>
      </c>
      <c r="N13" s="9">
        <f t="shared" si="1"/>
        <v>7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VLOOKUP($B14,'2107'!$B14:$M28,11,0)</f>
        <v>4</v>
      </c>
      <c r="E14" s="14"/>
      <c r="F14" s="11"/>
      <c r="G14" s="11"/>
      <c r="H14" s="11"/>
      <c r="I14" s="11"/>
      <c r="J14" s="11"/>
      <c r="K14" s="11"/>
      <c r="L14" s="9">
        <f t="shared" si="0"/>
        <v>4</v>
      </c>
      <c r="M14" s="9">
        <v>4</v>
      </c>
      <c r="N14" s="9">
        <f t="shared" si="1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VLOOKUP($B15,'2107'!$B15:$M29,11,0)</f>
        <v>0</v>
      </c>
      <c r="E15" s="14"/>
      <c r="F15" s="11"/>
      <c r="G15" s="11"/>
      <c r="H15" s="11"/>
      <c r="I15" s="11"/>
      <c r="J15" s="11"/>
      <c r="K15" s="11"/>
      <c r="L15" s="9">
        <f t="shared" si="0"/>
        <v>0</v>
      </c>
      <c r="M15" s="9"/>
      <c r="N15" s="9">
        <f t="shared" si="1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VLOOKUP($B16,'2107'!$B16:$M30,11,0)</f>
        <v>7</v>
      </c>
      <c r="E16" s="14">
        <v>8</v>
      </c>
      <c r="F16" s="11">
        <v>1</v>
      </c>
      <c r="G16" s="11"/>
      <c r="H16" s="11">
        <v>1</v>
      </c>
      <c r="I16" s="11">
        <v>2</v>
      </c>
      <c r="J16" s="11"/>
      <c r="K16" s="11">
        <v>2</v>
      </c>
      <c r="L16" s="9">
        <f t="shared" si="0"/>
        <v>9</v>
      </c>
      <c r="M16" s="9">
        <v>9</v>
      </c>
      <c r="N16" s="9">
        <f t="shared" si="1"/>
        <v>0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VLOOKUP($B17,'2107'!$B17:$M31,11,0)</f>
        <v>2</v>
      </c>
      <c r="E17" s="14">
        <v>3</v>
      </c>
      <c r="F17" s="11"/>
      <c r="G17" s="11"/>
      <c r="H17" s="11"/>
      <c r="I17" s="11"/>
      <c r="J17" s="11"/>
      <c r="K17" s="11"/>
      <c r="L17" s="9">
        <f t="shared" si="0"/>
        <v>5</v>
      </c>
      <c r="M17" s="9">
        <v>5</v>
      </c>
      <c r="N17" s="9">
        <f t="shared" si="1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VLOOKUP($B18,'2107'!$B18:$M32,11,0)</f>
        <v>3</v>
      </c>
      <c r="E18" s="14"/>
      <c r="F18" s="11"/>
      <c r="G18" s="11"/>
      <c r="H18" s="11"/>
      <c r="I18" s="11">
        <v>1</v>
      </c>
      <c r="J18" s="11"/>
      <c r="K18" s="11"/>
      <c r="L18" s="9">
        <f t="shared" si="0"/>
        <v>2</v>
      </c>
      <c r="M18" s="9">
        <v>2</v>
      </c>
      <c r="N18" s="9">
        <f t="shared" si="1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VLOOKUP($B19,'2107'!$B19:$M33,11,0)</f>
        <v>2</v>
      </c>
      <c r="E19" s="14"/>
      <c r="F19" s="11"/>
      <c r="G19" s="11"/>
      <c r="H19" s="11">
        <v>2</v>
      </c>
      <c r="I19" s="11"/>
      <c r="J19" s="11"/>
      <c r="K19" s="11"/>
      <c r="L19" s="9">
        <f t="shared" si="0"/>
        <v>0</v>
      </c>
      <c r="M19" s="9"/>
      <c r="N19" s="9">
        <f t="shared" si="1"/>
        <v>0</v>
      </c>
    </row>
    <row r="20" spans="1:14" ht="18.75">
      <c r="A20" s="6">
        <v>13</v>
      </c>
      <c r="B20" s="20" t="s">
        <v>73</v>
      </c>
      <c r="C20" s="6" t="s">
        <v>17</v>
      </c>
      <c r="D20" s="9">
        <f>VLOOKUP($B20,'2107'!$B20:$M34,11,0)</f>
        <v>0</v>
      </c>
      <c r="E20" s="14"/>
      <c r="F20" s="11"/>
      <c r="G20" s="11"/>
      <c r="H20" s="11"/>
      <c r="I20" s="11"/>
      <c r="J20" s="11"/>
      <c r="K20" s="11"/>
      <c r="L20" s="9">
        <f t="shared" si="0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VLOOKUP($B21,'2107'!$B21:$M35,11,0)</f>
        <v>0</v>
      </c>
      <c r="E21" s="14"/>
      <c r="F21" s="11"/>
      <c r="G21" s="11"/>
      <c r="H21" s="11"/>
      <c r="I21" s="11"/>
      <c r="J21" s="11"/>
      <c r="K21" s="11"/>
      <c r="L21" s="9">
        <f t="shared" si="0"/>
        <v>0</v>
      </c>
      <c r="M21" s="9"/>
      <c r="N21" s="9">
        <f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VLOOKUP($B22,'2107'!$B22:$M36,11,0)</f>
        <v>0</v>
      </c>
      <c r="E22" s="14"/>
      <c r="F22" s="11"/>
      <c r="G22" s="11"/>
      <c r="H22" s="11"/>
      <c r="I22" s="11"/>
      <c r="J22" s="11"/>
      <c r="K22" s="11"/>
      <c r="L22" s="9">
        <f t="shared" si="0"/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VLOOKUP($B23,'2107'!$B23:$M37,11,0)</f>
        <v>64</v>
      </c>
      <c r="E23" s="14"/>
      <c r="F23" s="9"/>
      <c r="G23" s="9"/>
      <c r="H23" s="9"/>
      <c r="I23" s="9"/>
      <c r="J23" s="9">
        <v>64</v>
      </c>
      <c r="K23" s="9" t="s">
        <v>57</v>
      </c>
      <c r="L23" s="9">
        <f t="shared" si="0"/>
        <v>0</v>
      </c>
      <c r="M23" s="9"/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VLOOKUP($B24,'2107'!$B24:$M38,11,0)</f>
        <v>0</v>
      </c>
      <c r="E24" s="9"/>
      <c r="F24" s="9"/>
      <c r="G24" s="9"/>
      <c r="H24" s="9"/>
      <c r="I24" s="9"/>
      <c r="J24" s="9"/>
      <c r="K24" s="9"/>
      <c r="L24" s="9">
        <f t="shared" si="0"/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77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VLOOKUP($B26,'2107'!$B26:$M40,11,0)</f>
        <v>284</v>
      </c>
      <c r="E26" s="10">
        <v>131</v>
      </c>
      <c r="F26" s="9">
        <v>98</v>
      </c>
      <c r="G26" s="11"/>
      <c r="H26" s="9"/>
      <c r="I26" s="9"/>
      <c r="J26" s="9"/>
      <c r="K26" s="9"/>
      <c r="L26" s="9">
        <f>D26+E26-SUM(F26:K26)</f>
        <v>317</v>
      </c>
      <c r="M26" s="9">
        <v>317</v>
      </c>
      <c r="N26" s="9">
        <f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VLOOKUP($B27,'2107'!$B27:$M41,11,0)</f>
        <v>140</v>
      </c>
      <c r="E27" s="9"/>
      <c r="F27" s="9">
        <v>12</v>
      </c>
      <c r="G27" s="11"/>
      <c r="H27" s="9"/>
      <c r="I27" s="9"/>
      <c r="J27" s="9"/>
      <c r="K27" s="9"/>
      <c r="L27" s="9">
        <f>D27+E27-SUM(F27:K27)</f>
        <v>128</v>
      </c>
      <c r="M27" s="9">
        <v>128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VLOOKUP($B28,'2107'!$B28:$M42,11,0)</f>
        <v>380</v>
      </c>
      <c r="E28" s="9">
        <v>72</v>
      </c>
      <c r="F28" s="9">
        <v>135</v>
      </c>
      <c r="G28" s="11"/>
      <c r="H28" s="9"/>
      <c r="I28" s="9"/>
      <c r="J28" s="9"/>
      <c r="K28" s="9"/>
      <c r="L28" s="9">
        <f>D28+E28-SUM(F28:K28)</f>
        <v>317</v>
      </c>
      <c r="M28" s="9">
        <v>317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VLOOKUP($B29,'2107'!$B29:$M43,11,0)</f>
        <v>155</v>
      </c>
      <c r="E29" s="9">
        <v>70</v>
      </c>
      <c r="F29" s="9">
        <v>60</v>
      </c>
      <c r="G29" s="11"/>
      <c r="H29" s="9"/>
      <c r="I29" s="9"/>
      <c r="J29" s="9"/>
      <c r="K29" s="9"/>
      <c r="L29" s="9">
        <f>D29+E29-SUM(F29:K29)</f>
        <v>165</v>
      </c>
      <c r="M29" s="9">
        <v>165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9">
        <f>D30+E30-SUM(F30:K30)</f>
        <v>0</v>
      </c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I6"/>
    <mergeCell ref="L6:L7"/>
  </mergeCells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6" workbookViewId="0">
      <pane xSplit="1" topLeftCell="F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92" t="s">
        <v>1</v>
      </c>
      <c r="B5" s="292"/>
      <c r="C5" s="292"/>
      <c r="D5" s="4">
        <f>DATE(2015,7,22)</f>
        <v>42207</v>
      </c>
      <c r="E5" s="293">
        <f>D5+1</f>
        <v>42208</v>
      </c>
      <c r="F5" s="294"/>
      <c r="G5" s="294"/>
      <c r="H5" s="294"/>
      <c r="I5" s="294"/>
      <c r="J5" s="294"/>
      <c r="K5" s="294"/>
      <c r="L5" s="294"/>
      <c r="M5" s="294"/>
      <c r="N5" s="294"/>
    </row>
    <row r="6" spans="1:14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16"/>
      <c r="K6" s="116"/>
      <c r="L6" s="302" t="s">
        <v>8</v>
      </c>
      <c r="M6" s="289" t="s">
        <v>9</v>
      </c>
      <c r="N6" s="289" t="s">
        <v>10</v>
      </c>
    </row>
    <row r="7" spans="1:14">
      <c r="A7" s="295"/>
      <c r="B7" s="296"/>
      <c r="C7" s="298"/>
      <c r="D7" s="290"/>
      <c r="E7" s="290"/>
      <c r="F7" s="5" t="s">
        <v>11</v>
      </c>
      <c r="G7" s="5" t="s">
        <v>51</v>
      </c>
      <c r="H7" s="5" t="s">
        <v>52</v>
      </c>
      <c r="I7" s="5"/>
      <c r="J7" s="5"/>
      <c r="K7" s="5"/>
      <c r="L7" s="302"/>
      <c r="M7" s="290"/>
      <c r="N7" s="290"/>
    </row>
    <row r="8" spans="1:14" ht="18.75">
      <c r="A8" s="6">
        <v>1</v>
      </c>
      <c r="B8" s="7" t="s">
        <v>12</v>
      </c>
      <c r="C8" s="8" t="s">
        <v>13</v>
      </c>
      <c r="D8" s="9">
        <f>VLOOKUP($B8,'2207'!$B8:$M22,12,0)</f>
        <v>570</v>
      </c>
      <c r="E8" s="10">
        <v>379</v>
      </c>
      <c r="F8" s="11">
        <v>60</v>
      </c>
      <c r="G8" s="11">
        <v>300</v>
      </c>
      <c r="H8" s="11">
        <v>249</v>
      </c>
      <c r="I8" s="11"/>
      <c r="J8" s="11"/>
      <c r="K8" s="11"/>
      <c r="L8" s="9">
        <f>D8+E8-SUM(F8:K8)</f>
        <v>340</v>
      </c>
      <c r="M8" s="9">
        <v>340</v>
      </c>
      <c r="N8" s="9">
        <f t="shared" ref="N8:N19" si="0">M8-L8</f>
        <v>0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VLOOKUP($B9,'2207'!$B9:$M23,12,0)</f>
        <v>207</v>
      </c>
      <c r="E9" s="14"/>
      <c r="F9" s="11"/>
      <c r="G9" s="11">
        <v>147</v>
      </c>
      <c r="H9" s="11">
        <v>50</v>
      </c>
      <c r="I9" s="11"/>
      <c r="J9" s="11"/>
      <c r="K9" s="11"/>
      <c r="L9" s="9">
        <f t="shared" ref="L9:L30" si="1">D9+E9-SUM(F9:K9)</f>
        <v>10</v>
      </c>
      <c r="M9" s="9">
        <v>10</v>
      </c>
      <c r="N9" s="9">
        <f t="shared" si="0"/>
        <v>0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VLOOKUP($B10,'2207'!$B10:$M24,12,0)</f>
        <v>729</v>
      </c>
      <c r="E10" s="10">
        <v>164</v>
      </c>
      <c r="F10" s="11">
        <v>20</v>
      </c>
      <c r="G10" s="11">
        <v>143</v>
      </c>
      <c r="H10" s="11">
        <v>204</v>
      </c>
      <c r="I10" s="11"/>
      <c r="J10" s="11"/>
      <c r="K10" s="11"/>
      <c r="L10" s="9">
        <f t="shared" si="1"/>
        <v>526</v>
      </c>
      <c r="M10" s="9">
        <f>103+259+164</f>
        <v>526</v>
      </c>
      <c r="N10" s="9">
        <f t="shared" si="0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VLOOKUP($B11,'2207'!$B11:$M25,12,0)</f>
        <v>0</v>
      </c>
      <c r="E11" s="10"/>
      <c r="F11" s="11"/>
      <c r="G11" s="11"/>
      <c r="H11" s="11"/>
      <c r="I11" s="11"/>
      <c r="J11" s="11"/>
      <c r="K11" s="11"/>
      <c r="L11" s="9">
        <f t="shared" si="1"/>
        <v>0</v>
      </c>
      <c r="M11" s="9"/>
      <c r="N11" s="9">
        <f t="shared" si="0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VLOOKUP($B12,'2207'!$B12:$M26,12,0)</f>
        <v>771</v>
      </c>
      <c r="E12" s="14">
        <v>142</v>
      </c>
      <c r="F12" s="11">
        <v>20</v>
      </c>
      <c r="G12" s="11">
        <v>105</v>
      </c>
      <c r="H12" s="11">
        <v>285</v>
      </c>
      <c r="I12" s="11"/>
      <c r="J12" s="11"/>
      <c r="K12" s="11"/>
      <c r="L12" s="9">
        <f t="shared" si="1"/>
        <v>503</v>
      </c>
      <c r="M12" s="9">
        <f>140+120+113+130</f>
        <v>503</v>
      </c>
      <c r="N12" s="9">
        <f t="shared" si="0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VLOOKUP($B13,'2207'!$B13:$M27,12,0)</f>
        <v>516</v>
      </c>
      <c r="E13" s="14">
        <f>141+90</f>
        <v>231</v>
      </c>
      <c r="F13" s="11">
        <v>17</v>
      </c>
      <c r="G13" s="11">
        <v>143</v>
      </c>
      <c r="H13" s="11">
        <v>251</v>
      </c>
      <c r="I13" s="11"/>
      <c r="J13" s="11"/>
      <c r="K13" s="11"/>
      <c r="L13" s="9">
        <f t="shared" si="1"/>
        <v>336</v>
      </c>
      <c r="M13" s="9">
        <v>336</v>
      </c>
      <c r="N13" s="9">
        <f t="shared" si="0"/>
        <v>0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VLOOKUP($B14,'2207'!$B14:$M28,12,0)</f>
        <v>4</v>
      </c>
      <c r="E14" s="14">
        <v>1</v>
      </c>
      <c r="F14" s="11"/>
      <c r="G14" s="11">
        <v>5</v>
      </c>
      <c r="H14" s="11"/>
      <c r="I14" s="11"/>
      <c r="J14" s="11"/>
      <c r="K14" s="11"/>
      <c r="L14" s="9">
        <f t="shared" si="1"/>
        <v>0</v>
      </c>
      <c r="M14" s="9"/>
      <c r="N14" s="9">
        <f t="shared" si="0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VLOOKUP($B15,'2207'!$B15:$M29,12,0)</f>
        <v>0</v>
      </c>
      <c r="E15" s="14"/>
      <c r="F15" s="11"/>
      <c r="G15" s="11"/>
      <c r="H15" s="11"/>
      <c r="I15" s="11"/>
      <c r="J15" s="11"/>
      <c r="K15" s="11"/>
      <c r="L15" s="9">
        <f t="shared" si="1"/>
        <v>0</v>
      </c>
      <c r="M15" s="9"/>
      <c r="N15" s="9">
        <f t="shared" si="0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VLOOKUP($B16,'2207'!$B16:$M30,12,0)</f>
        <v>9</v>
      </c>
      <c r="E16" s="14">
        <v>5</v>
      </c>
      <c r="F16" s="11">
        <v>1</v>
      </c>
      <c r="G16" s="11">
        <v>4</v>
      </c>
      <c r="H16" s="11">
        <v>5</v>
      </c>
      <c r="I16" s="11"/>
      <c r="J16" s="11"/>
      <c r="K16" s="11"/>
      <c r="L16" s="9">
        <f t="shared" si="1"/>
        <v>4</v>
      </c>
      <c r="M16" s="9">
        <v>4</v>
      </c>
      <c r="N16" s="9">
        <f t="shared" si="0"/>
        <v>0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VLOOKUP($B17,'2207'!$B17:$M31,12,0)</f>
        <v>5</v>
      </c>
      <c r="E17" s="14">
        <v>2</v>
      </c>
      <c r="F17" s="11"/>
      <c r="G17" s="11">
        <v>5</v>
      </c>
      <c r="H17" s="11"/>
      <c r="I17" s="11"/>
      <c r="J17" s="11"/>
      <c r="K17" s="11"/>
      <c r="L17" s="9">
        <f t="shared" si="1"/>
        <v>2</v>
      </c>
      <c r="M17" s="9">
        <v>2</v>
      </c>
      <c r="N17" s="9">
        <f t="shared" si="0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VLOOKUP($B18,'2207'!$B18:$M32,12,0)</f>
        <v>2</v>
      </c>
      <c r="E18" s="14"/>
      <c r="F18" s="11"/>
      <c r="G18" s="11"/>
      <c r="H18" s="11"/>
      <c r="I18" s="11"/>
      <c r="J18" s="11"/>
      <c r="K18" s="11"/>
      <c r="L18" s="9">
        <f t="shared" si="1"/>
        <v>2</v>
      </c>
      <c r="M18" s="9">
        <v>2</v>
      </c>
      <c r="N18" s="9">
        <f t="shared" si="0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VLOOKUP($B19,'2207'!$B19:$M33,12,0)</f>
        <v>0</v>
      </c>
      <c r="E19" s="14">
        <v>1</v>
      </c>
      <c r="F19" s="11"/>
      <c r="G19" s="11"/>
      <c r="H19" s="11"/>
      <c r="I19" s="11"/>
      <c r="J19" s="11"/>
      <c r="K19" s="11"/>
      <c r="L19" s="9">
        <f t="shared" si="1"/>
        <v>1</v>
      </c>
      <c r="M19" s="9">
        <v>1</v>
      </c>
      <c r="N19" s="9">
        <f t="shared" si="0"/>
        <v>0</v>
      </c>
    </row>
    <row r="20" spans="1:14" ht="18.75">
      <c r="A20" s="6">
        <v>13</v>
      </c>
      <c r="B20" s="20" t="s">
        <v>73</v>
      </c>
      <c r="C20" s="6" t="s">
        <v>17</v>
      </c>
      <c r="D20" s="9">
        <f>VLOOKUP($B20,'2207'!$B20:$M34,12,0)</f>
        <v>0</v>
      </c>
      <c r="E20" s="14"/>
      <c r="F20" s="11"/>
      <c r="G20" s="11"/>
      <c r="H20" s="11"/>
      <c r="I20" s="11"/>
      <c r="J20" s="11"/>
      <c r="K20" s="11"/>
      <c r="L20" s="9">
        <f t="shared" si="1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VLOOKUP($B21,'2207'!$B21:$M35,12,0)</f>
        <v>0</v>
      </c>
      <c r="E21" s="14"/>
      <c r="F21" s="11"/>
      <c r="G21" s="11"/>
      <c r="H21" s="11"/>
      <c r="I21" s="11"/>
      <c r="J21" s="11"/>
      <c r="K21" s="11"/>
      <c r="L21" s="9">
        <f t="shared" si="1"/>
        <v>0</v>
      </c>
      <c r="M21" s="9"/>
      <c r="N21" s="9">
        <f t="shared" ref="N21" si="2"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VLOOKUP($B22,'2207'!$B22:$M36,12,0)</f>
        <v>0</v>
      </c>
      <c r="E22" s="14"/>
      <c r="F22" s="11"/>
      <c r="G22" s="11"/>
      <c r="H22" s="11"/>
      <c r="I22" s="11"/>
      <c r="J22" s="11"/>
      <c r="K22" s="11"/>
      <c r="L22" s="9">
        <f t="shared" si="1"/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VLOOKUP($B23,'2207'!$B23:$M37,12,0)</f>
        <v>0</v>
      </c>
      <c r="E23" s="14"/>
      <c r="F23" s="9"/>
      <c r="G23" s="9"/>
      <c r="H23" s="9"/>
      <c r="I23" s="9"/>
      <c r="J23" s="9"/>
      <c r="K23" s="9"/>
      <c r="L23" s="9">
        <f t="shared" si="1"/>
        <v>0</v>
      </c>
      <c r="M23" s="9"/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VLOOKUP($B24,'2207'!$B24:$M38,12,0)</f>
        <v>0</v>
      </c>
      <c r="E24" s="9"/>
      <c r="F24" s="9"/>
      <c r="G24" s="9"/>
      <c r="H24" s="9"/>
      <c r="I24" s="9"/>
      <c r="J24" s="9"/>
      <c r="K24" s="9"/>
      <c r="L24" s="9">
        <f>D24+E24-SUM(F24:K24)</f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77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VLOOKUP($B26,'2207'!$B26:$M40,11,0)</f>
        <v>317</v>
      </c>
      <c r="E26" s="10"/>
      <c r="F26" s="9">
        <v>115</v>
      </c>
      <c r="G26" s="11"/>
      <c r="H26" s="9"/>
      <c r="I26" s="9"/>
      <c r="J26" s="9"/>
      <c r="K26" s="9"/>
      <c r="L26" s="9">
        <f t="shared" si="1"/>
        <v>202</v>
      </c>
      <c r="M26" s="9">
        <v>202</v>
      </c>
      <c r="N26" s="9">
        <f t="shared" ref="N26" si="3"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VLOOKUP($B27,'2207'!$B27:$M41,11,0)</f>
        <v>128</v>
      </c>
      <c r="E27" s="9">
        <v>32</v>
      </c>
      <c r="F27" s="9">
        <v>56</v>
      </c>
      <c r="G27" s="11"/>
      <c r="H27" s="9"/>
      <c r="I27" s="9"/>
      <c r="J27" s="9"/>
      <c r="K27" s="9"/>
      <c r="L27" s="9">
        <f t="shared" si="1"/>
        <v>104</v>
      </c>
      <c r="M27" s="9">
        <v>104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VLOOKUP($B28,'2207'!$B28:$M42,11,0)</f>
        <v>317</v>
      </c>
      <c r="E28" s="9">
        <v>80</v>
      </c>
      <c r="F28" s="9">
        <v>115</v>
      </c>
      <c r="G28" s="11"/>
      <c r="H28" s="9"/>
      <c r="I28" s="9"/>
      <c r="J28" s="9"/>
      <c r="K28" s="9"/>
      <c r="L28" s="9">
        <f t="shared" si="1"/>
        <v>282</v>
      </c>
      <c r="M28" s="9">
        <v>282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VLOOKUP($B29,'2207'!$B29:$M43,11,0)</f>
        <v>165</v>
      </c>
      <c r="E29" s="9">
        <v>41</v>
      </c>
      <c r="F29" s="9">
        <v>69</v>
      </c>
      <c r="G29" s="11"/>
      <c r="H29" s="9"/>
      <c r="I29" s="9"/>
      <c r="J29" s="9"/>
      <c r="K29" s="9"/>
      <c r="L29" s="9">
        <f t="shared" si="1"/>
        <v>137</v>
      </c>
      <c r="M29" s="9">
        <v>137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9">
        <f t="shared" si="1"/>
        <v>0</v>
      </c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I6"/>
    <mergeCell ref="L6:L7"/>
  </mergeCells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opLeftCell="B20" workbookViewId="0">
      <pane xSplit="1" topLeftCell="F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92" t="s">
        <v>1</v>
      </c>
      <c r="B5" s="292"/>
      <c r="C5" s="292"/>
      <c r="D5" s="4">
        <f>DATE(2015,7,23)</f>
        <v>42208</v>
      </c>
      <c r="E5" s="293">
        <f>D5+1</f>
        <v>42209</v>
      </c>
      <c r="F5" s="294"/>
      <c r="G5" s="294"/>
      <c r="H5" s="294"/>
      <c r="I5" s="294"/>
      <c r="J5" s="294"/>
      <c r="K5" s="294"/>
      <c r="L5" s="294"/>
      <c r="M5" s="294"/>
      <c r="N5" s="294"/>
    </row>
    <row r="6" spans="1:14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17"/>
      <c r="K6" s="117"/>
      <c r="L6" s="302" t="s">
        <v>8</v>
      </c>
      <c r="M6" s="289" t="s">
        <v>9</v>
      </c>
      <c r="N6" s="289" t="s">
        <v>10</v>
      </c>
    </row>
    <row r="7" spans="1:14">
      <c r="A7" s="295"/>
      <c r="B7" s="296"/>
      <c r="C7" s="298"/>
      <c r="D7" s="290"/>
      <c r="E7" s="290"/>
      <c r="F7" s="5" t="s">
        <v>11</v>
      </c>
      <c r="G7" s="5" t="s">
        <v>49</v>
      </c>
      <c r="H7" s="5" t="s">
        <v>51</v>
      </c>
      <c r="I7" s="5"/>
      <c r="J7" s="5"/>
      <c r="K7" s="5"/>
      <c r="L7" s="302"/>
      <c r="M7" s="290"/>
      <c r="N7" s="290"/>
    </row>
    <row r="8" spans="1:14" ht="18.75">
      <c r="A8" s="6">
        <v>1</v>
      </c>
      <c r="B8" s="7" t="s">
        <v>12</v>
      </c>
      <c r="C8" s="8" t="s">
        <v>13</v>
      </c>
      <c r="D8" s="9">
        <f>VLOOKUP($B8,'2307'!$B8:$M22,12,0)</f>
        <v>340</v>
      </c>
      <c r="E8" s="10">
        <f>115+103+48</f>
        <v>266</v>
      </c>
      <c r="F8" s="11">
        <v>60</v>
      </c>
      <c r="G8" s="11">
        <v>214</v>
      </c>
      <c r="H8" s="11"/>
      <c r="I8" s="11"/>
      <c r="J8" s="11"/>
      <c r="K8" s="11"/>
      <c r="L8" s="9">
        <f>D8+E8-SUM(F8:K8)</f>
        <v>332</v>
      </c>
      <c r="M8" s="9">
        <f>70+262</f>
        <v>332</v>
      </c>
      <c r="N8" s="9">
        <f t="shared" ref="N8:N19" si="0">M8-L8</f>
        <v>0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VLOOKUP($B9,'2307'!$B9:$M23,12,0)</f>
        <v>10</v>
      </c>
      <c r="E9" s="14">
        <v>72</v>
      </c>
      <c r="F9" s="11"/>
      <c r="G9" s="11">
        <v>10</v>
      </c>
      <c r="H9" s="11"/>
      <c r="I9" s="11"/>
      <c r="J9" s="11"/>
      <c r="K9" s="11"/>
      <c r="L9" s="9">
        <f t="shared" ref="L9:L30" si="1">D9+E9-SUM(F9:K9)</f>
        <v>72</v>
      </c>
      <c r="M9" s="9">
        <v>72</v>
      </c>
      <c r="N9" s="9">
        <f t="shared" si="0"/>
        <v>0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VLOOKUP($B10,'2307'!$B10:$M24,12,0)</f>
        <v>526</v>
      </c>
      <c r="E10" s="10">
        <f>128+123</f>
        <v>251</v>
      </c>
      <c r="F10" s="11">
        <v>13</v>
      </c>
      <c r="G10" s="11">
        <v>250</v>
      </c>
      <c r="H10" s="11"/>
      <c r="I10" s="11"/>
      <c r="J10" s="11"/>
      <c r="K10" s="11"/>
      <c r="L10" s="9">
        <f t="shared" si="1"/>
        <v>514</v>
      </c>
      <c r="M10" s="9">
        <f>263+E10</f>
        <v>514</v>
      </c>
      <c r="N10" s="9">
        <f t="shared" si="0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VLOOKUP($B11,'2307'!$B11:$M25,12,0)</f>
        <v>0</v>
      </c>
      <c r="E11" s="10"/>
      <c r="F11" s="11"/>
      <c r="G11" s="11"/>
      <c r="H11" s="11"/>
      <c r="I11" s="11"/>
      <c r="J11" s="11"/>
      <c r="K11" s="11"/>
      <c r="L11" s="9">
        <f t="shared" si="1"/>
        <v>0</v>
      </c>
      <c r="M11" s="9"/>
      <c r="N11" s="9">
        <f t="shared" si="0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VLOOKUP($B12,'2307'!$B12:$M26,12,0)</f>
        <v>503</v>
      </c>
      <c r="E12" s="14">
        <v>175</v>
      </c>
      <c r="F12" s="11"/>
      <c r="G12" s="11">
        <v>300</v>
      </c>
      <c r="H12" s="11"/>
      <c r="I12" s="11"/>
      <c r="J12" s="11"/>
      <c r="K12" s="11"/>
      <c r="L12" s="9">
        <f t="shared" si="1"/>
        <v>378</v>
      </c>
      <c r="M12" s="9">
        <f>73+130+175</f>
        <v>378</v>
      </c>
      <c r="N12" s="9">
        <f t="shared" si="0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VLOOKUP($B13,'2307'!$B13:$M27,12,0)</f>
        <v>336</v>
      </c>
      <c r="E13" s="14">
        <v>167</v>
      </c>
      <c r="F13" s="11">
        <v>20</v>
      </c>
      <c r="G13" s="11">
        <v>300</v>
      </c>
      <c r="H13" s="11"/>
      <c r="I13" s="11"/>
      <c r="J13" s="11"/>
      <c r="K13" s="11"/>
      <c r="L13" s="9">
        <f t="shared" si="1"/>
        <v>183</v>
      </c>
      <c r="M13" s="9">
        <v>183</v>
      </c>
      <c r="N13" s="9">
        <f t="shared" si="0"/>
        <v>0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VLOOKUP($B14,'2307'!$B14:$M28,12,0)</f>
        <v>0</v>
      </c>
      <c r="E14" s="14"/>
      <c r="F14" s="11"/>
      <c r="G14" s="11"/>
      <c r="H14" s="11"/>
      <c r="I14" s="11"/>
      <c r="J14" s="11"/>
      <c r="K14" s="11"/>
      <c r="L14" s="9">
        <f t="shared" si="1"/>
        <v>0</v>
      </c>
      <c r="M14" s="9"/>
      <c r="N14" s="9">
        <f t="shared" si="0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VLOOKUP($B15,'2307'!$B15:$M29,12,0)</f>
        <v>0</v>
      </c>
      <c r="E15" s="14"/>
      <c r="F15" s="11"/>
      <c r="G15" s="11"/>
      <c r="H15" s="11"/>
      <c r="I15" s="11"/>
      <c r="J15" s="11"/>
      <c r="K15" s="11"/>
      <c r="L15" s="9">
        <f t="shared" si="1"/>
        <v>0</v>
      </c>
      <c r="M15" s="9"/>
      <c r="N15" s="9">
        <f t="shared" si="0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VLOOKUP($B16,'2307'!$B16:$M30,12,0)</f>
        <v>4</v>
      </c>
      <c r="E16" s="14">
        <v>5</v>
      </c>
      <c r="F16" s="11">
        <v>1</v>
      </c>
      <c r="G16" s="11">
        <v>3</v>
      </c>
      <c r="H16" s="11">
        <v>2</v>
      </c>
      <c r="I16" s="11"/>
      <c r="J16" s="11"/>
      <c r="K16" s="11"/>
      <c r="L16" s="9">
        <f t="shared" si="1"/>
        <v>3</v>
      </c>
      <c r="M16" s="9">
        <v>5</v>
      </c>
      <c r="N16" s="9">
        <f t="shared" si="0"/>
        <v>2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VLOOKUP($B17,'2307'!$B17:$M31,12,0)</f>
        <v>2</v>
      </c>
      <c r="E17" s="14">
        <v>2</v>
      </c>
      <c r="F17" s="11"/>
      <c r="G17" s="11">
        <v>2</v>
      </c>
      <c r="H17" s="11"/>
      <c r="I17" s="11"/>
      <c r="J17" s="11"/>
      <c r="K17" s="11"/>
      <c r="L17" s="9">
        <f t="shared" si="1"/>
        <v>2</v>
      </c>
      <c r="M17" s="9">
        <v>2</v>
      </c>
      <c r="N17" s="9">
        <f t="shared" si="0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VLOOKUP($B18,'2307'!$B18:$M32,12,0)</f>
        <v>2</v>
      </c>
      <c r="E18" s="14"/>
      <c r="F18" s="11"/>
      <c r="G18" s="11">
        <v>1</v>
      </c>
      <c r="H18" s="11"/>
      <c r="I18" s="11"/>
      <c r="J18" s="11"/>
      <c r="K18" s="11"/>
      <c r="L18" s="9">
        <f t="shared" si="1"/>
        <v>1</v>
      </c>
      <c r="M18" s="9">
        <v>1</v>
      </c>
      <c r="N18" s="9">
        <f t="shared" si="0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VLOOKUP($B19,'2307'!$B19:$M33,12,0)</f>
        <v>1</v>
      </c>
      <c r="E19" s="14">
        <v>2</v>
      </c>
      <c r="F19" s="11"/>
      <c r="G19" s="11">
        <v>1</v>
      </c>
      <c r="H19" s="11"/>
      <c r="I19" s="11"/>
      <c r="J19" s="11"/>
      <c r="K19" s="11"/>
      <c r="L19" s="9">
        <f t="shared" si="1"/>
        <v>2</v>
      </c>
      <c r="M19" s="9">
        <v>2</v>
      </c>
      <c r="N19" s="9">
        <f t="shared" si="0"/>
        <v>0</v>
      </c>
    </row>
    <row r="20" spans="1:14" ht="18.75">
      <c r="A20" s="6">
        <v>13</v>
      </c>
      <c r="B20" s="20" t="s">
        <v>73</v>
      </c>
      <c r="C20" s="6" t="s">
        <v>17</v>
      </c>
      <c r="D20" s="9">
        <f>VLOOKUP($B20,'2307'!$B20:$M34,12,0)</f>
        <v>0</v>
      </c>
      <c r="E20" s="14"/>
      <c r="F20" s="11"/>
      <c r="G20" s="11"/>
      <c r="H20" s="11"/>
      <c r="I20" s="11"/>
      <c r="J20" s="11"/>
      <c r="K20" s="11"/>
      <c r="L20" s="9">
        <f t="shared" si="1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VLOOKUP($B21,'2307'!$B21:$M35,12,0)</f>
        <v>0</v>
      </c>
      <c r="E21" s="14"/>
      <c r="F21" s="11"/>
      <c r="G21" s="11"/>
      <c r="H21" s="11"/>
      <c r="I21" s="11"/>
      <c r="J21" s="11"/>
      <c r="K21" s="11"/>
      <c r="L21" s="9">
        <f t="shared" si="1"/>
        <v>0</v>
      </c>
      <c r="M21" s="9"/>
      <c r="N21" s="9">
        <f t="shared" ref="N21" si="2"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VLOOKUP($B22,'2307'!$B22:$M36,12,0)</f>
        <v>0</v>
      </c>
      <c r="E22" s="14"/>
      <c r="F22" s="11"/>
      <c r="G22" s="11"/>
      <c r="H22" s="11"/>
      <c r="I22" s="11"/>
      <c r="J22" s="11"/>
      <c r="K22" s="11"/>
      <c r="L22" s="9">
        <f t="shared" si="1"/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VLOOKUP($B23,'2307'!$B23:$M37,12,0)</f>
        <v>0</v>
      </c>
      <c r="E23" s="14">
        <v>64</v>
      </c>
      <c r="F23" s="9">
        <v>16</v>
      </c>
      <c r="G23" s="9"/>
      <c r="H23" s="9"/>
      <c r="I23" s="9"/>
      <c r="J23" s="9"/>
      <c r="K23" s="9"/>
      <c r="L23" s="9">
        <f t="shared" si="1"/>
        <v>48</v>
      </c>
      <c r="M23" s="9">
        <v>48</v>
      </c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VLOOKUP($B24,'2307'!$B24:$M38,12,0)</f>
        <v>0</v>
      </c>
      <c r="E24" s="9"/>
      <c r="F24" s="9"/>
      <c r="G24" s="9"/>
      <c r="H24" s="9"/>
      <c r="I24" s="9"/>
      <c r="J24" s="9"/>
      <c r="K24" s="9"/>
      <c r="L24" s="9">
        <f>D24+E24-SUM(F24:K24)</f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77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VLOOKUP($B26,'2307'!$B26:$M40,11,0)</f>
        <v>202</v>
      </c>
      <c r="E26" s="10">
        <v>144</v>
      </c>
      <c r="F26" s="9">
        <v>105</v>
      </c>
      <c r="G26" s="11"/>
      <c r="H26" s="9"/>
      <c r="I26" s="9"/>
      <c r="J26" s="9"/>
      <c r="K26" s="9"/>
      <c r="L26" s="9">
        <f t="shared" si="1"/>
        <v>241</v>
      </c>
      <c r="M26" s="9">
        <v>241</v>
      </c>
      <c r="N26" s="9">
        <f t="shared" ref="N26" si="3"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VLOOKUP($B27,'2307'!$B27:$M41,11,0)</f>
        <v>104</v>
      </c>
      <c r="E27" s="9">
        <v>63</v>
      </c>
      <c r="F27" s="9">
        <v>40</v>
      </c>
      <c r="G27" s="11"/>
      <c r="H27" s="9"/>
      <c r="I27" s="9"/>
      <c r="J27" s="9"/>
      <c r="K27" s="9"/>
      <c r="L27" s="9">
        <f t="shared" si="1"/>
        <v>127</v>
      </c>
      <c r="M27" s="9">
        <v>127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VLOOKUP($B28,'2307'!$B28:$M42,11,0)</f>
        <v>282</v>
      </c>
      <c r="E28" s="9">
        <v>154</v>
      </c>
      <c r="F28" s="9">
        <v>129</v>
      </c>
      <c r="G28" s="11"/>
      <c r="H28" s="9"/>
      <c r="I28" s="9"/>
      <c r="J28" s="9"/>
      <c r="K28" s="9"/>
      <c r="L28" s="9">
        <f t="shared" si="1"/>
        <v>307</v>
      </c>
      <c r="M28" s="9">
        <v>307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VLOOKUP($B29,'2307'!$B29:$M43,11,0)</f>
        <v>137</v>
      </c>
      <c r="E29" s="9">
        <v>82</v>
      </c>
      <c r="F29" s="9">
        <v>66</v>
      </c>
      <c r="G29" s="11"/>
      <c r="H29" s="9"/>
      <c r="I29" s="9"/>
      <c r="J29" s="9"/>
      <c r="K29" s="9"/>
      <c r="L29" s="9">
        <f t="shared" si="1"/>
        <v>153</v>
      </c>
      <c r="M29" s="9">
        <v>153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9">
        <f t="shared" si="1"/>
        <v>0</v>
      </c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I6"/>
    <mergeCell ref="L6:L7"/>
  </mergeCells>
  <pageMargins left="0.7" right="0.7" top="0.75" bottom="0.75" header="0.3" footer="0.3"/>
  <pageSetup orientation="portrait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7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92" t="s">
        <v>1</v>
      </c>
      <c r="B5" s="292"/>
      <c r="C5" s="292"/>
      <c r="D5" s="4">
        <f>DATE(2015,7,24)</f>
        <v>42209</v>
      </c>
      <c r="E5" s="293">
        <f>D5+1</f>
        <v>42210</v>
      </c>
      <c r="F5" s="294"/>
      <c r="G5" s="294"/>
      <c r="H5" s="294"/>
      <c r="I5" s="294"/>
      <c r="J5" s="294"/>
      <c r="K5" s="294"/>
      <c r="L5" s="294"/>
      <c r="M5" s="294"/>
      <c r="N5" s="294"/>
    </row>
    <row r="6" spans="1:14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18"/>
      <c r="K6" s="118"/>
      <c r="L6" s="302" t="s">
        <v>8</v>
      </c>
      <c r="M6" s="289" t="s">
        <v>9</v>
      </c>
      <c r="N6" s="289" t="s">
        <v>10</v>
      </c>
    </row>
    <row r="7" spans="1:14">
      <c r="A7" s="295"/>
      <c r="B7" s="296"/>
      <c r="C7" s="298"/>
      <c r="D7" s="290"/>
      <c r="E7" s="290"/>
      <c r="F7" s="5" t="s">
        <v>11</v>
      </c>
      <c r="G7" s="5" t="s">
        <v>43</v>
      </c>
      <c r="H7" s="5" t="s">
        <v>38</v>
      </c>
      <c r="I7" s="5" t="s">
        <v>74</v>
      </c>
      <c r="J7" s="5"/>
      <c r="K7" s="5"/>
      <c r="L7" s="302"/>
      <c r="M7" s="290"/>
      <c r="N7" s="290"/>
    </row>
    <row r="8" spans="1:14" ht="18.75">
      <c r="A8" s="6">
        <v>1</v>
      </c>
      <c r="B8" s="7" t="s">
        <v>12</v>
      </c>
      <c r="C8" s="8" t="s">
        <v>13</v>
      </c>
      <c r="D8" s="9">
        <f>VLOOKUP($B8,'2407'!$B8:$M22,12,0)</f>
        <v>332</v>
      </c>
      <c r="E8" s="10">
        <f>98+98</f>
        <v>196</v>
      </c>
      <c r="F8" s="11">
        <v>60</v>
      </c>
      <c r="G8" s="11">
        <v>100</v>
      </c>
      <c r="H8" s="11"/>
      <c r="I8" s="11"/>
      <c r="J8" s="11"/>
      <c r="K8" s="11"/>
      <c r="L8" s="9">
        <f>D8+E8-SUM(F8:K8)</f>
        <v>368</v>
      </c>
      <c r="M8" s="9">
        <f>120+196+52</f>
        <v>368</v>
      </c>
      <c r="N8" s="9">
        <f t="shared" ref="N8:N19" si="0">M8-L8</f>
        <v>0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VLOOKUP($B9,'2407'!$B9:$M23,12,0)</f>
        <v>72</v>
      </c>
      <c r="E9" s="14"/>
      <c r="F9" s="11"/>
      <c r="G9" s="11">
        <v>40</v>
      </c>
      <c r="H9" s="11"/>
      <c r="I9" s="11"/>
      <c r="J9" s="11"/>
      <c r="K9" s="11"/>
      <c r="L9" s="9">
        <f t="shared" ref="L9:L30" si="1">D9+E9-SUM(F9:K9)</f>
        <v>32</v>
      </c>
      <c r="M9" s="9">
        <v>30</v>
      </c>
      <c r="N9" s="9">
        <f t="shared" si="0"/>
        <v>-2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VLOOKUP($B10,'2407'!$B10:$M24,12,0)</f>
        <v>514</v>
      </c>
      <c r="E10" s="10">
        <v>213</v>
      </c>
      <c r="F10" s="11">
        <v>8</v>
      </c>
      <c r="G10" s="11">
        <v>137</v>
      </c>
      <c r="H10" s="11"/>
      <c r="I10" s="11"/>
      <c r="J10" s="11"/>
      <c r="K10" s="11"/>
      <c r="L10" s="9">
        <f t="shared" si="1"/>
        <v>582</v>
      </c>
      <c r="M10" s="9">
        <f>259+213+110</f>
        <v>582</v>
      </c>
      <c r="N10" s="9">
        <f t="shared" si="0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VLOOKUP($B11,'2407'!$B11:$M25,12,0)</f>
        <v>0</v>
      </c>
      <c r="E11" s="10"/>
      <c r="F11" s="11"/>
      <c r="G11" s="11"/>
      <c r="H11" s="11"/>
      <c r="I11" s="11"/>
      <c r="J11" s="11"/>
      <c r="K11" s="11"/>
      <c r="L11" s="9">
        <f t="shared" si="1"/>
        <v>0</v>
      </c>
      <c r="M11" s="9"/>
      <c r="N11" s="9">
        <f t="shared" si="0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VLOOKUP($B12,'2407'!$B12:$M26,12,0)</f>
        <v>378</v>
      </c>
      <c r="E12" s="14">
        <v>164</v>
      </c>
      <c r="F12" s="11">
        <v>28</v>
      </c>
      <c r="G12" s="11">
        <v>171</v>
      </c>
      <c r="H12" s="11"/>
      <c r="I12" s="11"/>
      <c r="J12" s="11"/>
      <c r="K12" s="11"/>
      <c r="L12" s="9">
        <f t="shared" si="1"/>
        <v>343</v>
      </c>
      <c r="M12" s="9">
        <v>343</v>
      </c>
      <c r="N12" s="9">
        <f t="shared" si="0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VLOOKUP($B13,'2407'!$B13:$M27,12,0)</f>
        <v>183</v>
      </c>
      <c r="E13" s="14">
        <v>125</v>
      </c>
      <c r="F13" s="11">
        <v>20</v>
      </c>
      <c r="G13" s="11">
        <v>120</v>
      </c>
      <c r="H13" s="11"/>
      <c r="I13" s="11"/>
      <c r="J13" s="11"/>
      <c r="K13" s="11"/>
      <c r="L13" s="9">
        <f t="shared" si="1"/>
        <v>168</v>
      </c>
      <c r="M13" s="9">
        <v>168</v>
      </c>
      <c r="N13" s="9">
        <f t="shared" si="0"/>
        <v>0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VLOOKUP($B14,'2407'!$B14:$M28,12,0)</f>
        <v>0</v>
      </c>
      <c r="E14" s="14">
        <v>2</v>
      </c>
      <c r="F14" s="11"/>
      <c r="G14" s="11">
        <v>2</v>
      </c>
      <c r="H14" s="11"/>
      <c r="I14" s="11"/>
      <c r="J14" s="11"/>
      <c r="K14" s="11"/>
      <c r="L14" s="9">
        <f t="shared" si="1"/>
        <v>0</v>
      </c>
      <c r="M14" s="9"/>
      <c r="N14" s="9">
        <f t="shared" si="0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VLOOKUP($B15,'2407'!$B15:$M29,12,0)</f>
        <v>0</v>
      </c>
      <c r="E15" s="14"/>
      <c r="F15" s="11"/>
      <c r="G15" s="11"/>
      <c r="H15" s="11"/>
      <c r="I15" s="11"/>
      <c r="J15" s="11"/>
      <c r="K15" s="11"/>
      <c r="L15" s="9">
        <f t="shared" si="1"/>
        <v>0</v>
      </c>
      <c r="M15" s="9"/>
      <c r="N15" s="9">
        <f t="shared" si="0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VLOOKUP($B16,'2407'!$B16:$M30,12,0)</f>
        <v>5</v>
      </c>
      <c r="E16" s="14">
        <v>4</v>
      </c>
      <c r="F16" s="11">
        <v>1</v>
      </c>
      <c r="G16" s="11">
        <v>1</v>
      </c>
      <c r="H16" s="11">
        <v>3</v>
      </c>
      <c r="I16" s="11"/>
      <c r="J16" s="11"/>
      <c r="K16" s="11"/>
      <c r="L16" s="9">
        <f t="shared" si="1"/>
        <v>4</v>
      </c>
      <c r="M16" s="9">
        <v>4</v>
      </c>
      <c r="N16" s="9">
        <f t="shared" si="0"/>
        <v>0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VLOOKUP($B17,'2407'!$B17:$M31,12,0)</f>
        <v>2</v>
      </c>
      <c r="E17" s="14"/>
      <c r="F17" s="11"/>
      <c r="G17" s="11">
        <v>2</v>
      </c>
      <c r="H17" s="11"/>
      <c r="I17" s="11"/>
      <c r="J17" s="11"/>
      <c r="K17" s="11"/>
      <c r="L17" s="9">
        <f t="shared" si="1"/>
        <v>0</v>
      </c>
      <c r="M17" s="9"/>
      <c r="N17" s="9">
        <f t="shared" si="0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VLOOKUP($B18,'2407'!$B18:$M32,12,0)</f>
        <v>1</v>
      </c>
      <c r="E18" s="14"/>
      <c r="F18" s="11"/>
      <c r="G18" s="11"/>
      <c r="H18" s="11"/>
      <c r="I18" s="11"/>
      <c r="J18" s="11"/>
      <c r="K18" s="11"/>
      <c r="L18" s="9">
        <f t="shared" si="1"/>
        <v>1</v>
      </c>
      <c r="M18" s="9">
        <v>1</v>
      </c>
      <c r="N18" s="9">
        <f t="shared" si="0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VLOOKUP($B19,'2407'!$B19:$M33,12,0)</f>
        <v>2</v>
      </c>
      <c r="E19" s="14"/>
      <c r="F19" s="11"/>
      <c r="G19" s="11">
        <v>1</v>
      </c>
      <c r="H19" s="11"/>
      <c r="I19" s="11"/>
      <c r="J19" s="11"/>
      <c r="K19" s="11"/>
      <c r="L19" s="9">
        <f t="shared" si="1"/>
        <v>1</v>
      </c>
      <c r="M19" s="9">
        <v>1</v>
      </c>
      <c r="N19" s="9">
        <f t="shared" si="0"/>
        <v>0</v>
      </c>
    </row>
    <row r="20" spans="1:14" ht="18.75">
      <c r="A20" s="6">
        <v>13</v>
      </c>
      <c r="B20" s="20" t="s">
        <v>73</v>
      </c>
      <c r="C20" s="6" t="s">
        <v>17</v>
      </c>
      <c r="D20" s="9">
        <f>VLOOKUP($B20,'2407'!$B20:$M34,12,0)</f>
        <v>0</v>
      </c>
      <c r="E20" s="14">
        <v>15</v>
      </c>
      <c r="F20" s="11"/>
      <c r="G20" s="11"/>
      <c r="H20" s="11"/>
      <c r="I20" s="11">
        <v>15</v>
      </c>
      <c r="J20" s="11"/>
      <c r="K20" s="11"/>
      <c r="L20" s="9">
        <f t="shared" si="1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VLOOKUP($B21,'2407'!$B21:$M35,12,0)</f>
        <v>0</v>
      </c>
      <c r="E21" s="14"/>
      <c r="F21" s="11"/>
      <c r="G21" s="11"/>
      <c r="H21" s="11"/>
      <c r="I21" s="11"/>
      <c r="J21" s="11"/>
      <c r="K21" s="11"/>
      <c r="L21" s="9">
        <f t="shared" si="1"/>
        <v>0</v>
      </c>
      <c r="M21" s="9"/>
      <c r="N21" s="9">
        <f t="shared" ref="N21" si="2"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VLOOKUP($B22,'2407'!$B22:$M36,12,0)</f>
        <v>0</v>
      </c>
      <c r="E22" s="14"/>
      <c r="F22" s="11"/>
      <c r="G22" s="11"/>
      <c r="H22" s="11"/>
      <c r="I22" s="11"/>
      <c r="J22" s="11"/>
      <c r="K22" s="11"/>
      <c r="L22" s="9">
        <f t="shared" si="1"/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VLOOKUP($B23,'2407'!$B23:$M37,12,0)</f>
        <v>48</v>
      </c>
      <c r="E23" s="14"/>
      <c r="F23" s="9"/>
      <c r="G23" s="9"/>
      <c r="H23" s="9"/>
      <c r="I23" s="9"/>
      <c r="J23" s="9"/>
      <c r="K23" s="9"/>
      <c r="L23" s="9">
        <f t="shared" si="1"/>
        <v>48</v>
      </c>
      <c r="M23" s="9">
        <v>48</v>
      </c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VLOOKUP($B24,'2407'!$B24:$M38,12,0)</f>
        <v>0</v>
      </c>
      <c r="E24" s="9"/>
      <c r="F24" s="9"/>
      <c r="G24" s="9"/>
      <c r="H24" s="9"/>
      <c r="I24" s="9"/>
      <c r="J24" s="9"/>
      <c r="K24" s="9"/>
      <c r="L24" s="9">
        <f>D24+E24-SUM(F24:K24)</f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77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VLOOKUP($B26,'2407'!$B26:$M40,11,0)</f>
        <v>241</v>
      </c>
      <c r="E26" s="10">
        <v>147</v>
      </c>
      <c r="F26" s="9">
        <v>137</v>
      </c>
      <c r="G26" s="11"/>
      <c r="H26" s="9"/>
      <c r="I26" s="9"/>
      <c r="J26" s="9"/>
      <c r="K26" s="9"/>
      <c r="L26" s="9">
        <f t="shared" si="1"/>
        <v>251</v>
      </c>
      <c r="M26" s="9">
        <v>251</v>
      </c>
      <c r="N26" s="9">
        <f t="shared" ref="N26" si="3"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VLOOKUP($B27,'2407'!$B27:$M41,11,0)</f>
        <v>127</v>
      </c>
      <c r="E27" s="9">
        <v>39</v>
      </c>
      <c r="F27" s="9">
        <v>40</v>
      </c>
      <c r="G27" s="11"/>
      <c r="H27" s="9"/>
      <c r="I27" s="9"/>
      <c r="J27" s="9"/>
      <c r="K27" s="9"/>
      <c r="L27" s="9">
        <f t="shared" si="1"/>
        <v>126</v>
      </c>
      <c r="M27" s="9">
        <v>126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VLOOKUP($B28,'2407'!$B28:$M42,11,0)</f>
        <v>307</v>
      </c>
      <c r="E28" s="9">
        <v>138</v>
      </c>
      <c r="F28" s="9">
        <v>129</v>
      </c>
      <c r="G28" s="11"/>
      <c r="H28" s="9"/>
      <c r="I28" s="9"/>
      <c r="J28" s="9"/>
      <c r="K28" s="9"/>
      <c r="L28" s="9">
        <f t="shared" si="1"/>
        <v>316</v>
      </c>
      <c r="M28" s="9">
        <v>316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VLOOKUP($B29,'2407'!$B29:$M43,11,0)</f>
        <v>153</v>
      </c>
      <c r="E29" s="9">
        <v>32</v>
      </c>
      <c r="F29" s="9">
        <v>70</v>
      </c>
      <c r="G29" s="11"/>
      <c r="H29" s="9"/>
      <c r="I29" s="9"/>
      <c r="J29" s="9"/>
      <c r="K29" s="9"/>
      <c r="L29" s="9">
        <f t="shared" si="1"/>
        <v>115</v>
      </c>
      <c r="M29" s="9">
        <v>115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9">
        <f t="shared" si="1"/>
        <v>0</v>
      </c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I6"/>
    <mergeCell ref="L6:L7"/>
  </mergeCells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7" workbookViewId="0">
      <pane xSplit="1" topLeftCell="F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92" t="s">
        <v>1</v>
      </c>
      <c r="B5" s="292"/>
      <c r="C5" s="292"/>
      <c r="D5" s="4">
        <f>DATE(2015,7,25)</f>
        <v>42210</v>
      </c>
      <c r="E5" s="293">
        <f>D5+1</f>
        <v>42211</v>
      </c>
      <c r="F5" s="294"/>
      <c r="G5" s="294"/>
      <c r="H5" s="294"/>
      <c r="I5" s="294"/>
      <c r="J5" s="294"/>
      <c r="K5" s="294"/>
      <c r="L5" s="294"/>
      <c r="M5" s="294"/>
      <c r="N5" s="294"/>
    </row>
    <row r="6" spans="1:14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19"/>
      <c r="K6" s="119"/>
      <c r="L6" s="302" t="s">
        <v>8</v>
      </c>
      <c r="M6" s="289" t="s">
        <v>9</v>
      </c>
      <c r="N6" s="289" t="s">
        <v>10</v>
      </c>
    </row>
    <row r="7" spans="1:14">
      <c r="A7" s="295"/>
      <c r="B7" s="296"/>
      <c r="C7" s="298"/>
      <c r="D7" s="290"/>
      <c r="E7" s="290"/>
      <c r="F7" s="5" t="s">
        <v>11</v>
      </c>
      <c r="G7" s="5"/>
      <c r="H7" s="5"/>
      <c r="I7" s="5"/>
      <c r="J7" s="5"/>
      <c r="K7" s="5"/>
      <c r="L7" s="302"/>
      <c r="M7" s="290"/>
      <c r="N7" s="290"/>
    </row>
    <row r="8" spans="1:14" ht="18.75">
      <c r="A8" s="6">
        <v>1</v>
      </c>
      <c r="B8" s="7" t="s">
        <v>12</v>
      </c>
      <c r="C8" s="8" t="s">
        <v>13</v>
      </c>
      <c r="D8" s="9">
        <f>VLOOKUP($B8,'2507'!$B8:$M22,12,0)</f>
        <v>368</v>
      </c>
      <c r="E8" s="10"/>
      <c r="F8" s="11">
        <v>60</v>
      </c>
      <c r="G8" s="11"/>
      <c r="H8" s="11"/>
      <c r="I8" s="11"/>
      <c r="J8" s="11"/>
      <c r="K8" s="11"/>
      <c r="L8" s="9">
        <f>D8+E8-SUM(F8:K8)</f>
        <v>308</v>
      </c>
      <c r="M8" s="9">
        <f>250+58</f>
        <v>308</v>
      </c>
      <c r="N8" s="9">
        <f t="shared" ref="N8:N19" si="0">M8-L8</f>
        <v>0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VLOOKUP($B9,'2507'!$B9:$M23,12,0)</f>
        <v>30</v>
      </c>
      <c r="E9" s="14">
        <f>86+45+85</f>
        <v>216</v>
      </c>
      <c r="F9" s="11"/>
      <c r="G9" s="11"/>
      <c r="H9" s="11"/>
      <c r="I9" s="11"/>
      <c r="J9" s="11"/>
      <c r="K9" s="11"/>
      <c r="L9" s="9">
        <f t="shared" ref="L9:L30" si="1">D9+E9-SUM(F9:K9)</f>
        <v>246</v>
      </c>
      <c r="M9" s="9">
        <f>30+216</f>
        <v>246</v>
      </c>
      <c r="N9" s="9">
        <f t="shared" si="0"/>
        <v>0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VLOOKUP($B10,'2507'!$B10:$M24,12,0)</f>
        <v>582</v>
      </c>
      <c r="E10" s="10">
        <v>248</v>
      </c>
      <c r="F10" s="11">
        <f>68+672</f>
        <v>740</v>
      </c>
      <c r="G10" s="11"/>
      <c r="H10" s="11"/>
      <c r="I10" s="11"/>
      <c r="J10" s="11"/>
      <c r="K10" s="11"/>
      <c r="L10" s="9">
        <f t="shared" si="1"/>
        <v>90</v>
      </c>
      <c r="M10" s="9">
        <v>90</v>
      </c>
      <c r="N10" s="9">
        <f t="shared" si="0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VLOOKUP($B11,'2507'!$B11:$M25,12,0)</f>
        <v>0</v>
      </c>
      <c r="E11" s="10"/>
      <c r="F11" s="11"/>
      <c r="G11" s="11"/>
      <c r="H11" s="11"/>
      <c r="I11" s="11"/>
      <c r="J11" s="11"/>
      <c r="K11" s="11"/>
      <c r="L11" s="9">
        <f t="shared" si="1"/>
        <v>0</v>
      </c>
      <c r="M11" s="9"/>
      <c r="N11" s="9">
        <f t="shared" si="0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VLOOKUP($B12,'2507'!$B12:$M26,12,0)</f>
        <v>343</v>
      </c>
      <c r="E12" s="14">
        <v>127</v>
      </c>
      <c r="F12" s="11">
        <v>20</v>
      </c>
      <c r="G12" s="11"/>
      <c r="H12" s="11"/>
      <c r="I12" s="11"/>
      <c r="J12" s="11"/>
      <c r="K12" s="11"/>
      <c r="L12" s="9">
        <f t="shared" si="1"/>
        <v>450</v>
      </c>
      <c r="M12" s="9">
        <v>450</v>
      </c>
      <c r="N12" s="9">
        <f t="shared" si="0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VLOOKUP($B13,'2507'!$B13:$M27,12,0)</f>
        <v>168</v>
      </c>
      <c r="E13" s="14">
        <v>162</v>
      </c>
      <c r="F13" s="11">
        <v>20</v>
      </c>
      <c r="G13" s="11"/>
      <c r="H13" s="11"/>
      <c r="I13" s="11"/>
      <c r="J13" s="11"/>
      <c r="K13" s="11"/>
      <c r="L13" s="9">
        <f t="shared" si="1"/>
        <v>310</v>
      </c>
      <c r="M13" s="9">
        <v>310</v>
      </c>
      <c r="N13" s="9">
        <f t="shared" si="0"/>
        <v>0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VLOOKUP($B14,'2507'!$B14:$M28,12,0)</f>
        <v>0</v>
      </c>
      <c r="E14" s="14"/>
      <c r="F14" s="11"/>
      <c r="G14" s="11"/>
      <c r="H14" s="11"/>
      <c r="I14" s="11"/>
      <c r="J14" s="11"/>
      <c r="K14" s="11"/>
      <c r="L14" s="9">
        <f t="shared" si="1"/>
        <v>0</v>
      </c>
      <c r="M14" s="9"/>
      <c r="N14" s="9">
        <f t="shared" si="0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VLOOKUP($B15,'2507'!$B15:$M29,12,0)</f>
        <v>0</v>
      </c>
      <c r="E15" s="14"/>
      <c r="F15" s="11"/>
      <c r="G15" s="11"/>
      <c r="H15" s="11"/>
      <c r="I15" s="11"/>
      <c r="J15" s="11"/>
      <c r="K15" s="11"/>
      <c r="L15" s="9">
        <f t="shared" si="1"/>
        <v>0</v>
      </c>
      <c r="M15" s="9"/>
      <c r="N15" s="9">
        <f t="shared" si="0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VLOOKUP($B16,'2507'!$B16:$M30,12,0)</f>
        <v>4</v>
      </c>
      <c r="E16" s="14">
        <v>4</v>
      </c>
      <c r="F16" s="11">
        <v>1</v>
      </c>
      <c r="G16" s="11"/>
      <c r="H16" s="11"/>
      <c r="I16" s="11"/>
      <c r="J16" s="11"/>
      <c r="K16" s="11"/>
      <c r="L16" s="9">
        <f t="shared" si="1"/>
        <v>7</v>
      </c>
      <c r="M16" s="9">
        <v>7</v>
      </c>
      <c r="N16" s="9">
        <f t="shared" si="0"/>
        <v>0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VLOOKUP($B17,'2507'!$B17:$M31,12,0)</f>
        <v>0</v>
      </c>
      <c r="E17" s="14"/>
      <c r="F17" s="11"/>
      <c r="G17" s="11"/>
      <c r="H17" s="11"/>
      <c r="I17" s="11"/>
      <c r="J17" s="11"/>
      <c r="K17" s="11"/>
      <c r="L17" s="9">
        <f t="shared" si="1"/>
        <v>0</v>
      </c>
      <c r="M17" s="9"/>
      <c r="N17" s="9">
        <f t="shared" si="0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VLOOKUP($B18,'2507'!$B18:$M32,12,0)</f>
        <v>1</v>
      </c>
      <c r="E18" s="14"/>
      <c r="F18" s="11"/>
      <c r="G18" s="11"/>
      <c r="H18" s="11"/>
      <c r="I18" s="11"/>
      <c r="J18" s="11"/>
      <c r="K18" s="11"/>
      <c r="L18" s="9">
        <f t="shared" si="1"/>
        <v>1</v>
      </c>
      <c r="M18" s="9">
        <v>1</v>
      </c>
      <c r="N18" s="9">
        <f t="shared" si="0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VLOOKUP($B19,'2507'!$B19:$M33,12,0)</f>
        <v>1</v>
      </c>
      <c r="E19" s="14">
        <v>2</v>
      </c>
      <c r="F19" s="11"/>
      <c r="G19" s="11"/>
      <c r="H19" s="11"/>
      <c r="I19" s="11"/>
      <c r="J19" s="11"/>
      <c r="K19" s="11"/>
      <c r="L19" s="9">
        <f t="shared" si="1"/>
        <v>3</v>
      </c>
      <c r="M19" s="9">
        <v>3</v>
      </c>
      <c r="N19" s="9">
        <f t="shared" si="0"/>
        <v>0</v>
      </c>
    </row>
    <row r="20" spans="1:14" ht="18.75">
      <c r="A20" s="6">
        <v>13</v>
      </c>
      <c r="B20" s="20" t="s">
        <v>73</v>
      </c>
      <c r="C20" s="6" t="s">
        <v>17</v>
      </c>
      <c r="D20" s="9">
        <f>VLOOKUP($B20,'2507'!$B20:$M34,12,0)</f>
        <v>0</v>
      </c>
      <c r="E20" s="14"/>
      <c r="F20" s="11"/>
      <c r="G20" s="11"/>
      <c r="H20" s="11"/>
      <c r="I20" s="11"/>
      <c r="J20" s="11"/>
      <c r="K20" s="11"/>
      <c r="L20" s="9">
        <f t="shared" si="1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VLOOKUP($B21,'2507'!$B21:$M35,12,0)</f>
        <v>0</v>
      </c>
      <c r="E21" s="14"/>
      <c r="F21" s="11"/>
      <c r="G21" s="11"/>
      <c r="H21" s="11"/>
      <c r="I21" s="11"/>
      <c r="J21" s="11"/>
      <c r="K21" s="11"/>
      <c r="L21" s="9">
        <f t="shared" si="1"/>
        <v>0</v>
      </c>
      <c r="M21" s="9"/>
      <c r="N21" s="9">
        <f t="shared" ref="N21" si="2"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VLOOKUP($B22,'2507'!$B22:$M36,12,0)</f>
        <v>0</v>
      </c>
      <c r="E22" s="14"/>
      <c r="F22" s="11"/>
      <c r="G22" s="11"/>
      <c r="H22" s="11"/>
      <c r="I22" s="11"/>
      <c r="J22" s="11"/>
      <c r="K22" s="11"/>
      <c r="L22" s="9">
        <f t="shared" si="1"/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VLOOKUP($B23,'2507'!$B23:$M37,12,0)</f>
        <v>48</v>
      </c>
      <c r="E23" s="14">
        <v>32</v>
      </c>
      <c r="F23" s="9">
        <v>20</v>
      </c>
      <c r="G23" s="9"/>
      <c r="H23" s="9"/>
      <c r="I23" s="9"/>
      <c r="J23" s="9"/>
      <c r="K23" s="9"/>
      <c r="L23" s="9">
        <f t="shared" si="1"/>
        <v>60</v>
      </c>
      <c r="M23" s="9">
        <v>60</v>
      </c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VLOOKUP($B24,'2507'!$B24:$M38,12,0)</f>
        <v>0</v>
      </c>
      <c r="E24" s="9"/>
      <c r="F24" s="9"/>
      <c r="G24" s="9"/>
      <c r="H24" s="9"/>
      <c r="I24" s="9"/>
      <c r="J24" s="9"/>
      <c r="K24" s="9"/>
      <c r="L24" s="9">
        <f>D24+E24-SUM(F24:K24)</f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77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VLOOKUP($B26,'2507'!$B26:$M40,11,0)</f>
        <v>251</v>
      </c>
      <c r="E26" s="10">
        <v>76</v>
      </c>
      <c r="F26" s="9">
        <v>130</v>
      </c>
      <c r="G26" s="11"/>
      <c r="H26" s="9"/>
      <c r="I26" s="9"/>
      <c r="J26" s="9"/>
      <c r="K26" s="9"/>
      <c r="L26" s="9">
        <f t="shared" si="1"/>
        <v>197</v>
      </c>
      <c r="M26" s="9">
        <v>197</v>
      </c>
      <c r="N26" s="9">
        <f t="shared" ref="N26" si="3"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VLOOKUP($B27,'2507'!$B27:$M41,11,0)</f>
        <v>126</v>
      </c>
      <c r="E27" s="9"/>
      <c r="F27" s="9">
        <v>26</v>
      </c>
      <c r="G27" s="11"/>
      <c r="H27" s="9"/>
      <c r="I27" s="9"/>
      <c r="J27" s="9"/>
      <c r="K27" s="9"/>
      <c r="L27" s="9">
        <f t="shared" si="1"/>
        <v>100</v>
      </c>
      <c r="M27" s="9">
        <v>100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VLOOKUP($B28,'2507'!$B28:$M42,11,0)</f>
        <v>316</v>
      </c>
      <c r="E28" s="9">
        <v>140</v>
      </c>
      <c r="F28" s="9">
        <v>111</v>
      </c>
      <c r="G28" s="11"/>
      <c r="H28" s="9"/>
      <c r="I28" s="9"/>
      <c r="J28" s="9"/>
      <c r="K28" s="9"/>
      <c r="L28" s="9">
        <f t="shared" si="1"/>
        <v>345</v>
      </c>
      <c r="M28" s="9">
        <v>345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VLOOKUP($B29,'2507'!$B29:$M43,11,0)</f>
        <v>115</v>
      </c>
      <c r="E29" s="9">
        <v>71</v>
      </c>
      <c r="F29" s="9">
        <v>58</v>
      </c>
      <c r="G29" s="11"/>
      <c r="H29" s="9"/>
      <c r="I29" s="9"/>
      <c r="J29" s="9"/>
      <c r="K29" s="9"/>
      <c r="L29" s="9">
        <f t="shared" si="1"/>
        <v>128</v>
      </c>
      <c r="M29" s="9">
        <v>128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9">
        <f t="shared" si="1"/>
        <v>0</v>
      </c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I6"/>
    <mergeCell ref="L6:L7"/>
  </mergeCells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3" workbookViewId="0">
      <pane xSplit="1" topLeftCell="F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92" t="s">
        <v>1</v>
      </c>
      <c r="B5" s="292"/>
      <c r="C5" s="292"/>
      <c r="D5" s="4">
        <f>DATE(2015,7,26)</f>
        <v>42211</v>
      </c>
      <c r="E5" s="293">
        <f>D5+1</f>
        <v>42212</v>
      </c>
      <c r="F5" s="294"/>
      <c r="G5" s="294"/>
      <c r="H5" s="294"/>
      <c r="I5" s="294"/>
      <c r="J5" s="294"/>
      <c r="K5" s="294"/>
      <c r="L5" s="294"/>
      <c r="M5" s="294"/>
      <c r="N5" s="294"/>
    </row>
    <row r="6" spans="1:14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20"/>
      <c r="K6" s="120"/>
      <c r="L6" s="302" t="s">
        <v>8</v>
      </c>
      <c r="M6" s="289" t="s">
        <v>9</v>
      </c>
      <c r="N6" s="289" t="s">
        <v>10</v>
      </c>
    </row>
    <row r="7" spans="1:14">
      <c r="A7" s="295"/>
      <c r="B7" s="296"/>
      <c r="C7" s="298"/>
      <c r="D7" s="290"/>
      <c r="E7" s="290"/>
      <c r="F7" s="5" t="s">
        <v>11</v>
      </c>
      <c r="G7" s="5" t="s">
        <v>62</v>
      </c>
      <c r="H7" s="5" t="s">
        <v>39</v>
      </c>
      <c r="I7" s="5" t="s">
        <v>74</v>
      </c>
      <c r="J7" s="5"/>
      <c r="K7" s="5"/>
      <c r="L7" s="302"/>
      <c r="M7" s="290"/>
      <c r="N7" s="290"/>
    </row>
    <row r="8" spans="1:14" ht="18.75">
      <c r="A8" s="6">
        <v>1</v>
      </c>
      <c r="B8" s="7" t="s">
        <v>12</v>
      </c>
      <c r="C8" s="8" t="s">
        <v>13</v>
      </c>
      <c r="D8" s="9">
        <f>VLOOKUP($B8,'2607'!$B8:$M22,12,0)</f>
        <v>308</v>
      </c>
      <c r="E8" s="10">
        <f>108+113+62</f>
        <v>283</v>
      </c>
      <c r="F8" s="11">
        <v>80</v>
      </c>
      <c r="G8" s="11">
        <v>160</v>
      </c>
      <c r="H8" s="11"/>
      <c r="I8" s="11"/>
      <c r="J8" s="11"/>
      <c r="K8" s="11"/>
      <c r="L8" s="9">
        <f>D8+E8-SUM(F8:K8)</f>
        <v>351</v>
      </c>
      <c r="M8" s="9">
        <f>283+68</f>
        <v>351</v>
      </c>
      <c r="N8" s="9">
        <f t="shared" ref="N8:N19" si="0">M8-L8</f>
        <v>0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VLOOKUP($B9,'2607'!$B9:$M23,12,0)</f>
        <v>246</v>
      </c>
      <c r="E9" s="14"/>
      <c r="F9" s="11"/>
      <c r="G9" s="11">
        <v>82</v>
      </c>
      <c r="H9" s="11"/>
      <c r="I9" s="11"/>
      <c r="J9" s="11"/>
      <c r="K9" s="11"/>
      <c r="L9" s="9">
        <f t="shared" ref="L9:L30" si="1">D9+E9-SUM(F9:K9)</f>
        <v>164</v>
      </c>
      <c r="M9" s="9">
        <v>166</v>
      </c>
      <c r="N9" s="9">
        <f t="shared" si="0"/>
        <v>2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VLOOKUP($B10,'2607'!$B10:$M24,12,0)</f>
        <v>90</v>
      </c>
      <c r="E10" s="10">
        <v>118</v>
      </c>
      <c r="F10" s="11">
        <v>28</v>
      </c>
      <c r="G10" s="11">
        <v>130</v>
      </c>
      <c r="H10" s="11"/>
      <c r="I10" s="11"/>
      <c r="J10" s="11"/>
      <c r="K10" s="11"/>
      <c r="L10" s="9">
        <f t="shared" si="1"/>
        <v>50</v>
      </c>
      <c r="M10" s="9">
        <v>50</v>
      </c>
      <c r="N10" s="9">
        <f t="shared" si="0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VLOOKUP($B11,'2607'!$B11:$M25,12,0)</f>
        <v>0</v>
      </c>
      <c r="E11" s="10"/>
      <c r="F11" s="11"/>
      <c r="G11" s="11"/>
      <c r="H11" s="11"/>
      <c r="I11" s="11"/>
      <c r="J11" s="11"/>
      <c r="K11" s="11"/>
      <c r="L11" s="9">
        <f t="shared" si="1"/>
        <v>0</v>
      </c>
      <c r="M11" s="9"/>
      <c r="N11" s="9">
        <f t="shared" si="0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VLOOKUP($B12,'2607'!$B12:$M26,12,0)</f>
        <v>450</v>
      </c>
      <c r="E12" s="14">
        <v>133</v>
      </c>
      <c r="F12" s="11">
        <v>41</v>
      </c>
      <c r="G12" s="11">
        <v>120</v>
      </c>
      <c r="H12" s="11"/>
      <c r="I12" s="11"/>
      <c r="J12" s="11"/>
      <c r="K12" s="11"/>
      <c r="L12" s="9">
        <f t="shared" si="1"/>
        <v>422</v>
      </c>
      <c r="M12" s="9">
        <f>173+116+133</f>
        <v>422</v>
      </c>
      <c r="N12" s="9">
        <f t="shared" si="0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VLOOKUP($B13,'2607'!$B13:$M27,12,0)</f>
        <v>310</v>
      </c>
      <c r="E13" s="14">
        <v>155</v>
      </c>
      <c r="F13" s="11">
        <v>35</v>
      </c>
      <c r="G13" s="11">
        <v>140</v>
      </c>
      <c r="H13" s="11"/>
      <c r="I13" s="11"/>
      <c r="J13" s="11"/>
      <c r="K13" s="11"/>
      <c r="L13" s="9">
        <f t="shared" si="1"/>
        <v>290</v>
      </c>
      <c r="M13" s="9">
        <v>290</v>
      </c>
      <c r="N13" s="9">
        <f t="shared" si="0"/>
        <v>0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VLOOKUP($B14,'2607'!$B14:$M28,12,0)</f>
        <v>0</v>
      </c>
      <c r="E14" s="14"/>
      <c r="F14" s="11"/>
      <c r="G14" s="11"/>
      <c r="H14" s="11"/>
      <c r="I14" s="11"/>
      <c r="J14" s="11"/>
      <c r="K14" s="11"/>
      <c r="L14" s="9">
        <f t="shared" si="1"/>
        <v>0</v>
      </c>
      <c r="M14" s="9"/>
      <c r="N14" s="9">
        <f t="shared" si="0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VLOOKUP($B15,'2607'!$B15:$M29,12,0)</f>
        <v>0</v>
      </c>
      <c r="E15" s="14"/>
      <c r="F15" s="11"/>
      <c r="G15" s="11"/>
      <c r="H15" s="11"/>
      <c r="I15" s="11"/>
      <c r="J15" s="11"/>
      <c r="K15" s="11"/>
      <c r="L15" s="9">
        <f t="shared" si="1"/>
        <v>0</v>
      </c>
      <c r="M15" s="9"/>
      <c r="N15" s="9">
        <f t="shared" si="0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VLOOKUP($B16,'2607'!$B16:$M30,12,0)</f>
        <v>7</v>
      </c>
      <c r="E16" s="14">
        <v>6</v>
      </c>
      <c r="F16" s="11"/>
      <c r="G16" s="11">
        <v>4</v>
      </c>
      <c r="H16" s="11">
        <v>2</v>
      </c>
      <c r="I16" s="11"/>
      <c r="J16" s="11"/>
      <c r="K16" s="11"/>
      <c r="L16" s="9">
        <f t="shared" si="1"/>
        <v>7</v>
      </c>
      <c r="M16" s="9">
        <v>7</v>
      </c>
      <c r="N16" s="9">
        <f t="shared" si="0"/>
        <v>0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VLOOKUP($B17,'2607'!$B17:$M31,12,0)</f>
        <v>0</v>
      </c>
      <c r="E17" s="14"/>
      <c r="F17" s="11"/>
      <c r="G17" s="11"/>
      <c r="H17" s="11"/>
      <c r="I17" s="11"/>
      <c r="J17" s="11"/>
      <c r="K17" s="11"/>
      <c r="L17" s="9">
        <f t="shared" si="1"/>
        <v>0</v>
      </c>
      <c r="M17" s="9"/>
      <c r="N17" s="9">
        <f t="shared" si="0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VLOOKUP($B18,'2607'!$B18:$M32,12,0)</f>
        <v>1</v>
      </c>
      <c r="E18" s="14">
        <v>2</v>
      </c>
      <c r="F18" s="11"/>
      <c r="G18" s="11">
        <v>1</v>
      </c>
      <c r="H18" s="11"/>
      <c r="I18" s="11"/>
      <c r="J18" s="11"/>
      <c r="K18" s="11"/>
      <c r="L18" s="9">
        <f t="shared" si="1"/>
        <v>2</v>
      </c>
      <c r="M18" s="9">
        <v>2</v>
      </c>
      <c r="N18" s="9">
        <f t="shared" si="0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VLOOKUP($B19,'2607'!$B19:$M33,12,0)</f>
        <v>3</v>
      </c>
      <c r="E19" s="14"/>
      <c r="F19" s="11"/>
      <c r="G19" s="11">
        <v>2</v>
      </c>
      <c r="H19" s="11"/>
      <c r="I19" s="11"/>
      <c r="J19" s="11"/>
      <c r="K19" s="11"/>
      <c r="L19" s="9">
        <f t="shared" si="1"/>
        <v>1</v>
      </c>
      <c r="M19" s="9">
        <v>1</v>
      </c>
      <c r="N19" s="9">
        <f t="shared" si="0"/>
        <v>0</v>
      </c>
    </row>
    <row r="20" spans="1:14" ht="18.75">
      <c r="A20" s="6">
        <v>13</v>
      </c>
      <c r="B20" s="20" t="s">
        <v>73</v>
      </c>
      <c r="C20" s="6" t="s">
        <v>17</v>
      </c>
      <c r="D20" s="9">
        <f>VLOOKUP($B20,'2607'!$B20:$M34,12,0)</f>
        <v>0</v>
      </c>
      <c r="E20" s="14"/>
      <c r="F20" s="11"/>
      <c r="G20" s="11"/>
      <c r="H20" s="11"/>
      <c r="I20" s="11"/>
      <c r="J20" s="11"/>
      <c r="K20" s="11"/>
      <c r="L20" s="9">
        <f t="shared" si="1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VLOOKUP($B21,'2607'!$B21:$M35,12,0)</f>
        <v>0</v>
      </c>
      <c r="E21" s="14"/>
      <c r="F21" s="11"/>
      <c r="G21" s="11"/>
      <c r="H21" s="11"/>
      <c r="I21" s="11"/>
      <c r="J21" s="11"/>
      <c r="K21" s="11"/>
      <c r="L21" s="9">
        <f t="shared" si="1"/>
        <v>0</v>
      </c>
      <c r="M21" s="9"/>
      <c r="N21" s="9">
        <f t="shared" ref="N21" si="2"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VLOOKUP($B22,'2607'!$B22:$M36,12,0)</f>
        <v>0</v>
      </c>
      <c r="E22" s="14"/>
      <c r="F22" s="11"/>
      <c r="G22" s="11"/>
      <c r="H22" s="11"/>
      <c r="I22" s="11"/>
      <c r="J22" s="11"/>
      <c r="K22" s="11"/>
      <c r="L22" s="9">
        <f t="shared" si="1"/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VLOOKUP($B23,'2607'!$B23:$M37,12,0)</f>
        <v>60</v>
      </c>
      <c r="E23" s="14">
        <v>56</v>
      </c>
      <c r="F23" s="9">
        <v>20</v>
      </c>
      <c r="G23" s="9"/>
      <c r="H23" s="9"/>
      <c r="I23" s="9">
        <v>96</v>
      </c>
      <c r="J23" s="9"/>
      <c r="K23" s="9"/>
      <c r="L23" s="9">
        <f t="shared" si="1"/>
        <v>0</v>
      </c>
      <c r="M23" s="9"/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VLOOKUP($B24,'2607'!$B24:$M38,12,0)</f>
        <v>0</v>
      </c>
      <c r="E24" s="9"/>
      <c r="F24" s="9"/>
      <c r="G24" s="9"/>
      <c r="H24" s="9"/>
      <c r="I24" s="9"/>
      <c r="J24" s="9"/>
      <c r="K24" s="9"/>
      <c r="L24" s="9">
        <f>D24+E24-SUM(F24:K24)</f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77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VLOOKUP($B26,'2607'!$B26:$M40,11,0)</f>
        <v>197</v>
      </c>
      <c r="E26" s="10">
        <v>125</v>
      </c>
      <c r="F26" s="9">
        <v>115</v>
      </c>
      <c r="G26" s="11"/>
      <c r="H26" s="9"/>
      <c r="I26" s="9"/>
      <c r="J26" s="9"/>
      <c r="K26" s="9"/>
      <c r="L26" s="9">
        <f t="shared" si="1"/>
        <v>207</v>
      </c>
      <c r="M26" s="9">
        <v>207</v>
      </c>
      <c r="N26" s="9">
        <f t="shared" ref="N26" si="3"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VLOOKUP($B27,'2607'!$B27:$M41,11,0)</f>
        <v>100</v>
      </c>
      <c r="E27" s="9">
        <v>40</v>
      </c>
      <c r="F27" s="9">
        <v>45</v>
      </c>
      <c r="G27" s="11"/>
      <c r="H27" s="9"/>
      <c r="I27" s="9"/>
      <c r="J27" s="9"/>
      <c r="K27" s="9"/>
      <c r="L27" s="9">
        <f t="shared" si="1"/>
        <v>95</v>
      </c>
      <c r="M27" s="9">
        <v>95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VLOOKUP($B28,'2607'!$B28:$M42,11,0)</f>
        <v>345</v>
      </c>
      <c r="E28" s="9">
        <v>140</v>
      </c>
      <c r="F28" s="9">
        <v>111</v>
      </c>
      <c r="G28" s="11"/>
      <c r="H28" s="9"/>
      <c r="I28" s="9"/>
      <c r="J28" s="9"/>
      <c r="K28" s="9"/>
      <c r="L28" s="9">
        <f t="shared" si="1"/>
        <v>374</v>
      </c>
      <c r="M28" s="9">
        <v>374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VLOOKUP($B29,'2607'!$B29:$M43,11,0)</f>
        <v>128</v>
      </c>
      <c r="E29" s="9">
        <v>29</v>
      </c>
      <c r="F29" s="9">
        <v>44</v>
      </c>
      <c r="G29" s="11"/>
      <c r="H29" s="9"/>
      <c r="I29" s="9"/>
      <c r="J29" s="9"/>
      <c r="K29" s="9"/>
      <c r="L29" s="9">
        <f t="shared" si="1"/>
        <v>113</v>
      </c>
      <c r="M29" s="9">
        <v>113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9">
        <f t="shared" si="1"/>
        <v>0</v>
      </c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I6"/>
    <mergeCell ref="L6:L7"/>
  </mergeCells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7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92" t="s">
        <v>1</v>
      </c>
      <c r="B5" s="292"/>
      <c r="C5" s="292"/>
      <c r="D5" s="4">
        <f>DATE(2015,7,27)</f>
        <v>42212</v>
      </c>
      <c r="E5" s="293">
        <f>D5+1</f>
        <v>42213</v>
      </c>
      <c r="F5" s="294"/>
      <c r="G5" s="294"/>
      <c r="H5" s="294"/>
      <c r="I5" s="294"/>
      <c r="J5" s="294"/>
      <c r="K5" s="294"/>
      <c r="L5" s="294"/>
      <c r="M5" s="294"/>
      <c r="N5" s="294"/>
    </row>
    <row r="6" spans="1:14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21"/>
      <c r="K6" s="121"/>
      <c r="L6" s="302" t="s">
        <v>8</v>
      </c>
      <c r="M6" s="289" t="s">
        <v>9</v>
      </c>
      <c r="N6" s="289" t="s">
        <v>10</v>
      </c>
    </row>
    <row r="7" spans="1:14">
      <c r="A7" s="295"/>
      <c r="B7" s="296"/>
      <c r="C7" s="298"/>
      <c r="D7" s="290"/>
      <c r="E7" s="290"/>
      <c r="F7" s="5" t="s">
        <v>11</v>
      </c>
      <c r="G7" s="5" t="s">
        <v>54</v>
      </c>
      <c r="H7" s="5"/>
      <c r="I7" s="5"/>
      <c r="J7" s="5"/>
      <c r="K7" s="5"/>
      <c r="L7" s="302"/>
      <c r="M7" s="290"/>
      <c r="N7" s="290"/>
    </row>
    <row r="8" spans="1:14" ht="18.75">
      <c r="A8" s="6">
        <v>1</v>
      </c>
      <c r="B8" s="7" t="s">
        <v>12</v>
      </c>
      <c r="C8" s="8" t="s">
        <v>13</v>
      </c>
      <c r="D8" s="9">
        <f>VLOOKUP($B8,'2707'!$B8:$M22,12,0)</f>
        <v>351</v>
      </c>
      <c r="E8" s="10">
        <f>82+98+114</f>
        <v>294</v>
      </c>
      <c r="F8" s="11">
        <v>57</v>
      </c>
      <c r="G8" s="11"/>
      <c r="H8" s="11"/>
      <c r="I8" s="11"/>
      <c r="J8" s="11"/>
      <c r="K8" s="11"/>
      <c r="L8" s="9">
        <f>D8+E8-SUM(F8:K8)</f>
        <v>588</v>
      </c>
      <c r="M8" s="9">
        <f>103+120+294+71</f>
        <v>588</v>
      </c>
      <c r="N8" s="9">
        <f t="shared" ref="N8:N19" si="0">M8-L8</f>
        <v>0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VLOOKUP($B9,'2707'!$B9:$M23,12,0)</f>
        <v>166</v>
      </c>
      <c r="E9" s="14">
        <f>34+86</f>
        <v>120</v>
      </c>
      <c r="F9" s="11"/>
      <c r="G9" s="11"/>
      <c r="H9" s="11"/>
      <c r="I9" s="11"/>
      <c r="J9" s="11"/>
      <c r="K9" s="11"/>
      <c r="L9" s="9">
        <f t="shared" ref="L9:L30" si="1">D9+E9-SUM(F9:K9)</f>
        <v>286</v>
      </c>
      <c r="M9" s="9">
        <f>120+46+120</f>
        <v>286</v>
      </c>
      <c r="N9" s="9">
        <f t="shared" si="0"/>
        <v>0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VLOOKUP($B10,'2707'!$B10:$M24,12,0)</f>
        <v>50</v>
      </c>
      <c r="E10" s="10">
        <v>168</v>
      </c>
      <c r="F10" s="11">
        <v>20</v>
      </c>
      <c r="G10" s="11">
        <v>30</v>
      </c>
      <c r="H10" s="11"/>
      <c r="I10" s="11"/>
      <c r="J10" s="11"/>
      <c r="K10" s="11"/>
      <c r="L10" s="9">
        <f t="shared" si="1"/>
        <v>168</v>
      </c>
      <c r="M10" s="9">
        <f>168</f>
        <v>168</v>
      </c>
      <c r="N10" s="9">
        <f t="shared" si="0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VLOOKUP($B11,'2707'!$B11:$M25,12,0)</f>
        <v>0</v>
      </c>
      <c r="E11" s="10"/>
      <c r="F11" s="11"/>
      <c r="G11" s="11"/>
      <c r="H11" s="11"/>
      <c r="I11" s="11"/>
      <c r="J11" s="11"/>
      <c r="K11" s="11"/>
      <c r="L11" s="9">
        <f t="shared" si="1"/>
        <v>0</v>
      </c>
      <c r="M11" s="9"/>
      <c r="N11" s="9">
        <f t="shared" si="0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VLOOKUP($B12,'2707'!$B12:$M26,12,0)</f>
        <v>422</v>
      </c>
      <c r="E12" s="14">
        <v>172</v>
      </c>
      <c r="F12" s="11">
        <v>26</v>
      </c>
      <c r="G12" s="11">
        <v>40</v>
      </c>
      <c r="H12" s="11"/>
      <c r="I12" s="11"/>
      <c r="J12" s="11"/>
      <c r="K12" s="11"/>
      <c r="L12" s="9">
        <f t="shared" si="1"/>
        <v>528</v>
      </c>
      <c r="M12" s="9">
        <f>103+120+133+172</f>
        <v>528</v>
      </c>
      <c r="N12" s="9">
        <f t="shared" si="0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VLOOKUP($B13,'2707'!$B13:$M27,12,0)</f>
        <v>290</v>
      </c>
      <c r="E13" s="14">
        <v>150</v>
      </c>
      <c r="F13" s="11">
        <v>23</v>
      </c>
      <c r="G13" s="11">
        <v>50</v>
      </c>
      <c r="H13" s="11"/>
      <c r="I13" s="11"/>
      <c r="J13" s="11"/>
      <c r="K13" s="11"/>
      <c r="L13" s="9">
        <f t="shared" si="1"/>
        <v>367</v>
      </c>
      <c r="M13" s="9">
        <f>92+125+150</f>
        <v>367</v>
      </c>
      <c r="N13" s="9">
        <f t="shared" si="0"/>
        <v>0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VLOOKUP($B14,'2707'!$B14:$M28,12,0)</f>
        <v>0</v>
      </c>
      <c r="E14" s="14"/>
      <c r="F14" s="11"/>
      <c r="G14" s="11"/>
      <c r="H14" s="11"/>
      <c r="I14" s="11"/>
      <c r="J14" s="11"/>
      <c r="K14" s="11"/>
      <c r="L14" s="9">
        <f t="shared" si="1"/>
        <v>0</v>
      </c>
      <c r="M14" s="9"/>
      <c r="N14" s="9">
        <f t="shared" si="0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VLOOKUP($B15,'2707'!$B15:$M29,12,0)</f>
        <v>0</v>
      </c>
      <c r="E15" s="14"/>
      <c r="F15" s="11"/>
      <c r="G15" s="11"/>
      <c r="H15" s="11"/>
      <c r="I15" s="11"/>
      <c r="J15" s="11"/>
      <c r="K15" s="11"/>
      <c r="L15" s="9">
        <f t="shared" si="1"/>
        <v>0</v>
      </c>
      <c r="M15" s="9"/>
      <c r="N15" s="9">
        <f t="shared" si="0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VLOOKUP($B16,'2707'!$B16:$M30,12,0)</f>
        <v>7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9">
        <f t="shared" si="1"/>
        <v>9</v>
      </c>
      <c r="M16" s="9">
        <v>9</v>
      </c>
      <c r="N16" s="9">
        <f t="shared" si="0"/>
        <v>0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VLOOKUP($B17,'2707'!$B17:$M31,12,0)</f>
        <v>0</v>
      </c>
      <c r="E17" s="14"/>
      <c r="F17" s="11"/>
      <c r="G17" s="11"/>
      <c r="H17" s="11"/>
      <c r="I17" s="11"/>
      <c r="J17" s="11"/>
      <c r="K17" s="11"/>
      <c r="L17" s="9">
        <f t="shared" si="1"/>
        <v>0</v>
      </c>
      <c r="M17" s="9"/>
      <c r="N17" s="9">
        <f t="shared" si="0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VLOOKUP($B18,'2707'!$B18:$M32,12,0)</f>
        <v>2</v>
      </c>
      <c r="E18" s="14"/>
      <c r="F18" s="11"/>
      <c r="G18" s="11"/>
      <c r="H18" s="11"/>
      <c r="I18" s="11"/>
      <c r="J18" s="11"/>
      <c r="K18" s="11"/>
      <c r="L18" s="9">
        <f t="shared" si="1"/>
        <v>2</v>
      </c>
      <c r="M18" s="9">
        <v>2</v>
      </c>
      <c r="N18" s="9">
        <f t="shared" si="0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VLOOKUP($B19,'2707'!$B19:$M33,12,0)</f>
        <v>1</v>
      </c>
      <c r="E19" s="14"/>
      <c r="F19" s="11"/>
      <c r="G19" s="11"/>
      <c r="H19" s="11"/>
      <c r="I19" s="11"/>
      <c r="J19" s="11"/>
      <c r="K19" s="11"/>
      <c r="L19" s="9">
        <f t="shared" si="1"/>
        <v>1</v>
      </c>
      <c r="M19" s="9">
        <v>1</v>
      </c>
      <c r="N19" s="9">
        <f t="shared" si="0"/>
        <v>0</v>
      </c>
    </row>
    <row r="20" spans="1:14" ht="18.75">
      <c r="A20" s="6">
        <v>13</v>
      </c>
      <c r="B20" s="20" t="s">
        <v>73</v>
      </c>
      <c r="C20" s="6" t="s">
        <v>17</v>
      </c>
      <c r="D20" s="9">
        <f>VLOOKUP($B20,'2707'!$B20:$M34,12,0)</f>
        <v>0</v>
      </c>
      <c r="E20" s="14"/>
      <c r="F20" s="11"/>
      <c r="G20" s="11"/>
      <c r="H20" s="11"/>
      <c r="I20" s="11"/>
      <c r="J20" s="11"/>
      <c r="K20" s="11"/>
      <c r="L20" s="9">
        <f t="shared" si="1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VLOOKUP($B21,'2707'!$B21:$M35,12,0)</f>
        <v>0</v>
      </c>
      <c r="E21" s="14"/>
      <c r="F21" s="11"/>
      <c r="G21" s="11"/>
      <c r="H21" s="11"/>
      <c r="I21" s="11"/>
      <c r="J21" s="11"/>
      <c r="K21" s="11"/>
      <c r="L21" s="9">
        <f t="shared" si="1"/>
        <v>0</v>
      </c>
      <c r="M21" s="9"/>
      <c r="N21" s="9">
        <f t="shared" ref="N21" si="2"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VLOOKUP($B22,'2707'!$B22:$M36,12,0)</f>
        <v>0</v>
      </c>
      <c r="E22" s="14"/>
      <c r="F22" s="11"/>
      <c r="G22" s="11"/>
      <c r="H22" s="11"/>
      <c r="I22" s="11"/>
      <c r="J22" s="11"/>
      <c r="K22" s="11"/>
      <c r="L22" s="9">
        <f t="shared" si="1"/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VLOOKUP($B23,'2707'!$B23:$M37,12,0)</f>
        <v>0</v>
      </c>
      <c r="E23" s="14">
        <v>80</v>
      </c>
      <c r="F23" s="9"/>
      <c r="G23" s="9"/>
      <c r="H23" s="9"/>
      <c r="I23" s="9"/>
      <c r="J23" s="9"/>
      <c r="K23" s="9"/>
      <c r="L23" s="9">
        <f t="shared" si="1"/>
        <v>80</v>
      </c>
      <c r="M23" s="9">
        <v>80</v>
      </c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VLOOKUP($B24,'2707'!$B24:$M38,12,0)</f>
        <v>0</v>
      </c>
      <c r="E24" s="9"/>
      <c r="F24" s="9"/>
      <c r="G24" s="9"/>
      <c r="H24" s="9"/>
      <c r="I24" s="9"/>
      <c r="J24" s="9"/>
      <c r="K24" s="9"/>
      <c r="L24" s="9">
        <f>D24+E24-SUM(F24:K24)</f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77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VLOOKUP($B26,'2707'!$B26:$M40,11,0)</f>
        <v>207</v>
      </c>
      <c r="E26" s="10">
        <v>137</v>
      </c>
      <c r="F26" s="9">
        <v>125</v>
      </c>
      <c r="G26" s="11"/>
      <c r="H26" s="9"/>
      <c r="I26" s="9"/>
      <c r="J26" s="9"/>
      <c r="K26" s="9"/>
      <c r="L26" s="9">
        <f t="shared" si="1"/>
        <v>219</v>
      </c>
      <c r="M26" s="9">
        <v>219</v>
      </c>
      <c r="N26" s="9">
        <f t="shared" ref="N26" si="3"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VLOOKUP($B27,'2707'!$B27:$M41,11,0)</f>
        <v>95</v>
      </c>
      <c r="E27" s="9">
        <v>52</v>
      </c>
      <c r="F27" s="9">
        <v>15</v>
      </c>
      <c r="G27" s="11"/>
      <c r="H27" s="9"/>
      <c r="I27" s="9"/>
      <c r="J27" s="9"/>
      <c r="K27" s="9"/>
      <c r="L27" s="9">
        <f t="shared" si="1"/>
        <v>132</v>
      </c>
      <c r="M27" s="9">
        <v>132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VLOOKUP($B28,'2707'!$B28:$M42,11,0)</f>
        <v>374</v>
      </c>
      <c r="E28" s="9">
        <v>140</v>
      </c>
      <c r="F28" s="9">
        <v>147</v>
      </c>
      <c r="G28" s="11"/>
      <c r="H28" s="9"/>
      <c r="I28" s="9"/>
      <c r="J28" s="9"/>
      <c r="K28" s="9"/>
      <c r="L28" s="9">
        <f t="shared" si="1"/>
        <v>367</v>
      </c>
      <c r="M28" s="9">
        <v>367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VLOOKUP($B29,'2707'!$B29:$M43,11,0)</f>
        <v>113</v>
      </c>
      <c r="E29" s="9">
        <v>76</v>
      </c>
      <c r="F29" s="9">
        <v>56</v>
      </c>
      <c r="G29" s="11"/>
      <c r="H29" s="9"/>
      <c r="I29" s="9"/>
      <c r="J29" s="9"/>
      <c r="K29" s="9"/>
      <c r="L29" s="9">
        <f t="shared" si="1"/>
        <v>133</v>
      </c>
      <c r="M29" s="9">
        <v>133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9">
        <f t="shared" si="1"/>
        <v>0</v>
      </c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I6"/>
    <mergeCell ref="L6:L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7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DATE(2015,4,11)</f>
        <v>42105</v>
      </c>
      <c r="E5" s="293">
        <f>D5+1</f>
        <v>42106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34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43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VLOOKUP($B8,'1104'!$B8:$K22,10,0)</f>
        <v>198</v>
      </c>
      <c r="E8" s="10">
        <v>81</v>
      </c>
      <c r="F8" s="11">
        <v>82</v>
      </c>
      <c r="G8" s="11"/>
      <c r="H8" s="11"/>
      <c r="I8" s="11"/>
      <c r="J8" s="11"/>
      <c r="K8" s="9">
        <f>D8+E8-SUM(F8:J8)</f>
        <v>197</v>
      </c>
      <c r="L8" s="9">
        <f>66+81+50</f>
        <v>197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VLOOKUP($B9,'1104'!$B9:$K23,10,0)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VLOOKUP($B10,'1104'!$B10:$K24,10,0)</f>
        <v>0</v>
      </c>
      <c r="E10" s="10">
        <v>126</v>
      </c>
      <c r="F10" s="11"/>
      <c r="G10" s="11"/>
      <c r="H10" s="11"/>
      <c r="I10" s="11"/>
      <c r="J10" s="11"/>
      <c r="K10" s="9">
        <f t="shared" si="1"/>
        <v>126</v>
      </c>
      <c r="L10" s="9">
        <v>126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VLOOKUP($B11,'1104'!$B11:$K25,10,0)</f>
        <v>78</v>
      </c>
      <c r="E11" s="10"/>
      <c r="F11" s="11"/>
      <c r="G11" s="11"/>
      <c r="H11" s="11"/>
      <c r="I11" s="11"/>
      <c r="J11" s="11"/>
      <c r="K11" s="9">
        <f t="shared" si="1"/>
        <v>78</v>
      </c>
      <c r="L11" s="9">
        <v>78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VLOOKUP($B12,'1104'!$B12:$K26,10,0)</f>
        <v>84</v>
      </c>
      <c r="E12" s="14">
        <v>81</v>
      </c>
      <c r="F12" s="11">
        <v>20</v>
      </c>
      <c r="G12" s="11"/>
      <c r="H12" s="11"/>
      <c r="I12" s="11"/>
      <c r="J12" s="11"/>
      <c r="K12" s="9">
        <f t="shared" si="1"/>
        <v>145</v>
      </c>
      <c r="L12" s="9">
        <f>61+84</f>
        <v>145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VLOOKUP($B13,'1104'!$B13:$K27,10,0)</f>
        <v>27</v>
      </c>
      <c r="E13" s="14">
        <v>49</v>
      </c>
      <c r="F13" s="11"/>
      <c r="G13" s="11"/>
      <c r="H13" s="11"/>
      <c r="I13" s="11"/>
      <c r="J13" s="11"/>
      <c r="K13" s="9">
        <f t="shared" si="1"/>
        <v>76</v>
      </c>
      <c r="L13" s="9">
        <v>76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VLOOKUP($B14,'1104'!$B14:$K28,10,0)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VLOOKUP($B15,'1104'!$B15:$K29,10,0)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VLOOKUP($B16,'1104'!$B16:$K30,10,0)</f>
        <v>4</v>
      </c>
      <c r="E16" s="14"/>
      <c r="F16" s="11"/>
      <c r="G16" s="11"/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VLOOKUP($B17,'1104'!$B17:$K31,10,0)</f>
        <v>3</v>
      </c>
      <c r="E17" s="14"/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VLOOKUP($B18,'1104'!$B18:$K32,10,0)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VLOOKUP($B19,'1104'!$B19:$K33,10,0)</f>
        <v>0</v>
      </c>
      <c r="E19" s="14">
        <v>1</v>
      </c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VLOOKUP($B20,'1104'!$B20:$K34,10,0)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VLOOKUP($B21,'1104'!$B21:$K35,10,0)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VLOOKUP($B22,'1104'!$B22:$K36,10,0)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VLOOKUP($B24,'1104'!$B24:$K38,10,0)</f>
        <v>396</v>
      </c>
      <c r="E24" s="9">
        <f t="shared" ref="E24:L24" si="3">SUM(E8:E22)</f>
        <v>338</v>
      </c>
      <c r="F24" s="9"/>
      <c r="G24" s="9"/>
      <c r="H24" s="9"/>
      <c r="I24" s="9">
        <f t="shared" si="3"/>
        <v>0</v>
      </c>
      <c r="J24" s="9"/>
      <c r="K24" s="9">
        <f t="shared" si="3"/>
        <v>632</v>
      </c>
      <c r="L24" s="9">
        <f t="shared" si="3"/>
        <v>632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VLOOKUP($B26,'1104'!$B26:$K29,10,0)</f>
        <v>245</v>
      </c>
      <c r="E26" s="10">
        <v>73</v>
      </c>
      <c r="F26" s="9">
        <v>149</v>
      </c>
      <c r="G26" s="11"/>
      <c r="H26" s="9"/>
      <c r="I26" s="9"/>
      <c r="J26" s="9"/>
      <c r="K26" s="9">
        <f t="shared" ref="K26" si="4">D26+E26-F26</f>
        <v>169</v>
      </c>
      <c r="L26" s="9">
        <v>169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VLOOKUP($B27,'1104'!$B27:$K30,10,0)</f>
        <v>109</v>
      </c>
      <c r="E27" s="9"/>
      <c r="F27" s="9">
        <v>30</v>
      </c>
      <c r="G27" s="11"/>
      <c r="H27" s="9"/>
      <c r="I27" s="9"/>
      <c r="J27" s="9"/>
      <c r="K27" s="9">
        <f>D27+E27-F27</f>
        <v>79</v>
      </c>
      <c r="L27" s="9">
        <v>79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VLOOKUP($B28,'1104'!$B28:$K31,10,0)</f>
        <v>349</v>
      </c>
      <c r="E28" s="9">
        <v>154</v>
      </c>
      <c r="F28" s="9">
        <v>187</v>
      </c>
      <c r="G28" s="11"/>
      <c r="H28" s="9"/>
      <c r="I28" s="9"/>
      <c r="J28" s="9"/>
      <c r="K28" s="9">
        <f>D28+E28-F28</f>
        <v>316</v>
      </c>
      <c r="L28" s="9">
        <v>316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VLOOKUP($B29,'1104'!$B29:$K32,10,0)</f>
        <v>82</v>
      </c>
      <c r="E29" s="9">
        <v>30</v>
      </c>
      <c r="F29" s="9">
        <v>48</v>
      </c>
      <c r="G29" s="11"/>
      <c r="H29" s="9"/>
      <c r="I29" s="9"/>
      <c r="J29" s="9"/>
      <c r="K29" s="9">
        <f>D29+E29-F29</f>
        <v>64</v>
      </c>
      <c r="L29" s="9">
        <v>64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DATE(2015,7,28)</f>
        <v>42213</v>
      </c>
      <c r="E5" s="293">
        <f>D5+1</f>
        <v>42214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22"/>
      <c r="M6" s="122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39</v>
      </c>
      <c r="H7" s="5" t="s">
        <v>40</v>
      </c>
      <c r="I7" s="5" t="s">
        <v>52</v>
      </c>
      <c r="J7" s="5" t="s">
        <v>51</v>
      </c>
      <c r="K7" s="5" t="s">
        <v>49</v>
      </c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VLOOKUP($B8,'2807'!$B8:$M22,12,0)</f>
        <v>588</v>
      </c>
      <c r="E8" s="10">
        <f>106+106</f>
        <v>212</v>
      </c>
      <c r="F8" s="11">
        <v>80</v>
      </c>
      <c r="G8" s="11">
        <v>60</v>
      </c>
      <c r="H8" s="11"/>
      <c r="I8" s="11">
        <v>200</v>
      </c>
      <c r="J8" s="11">
        <v>100</v>
      </c>
      <c r="K8" s="11">
        <v>168</v>
      </c>
      <c r="L8" s="11"/>
      <c r="M8" s="11"/>
      <c r="N8" s="9">
        <f>D8+E8-SUM(F8:M8)</f>
        <v>192</v>
      </c>
      <c r="O8" s="9">
        <v>192</v>
      </c>
      <c r="P8" s="9">
        <f t="shared" ref="P8:P19" si="0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VLOOKUP($B9,'2807'!$B9:$M23,12,0)</f>
        <v>286</v>
      </c>
      <c r="E9" s="14"/>
      <c r="F9" s="11"/>
      <c r="G9" s="11">
        <v>100</v>
      </c>
      <c r="H9" s="11">
        <v>20</v>
      </c>
      <c r="I9" s="11"/>
      <c r="J9" s="11"/>
      <c r="K9" s="11">
        <v>100</v>
      </c>
      <c r="L9" s="11"/>
      <c r="M9" s="11"/>
      <c r="N9" s="9">
        <f t="shared" ref="N9:N30" si="1">D9+E9-SUM(F9:M9)</f>
        <v>66</v>
      </c>
      <c r="O9" s="9">
        <v>66</v>
      </c>
      <c r="P9" s="9">
        <f t="shared" si="0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VLOOKUP($B10,'2807'!$B10:$M24,12,0)</f>
        <v>168</v>
      </c>
      <c r="E10" s="10">
        <v>162</v>
      </c>
      <c r="F10" s="11">
        <v>50</v>
      </c>
      <c r="G10" s="11"/>
      <c r="H10" s="11">
        <v>20</v>
      </c>
      <c r="I10" s="11">
        <v>100</v>
      </c>
      <c r="J10" s="11">
        <v>50</v>
      </c>
      <c r="K10" s="11">
        <v>18</v>
      </c>
      <c r="L10" s="11"/>
      <c r="M10" s="11"/>
      <c r="N10" s="9">
        <f t="shared" si="1"/>
        <v>92</v>
      </c>
      <c r="O10" s="9">
        <v>92</v>
      </c>
      <c r="P10" s="9">
        <f t="shared" si="0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VLOOKUP($B11,'2807'!$B11:$M25,12,0)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1"/>
        <v>0</v>
      </c>
      <c r="O11" s="9"/>
      <c r="P11" s="9">
        <f t="shared" si="0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VLOOKUP($B12,'2807'!$B12:$M26,12,0)</f>
        <v>528</v>
      </c>
      <c r="E12" s="14">
        <v>194</v>
      </c>
      <c r="F12" s="11">
        <v>50</v>
      </c>
      <c r="G12" s="11">
        <v>22</v>
      </c>
      <c r="H12" s="11">
        <v>70</v>
      </c>
      <c r="I12" s="11">
        <v>205</v>
      </c>
      <c r="J12" s="11">
        <v>50</v>
      </c>
      <c r="K12" s="11">
        <v>183</v>
      </c>
      <c r="L12" s="11"/>
      <c r="M12" s="11"/>
      <c r="N12" s="9">
        <f t="shared" si="1"/>
        <v>142</v>
      </c>
      <c r="O12" s="9">
        <v>142</v>
      </c>
      <c r="P12" s="9">
        <f t="shared" si="0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VLOOKUP($B13,'2807'!$B13:$M27,12,0)</f>
        <v>367</v>
      </c>
      <c r="E13" s="14">
        <v>160</v>
      </c>
      <c r="F13" s="11">
        <v>30</v>
      </c>
      <c r="G13" s="11">
        <v>60</v>
      </c>
      <c r="H13" s="11"/>
      <c r="I13" s="11">
        <v>102</v>
      </c>
      <c r="J13" s="11"/>
      <c r="K13" s="11">
        <v>205</v>
      </c>
      <c r="L13" s="11"/>
      <c r="M13" s="11"/>
      <c r="N13" s="9">
        <f t="shared" si="1"/>
        <v>130</v>
      </c>
      <c r="O13" s="9">
        <v>130</v>
      </c>
      <c r="P13" s="9">
        <f t="shared" si="0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VLOOKUP($B14,'2807'!$B14:$M28,12,0)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1"/>
        <v>0</v>
      </c>
      <c r="O14" s="9"/>
      <c r="P14" s="9">
        <f t="shared" si="0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VLOOKUP($B15,'2807'!$B15:$M29,12,0)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1"/>
        <v>0</v>
      </c>
      <c r="O15" s="9"/>
      <c r="P15" s="9">
        <f t="shared" si="0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VLOOKUP($B16,'2807'!$B16:$M30,12,0)</f>
        <v>9</v>
      </c>
      <c r="E16" s="14">
        <v>5</v>
      </c>
      <c r="F16" s="11">
        <v>1</v>
      </c>
      <c r="G16" s="11"/>
      <c r="H16" s="11">
        <v>2</v>
      </c>
      <c r="I16" s="11">
        <v>2</v>
      </c>
      <c r="J16" s="11"/>
      <c r="K16" s="11">
        <v>3</v>
      </c>
      <c r="L16" s="11"/>
      <c r="M16" s="11"/>
      <c r="N16" s="9">
        <f t="shared" si="1"/>
        <v>6</v>
      </c>
      <c r="O16" s="9">
        <v>6</v>
      </c>
      <c r="P16" s="9">
        <f t="shared" si="0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VLOOKUP($B17,'2807'!$B17:$M31,12,0)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1"/>
        <v>0</v>
      </c>
      <c r="O17" s="9"/>
      <c r="P17" s="9">
        <f t="shared" si="0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VLOOKUP($B18,'2807'!$B18:$M32,12,0)</f>
        <v>2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1"/>
        <v>1</v>
      </c>
      <c r="O18" s="9">
        <v>1</v>
      </c>
      <c r="P18" s="9">
        <f t="shared" si="0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VLOOKUP($B19,'2807'!$B19:$M33,12,0)</f>
        <v>1</v>
      </c>
      <c r="E19" s="14">
        <v>2</v>
      </c>
      <c r="F19" s="11"/>
      <c r="G19" s="11"/>
      <c r="H19" s="11"/>
      <c r="I19" s="11"/>
      <c r="J19" s="11"/>
      <c r="K19" s="11">
        <v>1</v>
      </c>
      <c r="L19" s="11"/>
      <c r="M19" s="11"/>
      <c r="N19" s="9">
        <f t="shared" si="1"/>
        <v>2</v>
      </c>
      <c r="O19" s="9">
        <v>2</v>
      </c>
      <c r="P19" s="9">
        <f t="shared" si="0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VLOOKUP($B20,'2807'!$B20:$M34,12,0)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1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VLOOKUP($B21,'2807'!$B21:$M35,12,0)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1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VLOOKUP($B22,'2807'!$B22:$M36,12,0)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1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VLOOKUP($B23,'2807'!$B23:$M37,12,0)</f>
        <v>80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1"/>
        <v>80</v>
      </c>
      <c r="O23" s="9">
        <v>80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VLOOKUP($B24,'2807'!$B24:$M38,12,0)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>D24+E24-SUM(F24:M24)</f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VLOOKUP($B26,'2807'!$B26:$M40,11,0)</f>
        <v>219</v>
      </c>
      <c r="E26" s="10">
        <v>70</v>
      </c>
      <c r="F26" s="9">
        <v>90</v>
      </c>
      <c r="G26" s="11"/>
      <c r="H26" s="9"/>
      <c r="I26" s="9"/>
      <c r="J26" s="9"/>
      <c r="K26" s="9"/>
      <c r="L26" s="9"/>
      <c r="M26" s="9"/>
      <c r="N26" s="9">
        <f t="shared" si="1"/>
        <v>199</v>
      </c>
      <c r="O26" s="9">
        <v>199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VLOOKUP($B27,'2807'!$B27:$M41,11,0)</f>
        <v>132</v>
      </c>
      <c r="E27" s="9"/>
      <c r="F27" s="9">
        <v>30</v>
      </c>
      <c r="G27" s="11"/>
      <c r="H27" s="9"/>
      <c r="I27" s="9"/>
      <c r="J27" s="9"/>
      <c r="K27" s="9"/>
      <c r="L27" s="9"/>
      <c r="M27" s="9"/>
      <c r="N27" s="9">
        <f t="shared" si="1"/>
        <v>102</v>
      </c>
      <c r="O27" s="9">
        <v>102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VLOOKUP($B28,'2807'!$B28:$M42,11,0)</f>
        <v>367</v>
      </c>
      <c r="E28" s="9">
        <v>77</v>
      </c>
      <c r="F28" s="9">
        <v>95</v>
      </c>
      <c r="G28" s="11"/>
      <c r="H28" s="9"/>
      <c r="I28" s="9"/>
      <c r="J28" s="9"/>
      <c r="K28" s="9"/>
      <c r="L28" s="9"/>
      <c r="M28" s="9"/>
      <c r="N28" s="9">
        <f t="shared" si="1"/>
        <v>349</v>
      </c>
      <c r="O28" s="9">
        <v>349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VLOOKUP($B29,'2807'!$B29:$M43,11,0)</f>
        <v>133</v>
      </c>
      <c r="E29" s="9">
        <f>42+42</f>
        <v>84</v>
      </c>
      <c r="F29" s="9">
        <v>46</v>
      </c>
      <c r="G29" s="11"/>
      <c r="H29" s="9"/>
      <c r="I29" s="9"/>
      <c r="J29" s="9"/>
      <c r="K29" s="9"/>
      <c r="L29" s="9"/>
      <c r="M29" s="9"/>
      <c r="N29" s="9">
        <f t="shared" si="1"/>
        <v>171</v>
      </c>
      <c r="O29" s="9">
        <v>171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 t="shared" si="1"/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DATE(2015,7,29)</f>
        <v>42214</v>
      </c>
      <c r="E5" s="293">
        <f>D5+1</f>
        <v>42215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23"/>
      <c r="M6" s="123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39</v>
      </c>
      <c r="H7" s="5" t="s">
        <v>38</v>
      </c>
      <c r="I7" s="5" t="s">
        <v>74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'2907'!O8</f>
        <v>192</v>
      </c>
      <c r="E8" s="10">
        <f>88+118+116+115</f>
        <v>437</v>
      </c>
      <c r="F8" s="11">
        <v>70</v>
      </c>
      <c r="G8" s="11"/>
      <c r="H8" s="11"/>
      <c r="I8" s="11"/>
      <c r="J8" s="11"/>
      <c r="K8" s="11"/>
      <c r="L8" s="11"/>
      <c r="M8" s="11"/>
      <c r="N8" s="9">
        <f>D8+E8-SUM(F8:M8)</f>
        <v>559</v>
      </c>
      <c r="O8" s="9">
        <v>559</v>
      </c>
      <c r="P8" s="9">
        <f t="shared" ref="P8:P19" si="0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'2907'!O9</f>
        <v>66</v>
      </c>
      <c r="E9" s="14">
        <v>32</v>
      </c>
      <c r="F9" s="11"/>
      <c r="G9" s="11">
        <v>50</v>
      </c>
      <c r="H9" s="11">
        <v>40</v>
      </c>
      <c r="I9" s="11"/>
      <c r="J9" s="11"/>
      <c r="K9" s="11"/>
      <c r="L9" s="11"/>
      <c r="M9" s="11"/>
      <c r="N9" s="9">
        <f t="shared" ref="N9:N30" si="1">D9+E9-SUM(F9:M9)</f>
        <v>8</v>
      </c>
      <c r="O9" s="9">
        <v>8</v>
      </c>
      <c r="P9" s="9">
        <f t="shared" si="0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'2907'!O10</f>
        <v>92</v>
      </c>
      <c r="E10" s="10">
        <v>156</v>
      </c>
      <c r="F10" s="11">
        <v>30</v>
      </c>
      <c r="G10" s="11">
        <v>44</v>
      </c>
      <c r="H10" s="11">
        <v>50</v>
      </c>
      <c r="I10" s="11"/>
      <c r="J10" s="11"/>
      <c r="K10" s="11"/>
      <c r="L10" s="11"/>
      <c r="M10" s="11"/>
      <c r="N10" s="9">
        <f t="shared" si="1"/>
        <v>124</v>
      </c>
      <c r="O10" s="9">
        <v>124</v>
      </c>
      <c r="P10" s="9">
        <f t="shared" si="0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'2907'!O11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1"/>
        <v>0</v>
      </c>
      <c r="O11" s="9"/>
      <c r="P11" s="9">
        <f t="shared" si="0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'2907'!O12</f>
        <v>142</v>
      </c>
      <c r="E12" s="14">
        <v>170</v>
      </c>
      <c r="F12" s="11">
        <v>52</v>
      </c>
      <c r="G12" s="11">
        <v>50</v>
      </c>
      <c r="H12" s="11">
        <v>40</v>
      </c>
      <c r="I12" s="11"/>
      <c r="J12" s="11"/>
      <c r="K12" s="11"/>
      <c r="L12" s="11"/>
      <c r="M12" s="11"/>
      <c r="N12" s="9">
        <f t="shared" si="1"/>
        <v>170</v>
      </c>
      <c r="O12" s="9">
        <v>170</v>
      </c>
      <c r="P12" s="9">
        <f t="shared" si="0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'2907'!O13</f>
        <v>130</v>
      </c>
      <c r="E13" s="14">
        <v>154</v>
      </c>
      <c r="F13" s="11">
        <v>35</v>
      </c>
      <c r="G13" s="11"/>
      <c r="H13" s="11">
        <v>40</v>
      </c>
      <c r="I13" s="11"/>
      <c r="J13" s="11"/>
      <c r="K13" s="11"/>
      <c r="L13" s="11"/>
      <c r="M13" s="11"/>
      <c r="N13" s="9">
        <f t="shared" si="1"/>
        <v>209</v>
      </c>
      <c r="O13" s="9">
        <f>60+E13</f>
        <v>214</v>
      </c>
      <c r="P13" s="9">
        <f t="shared" si="0"/>
        <v>5</v>
      </c>
    </row>
    <row r="14" spans="1:16" ht="18.75">
      <c r="A14" s="6">
        <v>7</v>
      </c>
      <c r="B14" s="12" t="s">
        <v>20</v>
      </c>
      <c r="C14" s="6" t="s">
        <v>21</v>
      </c>
      <c r="D14" s="9">
        <f>'2907'!O14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1"/>
        <v>0</v>
      </c>
      <c r="O14" s="9"/>
      <c r="P14" s="9">
        <f t="shared" si="0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'2907'!O15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1"/>
        <v>0</v>
      </c>
      <c r="O15" s="9"/>
      <c r="P15" s="9">
        <f t="shared" si="0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'2907'!O16</f>
        <v>6</v>
      </c>
      <c r="E16" s="14">
        <v>4</v>
      </c>
      <c r="F16" s="11">
        <v>1</v>
      </c>
      <c r="G16" s="11">
        <v>3</v>
      </c>
      <c r="H16" s="11">
        <v>2</v>
      </c>
      <c r="I16" s="11"/>
      <c r="J16" s="11"/>
      <c r="K16" s="11"/>
      <c r="L16" s="11"/>
      <c r="M16" s="11"/>
      <c r="N16" s="9">
        <f t="shared" si="1"/>
        <v>4</v>
      </c>
      <c r="O16" s="9">
        <v>4</v>
      </c>
      <c r="P16" s="9">
        <f t="shared" si="0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'2907'!O17</f>
        <v>0</v>
      </c>
      <c r="E17" s="14">
        <v>2</v>
      </c>
      <c r="F17" s="11" t="s">
        <v>75</v>
      </c>
      <c r="G17" s="11"/>
      <c r="H17" s="11"/>
      <c r="I17" s="11"/>
      <c r="J17" s="11"/>
      <c r="K17" s="11"/>
      <c r="L17" s="11"/>
      <c r="M17" s="11"/>
      <c r="N17" s="9">
        <f t="shared" si="1"/>
        <v>2</v>
      </c>
      <c r="O17" s="9">
        <v>2</v>
      </c>
      <c r="P17" s="9">
        <f t="shared" si="0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'2907'!O18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1"/>
        <v>1</v>
      </c>
      <c r="O18" s="9">
        <v>1</v>
      </c>
      <c r="P18" s="9">
        <f t="shared" si="0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'2907'!O19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1"/>
        <v>2</v>
      </c>
      <c r="O19" s="9">
        <v>2</v>
      </c>
      <c r="P19" s="9">
        <f t="shared" si="0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'2907'!O20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1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'2907'!O21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1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'2907'!O22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1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'2907'!O23</f>
        <v>80</v>
      </c>
      <c r="E23" s="14">
        <v>48</v>
      </c>
      <c r="F23" s="9"/>
      <c r="G23" s="9"/>
      <c r="H23" s="9"/>
      <c r="I23" s="9">
        <v>80</v>
      </c>
      <c r="J23" s="9"/>
      <c r="K23" s="9"/>
      <c r="L23" s="9"/>
      <c r="M23" s="9"/>
      <c r="N23" s="9">
        <f t="shared" si="1"/>
        <v>48</v>
      </c>
      <c r="O23" s="9">
        <v>48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'2907'!O24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>D24+E24-SUM(F24:M24)</f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'2907'!O26</f>
        <v>199</v>
      </c>
      <c r="E26" s="10">
        <v>140</v>
      </c>
      <c r="F26" s="9">
        <v>149</v>
      </c>
      <c r="G26" s="11"/>
      <c r="H26" s="9"/>
      <c r="I26" s="9"/>
      <c r="J26" s="9"/>
      <c r="K26" s="9"/>
      <c r="L26" s="9"/>
      <c r="M26" s="9"/>
      <c r="N26" s="9">
        <f t="shared" si="1"/>
        <v>190</v>
      </c>
      <c r="O26" s="9">
        <v>190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'2907'!O27</f>
        <v>102</v>
      </c>
      <c r="E27" s="9">
        <v>65</v>
      </c>
      <c r="F27" s="9">
        <v>70</v>
      </c>
      <c r="G27" s="11"/>
      <c r="H27" s="9"/>
      <c r="I27" s="9"/>
      <c r="J27" s="9"/>
      <c r="K27" s="9"/>
      <c r="L27" s="9"/>
      <c r="M27" s="9"/>
      <c r="N27" s="9">
        <f t="shared" si="1"/>
        <v>97</v>
      </c>
      <c r="O27" s="9">
        <v>97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'2907'!O28</f>
        <v>349</v>
      </c>
      <c r="E28" s="9">
        <v>145</v>
      </c>
      <c r="F28" s="9">
        <v>161</v>
      </c>
      <c r="G28" s="11"/>
      <c r="H28" s="9"/>
      <c r="I28" s="9"/>
      <c r="J28" s="9"/>
      <c r="K28" s="9"/>
      <c r="L28" s="9"/>
      <c r="M28" s="9"/>
      <c r="N28" s="9">
        <f t="shared" si="1"/>
        <v>333</v>
      </c>
      <c r="O28" s="9">
        <v>333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'2907'!O29</f>
        <v>171</v>
      </c>
      <c r="E29" s="9">
        <v>77</v>
      </c>
      <c r="F29" s="9">
        <v>101</v>
      </c>
      <c r="G29" s="11"/>
      <c r="H29" s="9"/>
      <c r="I29" s="9"/>
      <c r="J29" s="9"/>
      <c r="K29" s="9"/>
      <c r="L29" s="9"/>
      <c r="M29" s="9"/>
      <c r="N29" s="9">
        <f t="shared" si="1"/>
        <v>147</v>
      </c>
      <c r="O29" s="9">
        <v>147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 t="shared" si="1"/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B20" sqref="B20"/>
      <selection pane="topRight" activeCell="Q14" sqref="Q1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DATE(2015,7,30)</f>
        <v>42215</v>
      </c>
      <c r="E5" s="293">
        <f>D5+1</f>
        <v>42216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24"/>
      <c r="M6" s="124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39</v>
      </c>
      <c r="H7" s="5" t="s">
        <v>40</v>
      </c>
      <c r="I7" s="5" t="s">
        <v>74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'3007'!O8</f>
        <v>559</v>
      </c>
      <c r="E8" s="10">
        <v>71</v>
      </c>
      <c r="F8" s="11">
        <v>75</v>
      </c>
      <c r="G8" s="11"/>
      <c r="H8" s="11">
        <v>30</v>
      </c>
      <c r="I8" s="11"/>
      <c r="J8" s="11"/>
      <c r="K8" s="11"/>
      <c r="L8" s="11"/>
      <c r="M8" s="11"/>
      <c r="N8" s="9">
        <f t="shared" ref="N8:N24" si="0">D8+E8-SUM(F8:M8)</f>
        <v>525</v>
      </c>
      <c r="O8" s="9">
        <f>120+74+140+120+71</f>
        <v>525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'3007'!O9</f>
        <v>8</v>
      </c>
      <c r="E9" s="14">
        <f>85+86+76+21</f>
        <v>268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276</v>
      </c>
      <c r="O9" s="9">
        <f>6+E9</f>
        <v>274</v>
      </c>
      <c r="P9" s="9">
        <f t="shared" si="1"/>
        <v>-2</v>
      </c>
    </row>
    <row r="10" spans="1:16" ht="18.75">
      <c r="A10" s="6">
        <v>3</v>
      </c>
      <c r="B10" s="12" t="s">
        <v>15</v>
      </c>
      <c r="C10" s="8" t="s">
        <v>13</v>
      </c>
      <c r="D10" s="9">
        <f>'3007'!O10</f>
        <v>124</v>
      </c>
      <c r="E10" s="10">
        <v>235</v>
      </c>
      <c r="F10" s="11">
        <v>39</v>
      </c>
      <c r="G10" s="11">
        <v>65</v>
      </c>
      <c r="H10" s="11"/>
      <c r="I10" s="11"/>
      <c r="J10" s="11"/>
      <c r="K10" s="11"/>
      <c r="L10" s="11"/>
      <c r="M10" s="11"/>
      <c r="N10" s="9">
        <f t="shared" si="0"/>
        <v>255</v>
      </c>
      <c r="O10" s="9">
        <f>20+E10</f>
        <v>255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'3007'!O11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'3007'!O12</f>
        <v>170</v>
      </c>
      <c r="E12" s="14">
        <v>169</v>
      </c>
      <c r="F12" s="11">
        <v>30</v>
      </c>
      <c r="G12" s="11"/>
      <c r="H12" s="11"/>
      <c r="I12" s="11"/>
      <c r="J12" s="11"/>
      <c r="K12" s="11"/>
      <c r="L12" s="11"/>
      <c r="M12" s="11"/>
      <c r="N12" s="9">
        <f t="shared" si="0"/>
        <v>309</v>
      </c>
      <c r="O12" s="9">
        <f>140+E12</f>
        <v>309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'3007'!O13</f>
        <v>214</v>
      </c>
      <c r="E13" s="14">
        <v>159</v>
      </c>
      <c r="F13" s="11">
        <v>60</v>
      </c>
      <c r="G13" s="11"/>
      <c r="H13" s="11"/>
      <c r="I13" s="11"/>
      <c r="J13" s="11"/>
      <c r="K13" s="11"/>
      <c r="L13" s="11"/>
      <c r="M13" s="11"/>
      <c r="N13" s="9">
        <f t="shared" si="0"/>
        <v>313</v>
      </c>
      <c r="O13" s="9">
        <f>154+E13</f>
        <v>313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'3007'!O14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'3007'!O15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'3007'!O16</f>
        <v>4</v>
      </c>
      <c r="E16" s="14">
        <v>3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'3007'!O17</f>
        <v>2</v>
      </c>
      <c r="E17" s="14">
        <v>1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3</v>
      </c>
      <c r="O17" s="9"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'3007'!O18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'3007'!O19</f>
        <v>2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'3007'!O20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'3007'!O21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'3007'!O22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'3007'!O23</f>
        <v>48</v>
      </c>
      <c r="E23" s="14">
        <v>30</v>
      </c>
      <c r="F23" s="9">
        <v>30</v>
      </c>
      <c r="G23" s="9"/>
      <c r="H23" s="9"/>
      <c r="I23" s="9">
        <v>48</v>
      </c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'3007'!O24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'3007'!O26</f>
        <v>190</v>
      </c>
      <c r="E26" s="10">
        <v>145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225</v>
      </c>
      <c r="O26" s="9">
        <v>225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'3007'!O27</f>
        <v>97</v>
      </c>
      <c r="E27" s="9">
        <v>63</v>
      </c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144</v>
      </c>
      <c r="O27" s="9">
        <v>144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'3007'!O28</f>
        <v>333</v>
      </c>
      <c r="E28" s="9">
        <v>213</v>
      </c>
      <c r="F28" s="9">
        <v>103</v>
      </c>
      <c r="G28" s="11"/>
      <c r="H28" s="9"/>
      <c r="I28" s="9"/>
      <c r="J28" s="9"/>
      <c r="K28" s="9"/>
      <c r="L28" s="9"/>
      <c r="M28" s="9"/>
      <c r="N28" s="9">
        <f>D28+E28-SUM(F28:M28)</f>
        <v>443</v>
      </c>
      <c r="O28" s="9">
        <v>443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'3007'!O29</f>
        <v>147</v>
      </c>
      <c r="E29" s="9"/>
      <c r="F29" s="9">
        <v>39</v>
      </c>
      <c r="G29" s="11"/>
      <c r="H29" s="9"/>
      <c r="I29" s="9"/>
      <c r="J29" s="9"/>
      <c r="K29" s="9"/>
      <c r="L29" s="9"/>
      <c r="M29" s="9"/>
      <c r="N29" s="9">
        <f>D29+E29-SUM(F29:M29)</f>
        <v>108</v>
      </c>
      <c r="O29" s="9">
        <v>108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22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DATE(2015,7,31)</f>
        <v>42216</v>
      </c>
      <c r="E5" s="293">
        <f>D5+1</f>
        <v>42217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25"/>
      <c r="M6" s="125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43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'3107'!O8</f>
        <v>525</v>
      </c>
      <c r="E8" s="10"/>
      <c r="F8" s="11">
        <v>50</v>
      </c>
      <c r="G8" s="11">
        <v>194</v>
      </c>
      <c r="H8" s="11"/>
      <c r="I8" s="11"/>
      <c r="J8" s="11"/>
      <c r="K8" s="11"/>
      <c r="L8" s="11"/>
      <c r="M8" s="11"/>
      <c r="N8" s="9">
        <f t="shared" ref="N8:N24" si="0">D8+E8-SUM(F8:M8)</f>
        <v>281</v>
      </c>
      <c r="O8" s="9">
        <f>270+11</f>
        <v>281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'3107'!O9</f>
        <v>274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274</v>
      </c>
      <c r="O9" s="9">
        <f>24+250</f>
        <v>274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'3107'!O10</f>
        <v>255</v>
      </c>
      <c r="E10" s="10">
        <f>160+165</f>
        <v>325</v>
      </c>
      <c r="F10" s="11">
        <v>10</v>
      </c>
      <c r="G10" s="11">
        <v>200</v>
      </c>
      <c r="H10" s="11"/>
      <c r="I10" s="11"/>
      <c r="J10" s="11"/>
      <c r="K10" s="11"/>
      <c r="L10" s="11"/>
      <c r="M10" s="11"/>
      <c r="N10" s="9">
        <f t="shared" si="0"/>
        <v>370</v>
      </c>
      <c r="O10" s="9">
        <v>370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'3107'!O11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'3107'!O12</f>
        <v>309</v>
      </c>
      <c r="E12" s="14">
        <v>210</v>
      </c>
      <c r="F12" s="11">
        <v>29</v>
      </c>
      <c r="G12" s="11">
        <v>200</v>
      </c>
      <c r="H12" s="11"/>
      <c r="I12" s="11"/>
      <c r="J12" s="11"/>
      <c r="K12" s="11"/>
      <c r="L12" s="11"/>
      <c r="M12" s="11"/>
      <c r="N12" s="9">
        <f t="shared" si="0"/>
        <v>290</v>
      </c>
      <c r="O12" s="9">
        <v>290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'3107'!O13</f>
        <v>313</v>
      </c>
      <c r="E13" s="14">
        <v>154</v>
      </c>
      <c r="F13" s="11">
        <v>10</v>
      </c>
      <c r="G13" s="11">
        <v>150</v>
      </c>
      <c r="H13" s="11"/>
      <c r="I13" s="11"/>
      <c r="J13" s="11"/>
      <c r="K13" s="11"/>
      <c r="L13" s="11"/>
      <c r="M13" s="11"/>
      <c r="N13" s="9">
        <f t="shared" si="0"/>
        <v>307</v>
      </c>
      <c r="O13" s="9">
        <v>307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'3107'!O14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'3107'!O15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'3107'!O16</f>
        <v>5</v>
      </c>
      <c r="E16" s="14"/>
      <c r="F16" s="11">
        <v>1</v>
      </c>
      <c r="G16" s="11">
        <v>3</v>
      </c>
      <c r="H16" s="11"/>
      <c r="I16" s="11"/>
      <c r="J16" s="11"/>
      <c r="K16" s="11"/>
      <c r="L16" s="11"/>
      <c r="M16" s="11"/>
      <c r="N16" s="9">
        <f t="shared" si="0"/>
        <v>1</v>
      </c>
      <c r="O16" s="9">
        <v>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'3107'!O17</f>
        <v>3</v>
      </c>
      <c r="E17" s="14"/>
      <c r="F17" s="11"/>
      <c r="G17" s="11">
        <v>3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'3107'!O18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'3107'!O19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'3107'!O20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'3107'!O21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'3107'!O22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'3107'!O23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'3107'!O24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'3107'!O26</f>
        <v>225</v>
      </c>
      <c r="E26" s="10">
        <v>129</v>
      </c>
      <c r="F26" s="9">
        <v>131</v>
      </c>
      <c r="G26" s="11"/>
      <c r="H26" s="9"/>
      <c r="I26" s="9"/>
      <c r="J26" s="9"/>
      <c r="K26" s="9"/>
      <c r="L26" s="9"/>
      <c r="M26" s="9"/>
      <c r="N26" s="9">
        <f>D26+E26-SUM(F26:M26)</f>
        <v>223</v>
      </c>
      <c r="O26" s="9">
        <v>223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'3107'!O27</f>
        <v>144</v>
      </c>
      <c r="E27" s="9"/>
      <c r="F27" s="9">
        <v>19</v>
      </c>
      <c r="G27" s="11"/>
      <c r="H27" s="9"/>
      <c r="I27" s="9"/>
      <c r="J27" s="9"/>
      <c r="K27" s="9"/>
      <c r="L27" s="9"/>
      <c r="M27" s="9"/>
      <c r="N27" s="9">
        <f>D27+E27-SUM(F27:M27)</f>
        <v>125</v>
      </c>
      <c r="O27" s="9">
        <v>125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'3107'!O28</f>
        <v>443</v>
      </c>
      <c r="E28" s="9"/>
      <c r="F28" s="9">
        <v>125</v>
      </c>
      <c r="G28" s="11"/>
      <c r="H28" s="9"/>
      <c r="I28" s="9"/>
      <c r="J28" s="9"/>
      <c r="K28" s="9"/>
      <c r="L28" s="9"/>
      <c r="M28" s="9"/>
      <c r="N28" s="9">
        <f>D28+E28-SUM(F28:M28)</f>
        <v>318</v>
      </c>
      <c r="O28" s="9">
        <v>318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'3107'!O29</f>
        <v>108</v>
      </c>
      <c r="E29" s="9">
        <v>79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132</v>
      </c>
      <c r="O29" s="9">
        <v>132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7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DATE(2015,7,31)</f>
        <v>42216</v>
      </c>
      <c r="E5" s="293">
        <f>D5+1</f>
        <v>42217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26"/>
      <c r="M6" s="126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/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'0108'!O8</f>
        <v>281</v>
      </c>
      <c r="E8" s="10"/>
      <c r="F8" s="11">
        <v>50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231</v>
      </c>
      <c r="O8" s="9">
        <f>150+60+21</f>
        <v>231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'0108'!O9</f>
        <v>274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274</v>
      </c>
      <c r="O9" s="9">
        <f>146+127</f>
        <v>273</v>
      </c>
      <c r="P9" s="9">
        <f t="shared" si="1"/>
        <v>-1</v>
      </c>
    </row>
    <row r="10" spans="1:16" ht="18.75">
      <c r="A10" s="6">
        <v>3</v>
      </c>
      <c r="B10" s="12" t="s">
        <v>15</v>
      </c>
      <c r="C10" s="8" t="s">
        <v>13</v>
      </c>
      <c r="D10" s="9">
        <f>'0108'!O10</f>
        <v>370</v>
      </c>
      <c r="E10" s="10">
        <f>165+150+253</f>
        <v>568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928</v>
      </c>
      <c r="O10" s="9">
        <v>928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'0108'!O11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'0108'!O12</f>
        <v>290</v>
      </c>
      <c r="E12" s="14"/>
      <c r="F12" s="11">
        <v>10</v>
      </c>
      <c r="G12" s="11"/>
      <c r="H12" s="11"/>
      <c r="I12" s="11"/>
      <c r="J12" s="11"/>
      <c r="K12" s="11"/>
      <c r="L12" s="11"/>
      <c r="M12" s="11"/>
      <c r="N12" s="9">
        <f t="shared" si="0"/>
        <v>280</v>
      </c>
      <c r="O12" s="9">
        <v>280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'0108'!O13</f>
        <v>307</v>
      </c>
      <c r="E13" s="14">
        <v>116</v>
      </c>
      <c r="F13" s="11">
        <v>10</v>
      </c>
      <c r="G13" s="11"/>
      <c r="H13" s="11"/>
      <c r="I13" s="11"/>
      <c r="J13" s="11"/>
      <c r="K13" s="11"/>
      <c r="L13" s="11"/>
      <c r="M13" s="11"/>
      <c r="N13" s="9">
        <f t="shared" si="0"/>
        <v>413</v>
      </c>
      <c r="O13" s="9">
        <v>413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'0108'!O14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'0108'!O15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'0108'!O16</f>
        <v>1</v>
      </c>
      <c r="E16" s="14">
        <v>3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'0108'!O17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'0108'!O18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'0108'!O19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'0108'!O20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'0108'!O21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'0108'!O22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'0108'!O23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'0108'!O24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'0108'!O26</f>
        <v>223</v>
      </c>
      <c r="E26" s="10">
        <v>138</v>
      </c>
      <c r="F26" s="9">
        <v>99</v>
      </c>
      <c r="G26" s="11"/>
      <c r="H26" s="9"/>
      <c r="I26" s="9"/>
      <c r="J26" s="9"/>
      <c r="K26" s="9"/>
      <c r="L26" s="9"/>
      <c r="M26" s="9"/>
      <c r="N26" s="9">
        <f>D26+E26-SUM(F26:M26)</f>
        <v>262</v>
      </c>
      <c r="O26" s="9">
        <v>262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'0108'!O27</f>
        <v>125</v>
      </c>
      <c r="E27" s="9"/>
      <c r="F27" s="9">
        <v>45</v>
      </c>
      <c r="G27" s="11"/>
      <c r="H27" s="9"/>
      <c r="I27" s="9"/>
      <c r="J27" s="9"/>
      <c r="K27" s="9"/>
      <c r="L27" s="9"/>
      <c r="M27" s="9"/>
      <c r="N27" s="9">
        <f>D27+E27-SUM(F27:M27)</f>
        <v>80</v>
      </c>
      <c r="O27" s="9">
        <v>80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'0108'!O28</f>
        <v>318</v>
      </c>
      <c r="E28" s="9">
        <v>145</v>
      </c>
      <c r="F28" s="9">
        <v>111</v>
      </c>
      <c r="G28" s="11"/>
      <c r="H28" s="9"/>
      <c r="I28" s="9"/>
      <c r="J28" s="9"/>
      <c r="K28" s="9"/>
      <c r="L28" s="9"/>
      <c r="M28" s="9"/>
      <c r="N28" s="9">
        <f>D28+E28-SUM(F28:M28)</f>
        <v>352</v>
      </c>
      <c r="O28" s="9">
        <v>352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'0108'!O29</f>
        <v>132</v>
      </c>
      <c r="E29" s="9">
        <v>77</v>
      </c>
      <c r="F29" s="9">
        <v>60</v>
      </c>
      <c r="G29" s="11"/>
      <c r="H29" s="9"/>
      <c r="I29" s="9"/>
      <c r="J29" s="9"/>
      <c r="K29" s="9"/>
      <c r="L29" s="9"/>
      <c r="M29" s="9"/>
      <c r="N29" s="9">
        <f>D29+E29-SUM(F29:M29)</f>
        <v>149</v>
      </c>
      <c r="O29" s="9">
        <v>149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DATE(2015,8,2)</f>
        <v>42218</v>
      </c>
      <c r="E5" s="293">
        <f>D5+1</f>
        <v>42219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26"/>
      <c r="M6" s="126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62</v>
      </c>
      <c r="H7" s="5" t="s">
        <v>40</v>
      </c>
      <c r="I7" s="5" t="s">
        <v>71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'0208'!O8</f>
        <v>231</v>
      </c>
      <c r="E8" s="10">
        <f>100+116+89+95</f>
        <v>400</v>
      </c>
      <c r="F8" s="11">
        <v>50</v>
      </c>
      <c r="G8" s="11">
        <v>30</v>
      </c>
      <c r="H8" s="11"/>
      <c r="I8" s="11"/>
      <c r="J8" s="11"/>
      <c r="K8" s="11"/>
      <c r="L8" s="11"/>
      <c r="M8" s="11"/>
      <c r="N8" s="9">
        <f t="shared" ref="N8:N24" si="0">D8+E8-SUM(F8:M8)</f>
        <v>551</v>
      </c>
      <c r="O8" s="9">
        <f>100+E8+51</f>
        <v>551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'0208'!O9</f>
        <v>273</v>
      </c>
      <c r="E9" s="14"/>
      <c r="F9" s="11"/>
      <c r="G9" s="11">
        <v>90</v>
      </c>
      <c r="H9" s="11"/>
      <c r="I9" s="11"/>
      <c r="J9" s="11"/>
      <c r="K9" s="11"/>
      <c r="L9" s="11"/>
      <c r="M9" s="11"/>
      <c r="N9" s="9">
        <f t="shared" si="0"/>
        <v>183</v>
      </c>
      <c r="O9" s="9">
        <f>120+63</f>
        <v>183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'0208'!O10</f>
        <v>928</v>
      </c>
      <c r="E10" s="10"/>
      <c r="F10" s="11">
        <v>20</v>
      </c>
      <c r="G10" s="11">
        <v>38</v>
      </c>
      <c r="H10" s="11">
        <v>20</v>
      </c>
      <c r="I10" s="11"/>
      <c r="J10" s="11"/>
      <c r="K10" s="11"/>
      <c r="L10" s="11"/>
      <c r="M10" s="11"/>
      <c r="N10" s="9">
        <f t="shared" si="0"/>
        <v>850</v>
      </c>
      <c r="O10" s="9">
        <f>190+E10+660</f>
        <v>850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'0208'!O11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'0208'!O12</f>
        <v>280</v>
      </c>
      <c r="E12" s="14">
        <v>172</v>
      </c>
      <c r="F12" s="11">
        <v>20</v>
      </c>
      <c r="G12" s="11">
        <v>70</v>
      </c>
      <c r="H12" s="11">
        <v>40</v>
      </c>
      <c r="I12" s="11"/>
      <c r="J12" s="11"/>
      <c r="K12" s="11"/>
      <c r="L12" s="11"/>
      <c r="M12" s="11"/>
      <c r="N12" s="9">
        <f t="shared" si="0"/>
        <v>322</v>
      </c>
      <c r="O12" s="9">
        <v>322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'0208'!O13</f>
        <v>413</v>
      </c>
      <c r="E13" s="14">
        <v>156</v>
      </c>
      <c r="F13" s="11">
        <v>20</v>
      </c>
      <c r="G13" s="11">
        <v>70</v>
      </c>
      <c r="H13" s="11"/>
      <c r="I13" s="11"/>
      <c r="J13" s="11"/>
      <c r="K13" s="11"/>
      <c r="L13" s="11"/>
      <c r="M13" s="11"/>
      <c r="N13" s="9">
        <f t="shared" si="0"/>
        <v>479</v>
      </c>
      <c r="O13" s="9">
        <f>154+74+95+E13</f>
        <v>479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'0208'!O14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'0208'!O15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'0208'!O16</f>
        <v>4</v>
      </c>
      <c r="E16" s="14">
        <v>4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'0208'!O17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'0208'!O18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'0208'!O19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'0208'!O20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'0208'!O21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'0208'!O22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'0208'!O23</f>
        <v>0</v>
      </c>
      <c r="E23" s="14">
        <v>36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36</v>
      </c>
      <c r="O23" s="9">
        <v>36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'0208'!O24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'0208'!O26</f>
        <v>262</v>
      </c>
      <c r="E26" s="10">
        <v>135</v>
      </c>
      <c r="F26" s="9">
        <v>115</v>
      </c>
      <c r="G26" s="11"/>
      <c r="H26" s="9"/>
      <c r="I26" s="9"/>
      <c r="J26" s="9"/>
      <c r="K26" s="9"/>
      <c r="L26" s="9"/>
      <c r="M26" s="9"/>
      <c r="N26" s="9">
        <f>D26+E26-SUM(F26:M26)</f>
        <v>282</v>
      </c>
      <c r="O26" s="9">
        <v>282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'0208'!O27</f>
        <v>80</v>
      </c>
      <c r="E27" s="9">
        <v>62</v>
      </c>
      <c r="F27" s="9">
        <v>29</v>
      </c>
      <c r="G27" s="11"/>
      <c r="H27" s="9"/>
      <c r="I27" s="9"/>
      <c r="J27" s="9"/>
      <c r="K27" s="9"/>
      <c r="L27" s="9"/>
      <c r="M27" s="9"/>
      <c r="N27" s="9">
        <f>D27+E27-SUM(F27:M27)</f>
        <v>113</v>
      </c>
      <c r="O27" s="9">
        <v>113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'0208'!O28</f>
        <v>352</v>
      </c>
      <c r="E28" s="9">
        <v>145</v>
      </c>
      <c r="F28" s="9">
        <v>115</v>
      </c>
      <c r="G28" s="11"/>
      <c r="H28" s="9"/>
      <c r="I28" s="9"/>
      <c r="J28" s="9"/>
      <c r="K28" s="9"/>
      <c r="L28" s="9"/>
      <c r="M28" s="9"/>
      <c r="N28" s="9">
        <f>D28+E28-SUM(F28:M28)</f>
        <v>382</v>
      </c>
      <c r="O28" s="9">
        <v>382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'0208'!O29</f>
        <v>149</v>
      </c>
      <c r="E29" s="9">
        <v>80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164</v>
      </c>
      <c r="O29" s="9">
        <v>164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DATE(2015,8,3)</f>
        <v>42219</v>
      </c>
      <c r="E5" s="293">
        <f>D5+1</f>
        <v>42220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26"/>
      <c r="M6" s="126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54</v>
      </c>
      <c r="H7" s="5" t="s">
        <v>52</v>
      </c>
      <c r="I7" s="5" t="s">
        <v>74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'0308'!O8</f>
        <v>551</v>
      </c>
      <c r="E8" s="10">
        <f>113+106+84</f>
        <v>303</v>
      </c>
      <c r="F8" s="11">
        <v>50</v>
      </c>
      <c r="G8" s="11">
        <v>70</v>
      </c>
      <c r="H8" s="11">
        <v>150</v>
      </c>
      <c r="I8" s="11"/>
      <c r="J8" s="11"/>
      <c r="K8" s="11"/>
      <c r="L8" s="11"/>
      <c r="M8" s="11"/>
      <c r="N8" s="9">
        <f t="shared" ref="N8:N24" si="0">D8+E8-SUM(F8:M8)</f>
        <v>584</v>
      </c>
      <c r="O8" s="9">
        <f>131+150+E8</f>
        <v>584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'0308'!O9</f>
        <v>183</v>
      </c>
      <c r="E9" s="14"/>
      <c r="F9" s="11"/>
      <c r="G9" s="11">
        <v>40</v>
      </c>
      <c r="H9" s="11"/>
      <c r="I9" s="11"/>
      <c r="J9" s="11"/>
      <c r="K9" s="11"/>
      <c r="L9" s="11"/>
      <c r="M9" s="11"/>
      <c r="N9" s="9">
        <f t="shared" si="0"/>
        <v>143</v>
      </c>
      <c r="O9" s="9">
        <v>143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'0308'!O10</f>
        <v>850</v>
      </c>
      <c r="E10" s="10">
        <v>163</v>
      </c>
      <c r="F10" s="11">
        <f>660+10</f>
        <v>670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293</v>
      </c>
      <c r="O10" s="9">
        <f>130+E10</f>
        <v>293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'0308'!O11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'0308'!O12</f>
        <v>322</v>
      </c>
      <c r="E12" s="14">
        <v>248</v>
      </c>
      <c r="F12" s="11">
        <v>10</v>
      </c>
      <c r="G12" s="11">
        <v>70</v>
      </c>
      <c r="H12" s="11"/>
      <c r="I12" s="11"/>
      <c r="J12" s="11"/>
      <c r="K12" s="11"/>
      <c r="L12" s="11"/>
      <c r="M12" s="11"/>
      <c r="N12" s="9">
        <f t="shared" si="0"/>
        <v>490</v>
      </c>
      <c r="O12" s="9">
        <f>90+172+228</f>
        <v>490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'0308'!O13</f>
        <v>479</v>
      </c>
      <c r="E13" s="14">
        <v>178</v>
      </c>
      <c r="F13" s="11">
        <v>20</v>
      </c>
      <c r="G13" s="11">
        <v>20</v>
      </c>
      <c r="H13" s="11"/>
      <c r="I13" s="11"/>
      <c r="J13" s="11"/>
      <c r="K13" s="11"/>
      <c r="L13" s="11"/>
      <c r="M13" s="11"/>
      <c r="N13" s="9">
        <f t="shared" si="0"/>
        <v>617</v>
      </c>
      <c r="O13" s="9">
        <f>184+14+156+116+148</f>
        <v>618</v>
      </c>
      <c r="P13" s="9">
        <f t="shared" si="1"/>
        <v>1</v>
      </c>
    </row>
    <row r="14" spans="1:16" ht="18.75">
      <c r="A14" s="6">
        <v>7</v>
      </c>
      <c r="B14" s="12" t="s">
        <v>20</v>
      </c>
      <c r="C14" s="6" t="s">
        <v>21</v>
      </c>
      <c r="D14" s="9">
        <f>'0308'!O14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'0308'!O15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'0308'!O16</f>
        <v>7</v>
      </c>
      <c r="E16" s="14">
        <v>4</v>
      </c>
      <c r="F16" s="11"/>
      <c r="G16" s="11"/>
      <c r="H16" s="11">
        <v>1</v>
      </c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'0308'!O17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'0308'!O18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'0308'!O19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'0308'!O20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'0308'!O21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'0308'!O22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'0308'!O23</f>
        <v>36</v>
      </c>
      <c r="E23" s="14">
        <v>32</v>
      </c>
      <c r="F23" s="9"/>
      <c r="G23" s="9"/>
      <c r="H23" s="9"/>
      <c r="I23" s="9">
        <v>68</v>
      </c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'0308'!O24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'0308'!O26</f>
        <v>282</v>
      </c>
      <c r="E26" s="10">
        <v>68</v>
      </c>
      <c r="F26" s="9">
        <v>95</v>
      </c>
      <c r="G26" s="11"/>
      <c r="H26" s="9"/>
      <c r="I26" s="9"/>
      <c r="J26" s="9"/>
      <c r="K26" s="9"/>
      <c r="L26" s="9"/>
      <c r="M26" s="9"/>
      <c r="N26" s="9">
        <f>D26+E26-SUM(F26:M26)</f>
        <v>255</v>
      </c>
      <c r="O26" s="9">
        <v>255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'0308'!O27</f>
        <v>113</v>
      </c>
      <c r="E27" s="9">
        <v>63</v>
      </c>
      <c r="F27" s="9">
        <v>42</v>
      </c>
      <c r="G27" s="11"/>
      <c r="H27" s="9"/>
      <c r="I27" s="9"/>
      <c r="J27" s="9"/>
      <c r="K27" s="9"/>
      <c r="L27" s="9"/>
      <c r="M27" s="9"/>
      <c r="N27" s="9">
        <f>D27+E27-SUM(F27:M27)</f>
        <v>134</v>
      </c>
      <c r="O27" s="9">
        <v>134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'0308'!O28</f>
        <v>382</v>
      </c>
      <c r="E28" s="9">
        <v>150</v>
      </c>
      <c r="F28" s="9">
        <v>108</v>
      </c>
      <c r="G28" s="11"/>
      <c r="H28" s="9"/>
      <c r="I28" s="9"/>
      <c r="J28" s="9"/>
      <c r="K28" s="9"/>
      <c r="L28" s="9"/>
      <c r="M28" s="9"/>
      <c r="N28" s="9">
        <f>D28+E28-SUM(F28:M28)</f>
        <v>424</v>
      </c>
      <c r="O28" s="9">
        <v>424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'0308'!O29</f>
        <v>164</v>
      </c>
      <c r="E29" s="9"/>
      <c r="F29" s="9">
        <v>45</v>
      </c>
      <c r="G29" s="11"/>
      <c r="H29" s="9"/>
      <c r="I29" s="9"/>
      <c r="J29" s="9"/>
      <c r="K29" s="9"/>
      <c r="L29" s="9"/>
      <c r="M29" s="9"/>
      <c r="N29" s="9">
        <f>D29+E29-SUM(F29:M29)</f>
        <v>119</v>
      </c>
      <c r="O29" s="9">
        <v>119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7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DATE(2015,8,4)</f>
        <v>42220</v>
      </c>
      <c r="E5" s="293">
        <f>D5+1</f>
        <v>42221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26"/>
      <c r="M6" s="126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39</v>
      </c>
      <c r="H7" s="5" t="s">
        <v>40</v>
      </c>
      <c r="I7" s="5" t="s">
        <v>38</v>
      </c>
      <c r="J7" s="5" t="s">
        <v>71</v>
      </c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'0408'!O8</f>
        <v>584</v>
      </c>
      <c r="E8" s="10"/>
      <c r="F8" s="11">
        <v>50</v>
      </c>
      <c r="G8" s="11">
        <v>50</v>
      </c>
      <c r="H8" s="11">
        <v>40</v>
      </c>
      <c r="I8" s="11">
        <v>20</v>
      </c>
      <c r="J8" s="11"/>
      <c r="K8" s="11"/>
      <c r="L8" s="11"/>
      <c r="M8" s="11"/>
      <c r="N8" s="9">
        <f t="shared" ref="N8:N24" si="0">D8+E8-SUM(F8:M8)</f>
        <v>424</v>
      </c>
      <c r="O8" s="9">
        <f>134+290</f>
        <v>424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'0408'!O9</f>
        <v>143</v>
      </c>
      <c r="E9" s="14">
        <f>46+85+86</f>
        <v>217</v>
      </c>
      <c r="F9" s="11"/>
      <c r="G9" s="11">
        <v>50</v>
      </c>
      <c r="H9" s="11">
        <v>30</v>
      </c>
      <c r="I9" s="11"/>
      <c r="J9" s="11"/>
      <c r="K9" s="11"/>
      <c r="L9" s="11"/>
      <c r="M9" s="11"/>
      <c r="N9" s="9">
        <f t="shared" si="0"/>
        <v>280</v>
      </c>
      <c r="O9" s="9">
        <f>63+E9</f>
        <v>280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'0408'!O10</f>
        <v>293</v>
      </c>
      <c r="E10" s="10">
        <v>160</v>
      </c>
      <c r="F10" s="11">
        <v>13</v>
      </c>
      <c r="G10" s="11">
        <v>50</v>
      </c>
      <c r="H10" s="11">
        <v>40</v>
      </c>
      <c r="I10" s="11"/>
      <c r="J10" s="11"/>
      <c r="K10" s="11"/>
      <c r="L10" s="11"/>
      <c r="M10" s="11"/>
      <c r="N10" s="9">
        <f t="shared" si="0"/>
        <v>350</v>
      </c>
      <c r="O10" s="9">
        <f>190+E10</f>
        <v>350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'0408'!O11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'0408'!O12</f>
        <v>490</v>
      </c>
      <c r="E12" s="14">
        <v>204</v>
      </c>
      <c r="F12" s="11">
        <v>20</v>
      </c>
      <c r="G12" s="11">
        <v>50</v>
      </c>
      <c r="H12" s="11">
        <v>80</v>
      </c>
      <c r="I12" s="11">
        <v>30</v>
      </c>
      <c r="J12" s="11"/>
      <c r="K12" s="11"/>
      <c r="L12" s="11"/>
      <c r="M12" s="11"/>
      <c r="N12" s="9">
        <f t="shared" si="0"/>
        <v>514</v>
      </c>
      <c r="O12" s="9">
        <f>192+102+E12+16</f>
        <v>514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'0408'!O13</f>
        <v>618</v>
      </c>
      <c r="E13" s="14">
        <v>152</v>
      </c>
      <c r="F13" s="11"/>
      <c r="G13" s="11">
        <v>80</v>
      </c>
      <c r="H13" s="11">
        <v>60</v>
      </c>
      <c r="I13" s="11">
        <v>20</v>
      </c>
      <c r="J13" s="11"/>
      <c r="K13" s="11"/>
      <c r="L13" s="11"/>
      <c r="M13" s="11"/>
      <c r="N13" s="9">
        <f t="shared" si="0"/>
        <v>610</v>
      </c>
      <c r="O13" s="9">
        <f>154+150+156+152</f>
        <v>612</v>
      </c>
      <c r="P13" s="9">
        <f t="shared" si="1"/>
        <v>2</v>
      </c>
    </row>
    <row r="14" spans="1:16" ht="18.75">
      <c r="A14" s="6">
        <v>7</v>
      </c>
      <c r="B14" s="12" t="s">
        <v>20</v>
      </c>
      <c r="C14" s="6" t="s">
        <v>21</v>
      </c>
      <c r="D14" s="9">
        <f>'0408'!O14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'0408'!O15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'0408'!O16</f>
        <v>10</v>
      </c>
      <c r="E16" s="14">
        <v>2</v>
      </c>
      <c r="F16" s="11"/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'0408'!O17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'0408'!O18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'0408'!O19</f>
        <v>1</v>
      </c>
      <c r="E19" s="14">
        <v>1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'0408'!O20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'0408'!O21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'0408'!O22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'0408'!O23</f>
        <v>0</v>
      </c>
      <c r="E23" s="14">
        <v>32</v>
      </c>
      <c r="F23" s="9"/>
      <c r="G23" s="9"/>
      <c r="H23" s="9"/>
      <c r="I23" s="9"/>
      <c r="J23" s="9">
        <v>32</v>
      </c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'0408'!O24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'0408'!O26</f>
        <v>255</v>
      </c>
      <c r="E26" s="10">
        <v>147</v>
      </c>
      <c r="F26" s="9">
        <v>136</v>
      </c>
      <c r="G26" s="11"/>
      <c r="H26" s="9"/>
      <c r="I26" s="9"/>
      <c r="J26" s="9"/>
      <c r="K26" s="9"/>
      <c r="L26" s="9"/>
      <c r="M26" s="9"/>
      <c r="N26" s="9">
        <f>D26+E26-SUM(F26:M26)</f>
        <v>266</v>
      </c>
      <c r="O26" s="9">
        <v>266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'0408'!O27</f>
        <v>134</v>
      </c>
      <c r="E27" s="9"/>
      <c r="F27" s="9">
        <v>24</v>
      </c>
      <c r="G27" s="11"/>
      <c r="H27" s="9"/>
      <c r="I27" s="9"/>
      <c r="J27" s="9"/>
      <c r="K27" s="9"/>
      <c r="L27" s="9"/>
      <c r="M27" s="9"/>
      <c r="N27" s="9">
        <f>D27+E27-SUM(F27:M27)</f>
        <v>110</v>
      </c>
      <c r="O27" s="9">
        <v>110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'0408'!O28</f>
        <v>424</v>
      </c>
      <c r="E28" s="9">
        <v>145</v>
      </c>
      <c r="F28" s="9">
        <v>146</v>
      </c>
      <c r="G28" s="11"/>
      <c r="H28" s="9"/>
      <c r="I28" s="9"/>
      <c r="J28" s="9"/>
      <c r="K28" s="9"/>
      <c r="L28" s="9"/>
      <c r="M28" s="9"/>
      <c r="N28" s="9">
        <f>D28+E28-SUM(F28:M28)</f>
        <v>423</v>
      </c>
      <c r="O28" s="9">
        <v>423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'0408'!O29</f>
        <v>119</v>
      </c>
      <c r="E29" s="9">
        <v>79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143</v>
      </c>
      <c r="O29" s="9">
        <v>143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DATE(2015,8,5)</f>
        <v>42221</v>
      </c>
      <c r="E5" s="293">
        <f>D5+1</f>
        <v>42222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27"/>
      <c r="M6" s="127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51</v>
      </c>
      <c r="H7" s="5" t="s">
        <v>52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'0508'!O8</f>
        <v>424</v>
      </c>
      <c r="E8" s="10">
        <f>111+58+70</f>
        <v>239</v>
      </c>
      <c r="F8" s="11">
        <v>61</v>
      </c>
      <c r="G8" s="11">
        <v>60</v>
      </c>
      <c r="H8" s="11">
        <v>250</v>
      </c>
      <c r="I8" s="11"/>
      <c r="J8" s="11"/>
      <c r="K8" s="11"/>
      <c r="L8" s="11"/>
      <c r="M8" s="11"/>
      <c r="N8" s="9">
        <f t="shared" ref="N8:N24" si="0">D8+E8-SUM(F8:M8)</f>
        <v>292</v>
      </c>
      <c r="O8" s="9">
        <f>53+239</f>
        <v>292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'0508'!O9</f>
        <v>280</v>
      </c>
      <c r="E9" s="14"/>
      <c r="F9" s="11"/>
      <c r="G9" s="11">
        <v>93</v>
      </c>
      <c r="H9" s="11">
        <v>97</v>
      </c>
      <c r="I9" s="11"/>
      <c r="J9" s="11"/>
      <c r="K9" s="11"/>
      <c r="L9" s="11"/>
      <c r="M9" s="11"/>
      <c r="N9" s="9">
        <f t="shared" si="0"/>
        <v>90</v>
      </c>
      <c r="O9" s="9">
        <v>90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'0508'!O10</f>
        <v>350</v>
      </c>
      <c r="E10" s="10">
        <v>210</v>
      </c>
      <c r="F10" s="11"/>
      <c r="G10" s="11">
        <v>150</v>
      </c>
      <c r="H10" s="11">
        <v>203</v>
      </c>
      <c r="I10" s="11"/>
      <c r="J10" s="11"/>
      <c r="K10" s="11"/>
      <c r="L10" s="11"/>
      <c r="M10" s="11"/>
      <c r="N10" s="9">
        <f t="shared" si="0"/>
        <v>207</v>
      </c>
      <c r="O10" s="9">
        <f>E10</f>
        <v>210</v>
      </c>
      <c r="P10" s="9">
        <f t="shared" si="1"/>
        <v>3</v>
      </c>
    </row>
    <row r="11" spans="1:16" ht="18.75">
      <c r="A11" s="6">
        <v>4</v>
      </c>
      <c r="B11" s="15" t="s">
        <v>16</v>
      </c>
      <c r="C11" s="6" t="s">
        <v>17</v>
      </c>
      <c r="D11" s="9">
        <f>'0508'!O11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'0508'!O12</f>
        <v>514</v>
      </c>
      <c r="E12" s="14">
        <v>207</v>
      </c>
      <c r="F12" s="11">
        <v>16</v>
      </c>
      <c r="G12" s="11">
        <v>142</v>
      </c>
      <c r="H12" s="11">
        <v>342</v>
      </c>
      <c r="I12" s="11"/>
      <c r="J12" s="11"/>
      <c r="K12" s="11"/>
      <c r="L12" s="11"/>
      <c r="M12" s="11"/>
      <c r="N12" s="9">
        <f t="shared" si="0"/>
        <v>221</v>
      </c>
      <c r="O12" s="9">
        <f>14+E12</f>
        <v>221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'0508'!O13</f>
        <v>612</v>
      </c>
      <c r="E13" s="14"/>
      <c r="F13" s="11">
        <v>12</v>
      </c>
      <c r="G13" s="11">
        <v>80</v>
      </c>
      <c r="H13" s="11">
        <v>200</v>
      </c>
      <c r="I13" s="11"/>
      <c r="J13" s="11"/>
      <c r="K13" s="11"/>
      <c r="L13" s="11"/>
      <c r="M13" s="11"/>
      <c r="N13" s="9">
        <f t="shared" si="0"/>
        <v>320</v>
      </c>
      <c r="O13" s="9">
        <v>320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'0508'!O14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'0508'!O15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'0508'!O16</f>
        <v>9</v>
      </c>
      <c r="E16" s="14">
        <v>2</v>
      </c>
      <c r="F16" s="11">
        <v>2</v>
      </c>
      <c r="G16" s="11">
        <v>3</v>
      </c>
      <c r="H16" s="11">
        <v>2</v>
      </c>
      <c r="I16" s="11"/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'0508'!O17</f>
        <v>0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'0508'!O18</f>
        <v>0</v>
      </c>
      <c r="E18" s="14">
        <v>1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'0508'!O19</f>
        <v>2</v>
      </c>
      <c r="E19" s="14">
        <v>2</v>
      </c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'0508'!O20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'0508'!O21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'0508'!O22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'0508'!O23</f>
        <v>0</v>
      </c>
      <c r="E23" s="14">
        <f>32+30</f>
        <v>62</v>
      </c>
      <c r="F23" s="9">
        <v>30</v>
      </c>
      <c r="G23" s="9"/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'0508'!O24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'0508'!O26</f>
        <v>266</v>
      </c>
      <c r="E26" s="10">
        <v>70</v>
      </c>
      <c r="F26" s="9">
        <v>115</v>
      </c>
      <c r="G26" s="11"/>
      <c r="H26" s="9"/>
      <c r="I26" s="9"/>
      <c r="J26" s="9"/>
      <c r="K26" s="9"/>
      <c r="L26" s="9"/>
      <c r="M26" s="9"/>
      <c r="N26" s="9">
        <f>D26+E26-SUM(F26:M26)</f>
        <v>221</v>
      </c>
      <c r="O26" s="9">
        <v>221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'0508'!O27</f>
        <v>110</v>
      </c>
      <c r="E27" s="9">
        <v>61</v>
      </c>
      <c r="F27" s="9">
        <v>45</v>
      </c>
      <c r="G27" s="11"/>
      <c r="H27" s="9"/>
      <c r="I27" s="9"/>
      <c r="J27" s="9"/>
      <c r="K27" s="9"/>
      <c r="L27" s="9"/>
      <c r="M27" s="9"/>
      <c r="N27" s="9">
        <f>D27+E27-SUM(F27:M27)</f>
        <v>126</v>
      </c>
      <c r="O27" s="9">
        <v>126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'0508'!O28</f>
        <v>423</v>
      </c>
      <c r="E28" s="9">
        <v>155</v>
      </c>
      <c r="F28" s="9">
        <v>134</v>
      </c>
      <c r="G28" s="11"/>
      <c r="H28" s="9"/>
      <c r="I28" s="9"/>
      <c r="J28" s="9"/>
      <c r="K28" s="9"/>
      <c r="L28" s="9"/>
      <c r="M28" s="9"/>
      <c r="N28" s="9">
        <f>D28+E28-SUM(F28:M28)</f>
        <v>444</v>
      </c>
      <c r="O28" s="9">
        <v>444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'0508'!O29</f>
        <v>143</v>
      </c>
      <c r="E29" s="9">
        <v>39</v>
      </c>
      <c r="F29" s="9">
        <v>72</v>
      </c>
      <c r="G29" s="11"/>
      <c r="H29" s="9"/>
      <c r="I29" s="9"/>
      <c r="J29" s="9"/>
      <c r="K29" s="9"/>
      <c r="L29" s="9"/>
      <c r="M29" s="9"/>
      <c r="N29" s="9">
        <f>D29+E29-SUM(F29:M29)</f>
        <v>110</v>
      </c>
      <c r="O29" s="9">
        <v>110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DATE(2015,8,6)</f>
        <v>42222</v>
      </c>
      <c r="E5" s="293">
        <f>D5+1</f>
        <v>42223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28"/>
      <c r="M6" s="128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49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'0608'!O8</f>
        <v>292</v>
      </c>
      <c r="E8" s="10">
        <f>84+97+75</f>
        <v>256</v>
      </c>
      <c r="F8" s="11">
        <v>55</v>
      </c>
      <c r="G8" s="11">
        <v>150</v>
      </c>
      <c r="H8" s="11"/>
      <c r="I8" s="11"/>
      <c r="J8" s="11"/>
      <c r="K8" s="11"/>
      <c r="L8" s="11"/>
      <c r="M8" s="11"/>
      <c r="N8" s="9">
        <f t="shared" ref="N8:N24" si="0">D8+E8-SUM(F8:M8)</f>
        <v>343</v>
      </c>
      <c r="O8" s="9">
        <f>30+E8+57</f>
        <v>343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'0608'!O9</f>
        <v>90</v>
      </c>
      <c r="E9" s="14"/>
      <c r="F9" s="11"/>
      <c r="G9" s="11">
        <v>90</v>
      </c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'0608'!O10</f>
        <v>210</v>
      </c>
      <c r="E10" s="10">
        <v>165</v>
      </c>
      <c r="F10" s="11">
        <v>30</v>
      </c>
      <c r="G10" s="11">
        <v>150</v>
      </c>
      <c r="H10" s="11"/>
      <c r="I10" s="11"/>
      <c r="J10" s="11"/>
      <c r="K10" s="11"/>
      <c r="L10" s="11"/>
      <c r="M10" s="11"/>
      <c r="N10" s="9">
        <f t="shared" si="0"/>
        <v>195</v>
      </c>
      <c r="O10" s="9">
        <f>30+E10</f>
        <v>195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'0608'!O11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'0608'!O12</f>
        <v>221</v>
      </c>
      <c r="E12" s="14">
        <v>118</v>
      </c>
      <c r="F12" s="11">
        <v>44</v>
      </c>
      <c r="G12" s="11">
        <v>100</v>
      </c>
      <c r="H12" s="11"/>
      <c r="I12" s="11"/>
      <c r="J12" s="11"/>
      <c r="K12" s="11"/>
      <c r="L12" s="11"/>
      <c r="M12" s="11"/>
      <c r="N12" s="9">
        <f t="shared" si="0"/>
        <v>195</v>
      </c>
      <c r="O12" s="9">
        <f>77+E12</f>
        <v>195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'0608'!O13</f>
        <v>320</v>
      </c>
      <c r="E13" s="14">
        <v>153</v>
      </c>
      <c r="F13" s="11">
        <v>22</v>
      </c>
      <c r="G13" s="11">
        <v>100</v>
      </c>
      <c r="H13" s="11"/>
      <c r="I13" s="11"/>
      <c r="J13" s="11"/>
      <c r="K13" s="11"/>
      <c r="L13" s="11"/>
      <c r="M13" s="11"/>
      <c r="N13" s="9">
        <f t="shared" si="0"/>
        <v>351</v>
      </c>
      <c r="O13" s="9">
        <f>152+46+E13</f>
        <v>351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'0608'!O14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'0608'!O15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'0608'!O16</f>
        <v>4</v>
      </c>
      <c r="E16" s="14">
        <v>4</v>
      </c>
      <c r="F16" s="11"/>
      <c r="G16" s="11">
        <v>4</v>
      </c>
      <c r="H16" s="11"/>
      <c r="I16" s="11"/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'0608'!O17</f>
        <v>2</v>
      </c>
      <c r="E17" s="14">
        <v>2</v>
      </c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'0608'!O18</f>
        <v>1</v>
      </c>
      <c r="E18" s="14">
        <v>1</v>
      </c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'0608'!O19</f>
        <v>3</v>
      </c>
      <c r="E19" s="14"/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'0608'!O20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'0608'!O21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'0608'!O22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'0608'!O23</f>
        <v>32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'0608'!O24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'0608'!O26</f>
        <v>221</v>
      </c>
      <c r="E26" s="10">
        <v>140</v>
      </c>
      <c r="F26" s="9">
        <v>101</v>
      </c>
      <c r="G26" s="11"/>
      <c r="H26" s="9"/>
      <c r="I26" s="9"/>
      <c r="J26" s="9"/>
      <c r="K26" s="9"/>
      <c r="L26" s="9"/>
      <c r="M26" s="9"/>
      <c r="N26" s="9">
        <f>D26+E26-SUM(F26:M26)</f>
        <v>260</v>
      </c>
      <c r="O26" s="9">
        <v>260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'0608'!O27</f>
        <v>126</v>
      </c>
      <c r="E27" s="9">
        <v>65</v>
      </c>
      <c r="F27" s="9">
        <v>45</v>
      </c>
      <c r="G27" s="11"/>
      <c r="H27" s="9"/>
      <c r="I27" s="9"/>
      <c r="J27" s="9"/>
      <c r="K27" s="9"/>
      <c r="L27" s="9"/>
      <c r="M27" s="9"/>
      <c r="N27" s="9">
        <f>D27+E27-SUM(F27:M27)</f>
        <v>146</v>
      </c>
      <c r="O27" s="9">
        <v>146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'0608'!O28</f>
        <v>444</v>
      </c>
      <c r="E28" s="9">
        <v>70</v>
      </c>
      <c r="F28" s="9">
        <v>127</v>
      </c>
      <c r="G28" s="11"/>
      <c r="H28" s="9"/>
      <c r="I28" s="9"/>
      <c r="J28" s="9"/>
      <c r="K28" s="9"/>
      <c r="L28" s="9"/>
      <c r="M28" s="9"/>
      <c r="N28" s="9">
        <f>D28+E28-SUM(F28:M28)</f>
        <v>387</v>
      </c>
      <c r="O28" s="9">
        <v>387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'0608'!O29</f>
        <v>110</v>
      </c>
      <c r="E29" s="9">
        <v>81</v>
      </c>
      <c r="F29" s="9">
        <v>110</v>
      </c>
      <c r="G29" s="11"/>
      <c r="H29" s="9"/>
      <c r="I29" s="9"/>
      <c r="J29" s="9"/>
      <c r="K29" s="9"/>
      <c r="L29" s="9"/>
      <c r="M29" s="9"/>
      <c r="N29" s="9">
        <f>D29+E29-SUM(F29:M29)</f>
        <v>81</v>
      </c>
      <c r="O29" s="9">
        <v>81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3" workbookViewId="0">
      <pane xSplit="2" ySplit="5" topLeftCell="C20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DATE(2015,4,12)</f>
        <v>42106</v>
      </c>
      <c r="E5" s="293">
        <f>D5+1</f>
        <v>42107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34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45</v>
      </c>
      <c r="H7" s="5" t="s">
        <v>50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VLOOKUP($B8,'1204'!$B8:$K22,10,0)</f>
        <v>197</v>
      </c>
      <c r="E8" s="10">
        <v>156</v>
      </c>
      <c r="F8" s="11">
        <v>50</v>
      </c>
      <c r="G8" s="11">
        <v>36</v>
      </c>
      <c r="H8" s="11">
        <v>30</v>
      </c>
      <c r="I8" s="11"/>
      <c r="J8" s="11"/>
      <c r="K8" s="9">
        <f t="shared" ref="K8:K19" si="0">D8+E8-SUM(F8:J8)</f>
        <v>237</v>
      </c>
      <c r="L8" s="9">
        <v>237</v>
      </c>
      <c r="M8" s="9">
        <f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VLOOKUP($B9,'1204'!$B9:$K23,10,0)</f>
        <v>0</v>
      </c>
      <c r="E9" s="14"/>
      <c r="F9" s="11"/>
      <c r="G9" s="11">
        <v>0</v>
      </c>
      <c r="H9" s="11">
        <v>0</v>
      </c>
      <c r="I9" s="11"/>
      <c r="J9" s="11"/>
      <c r="K9" s="9">
        <f t="shared" si="0"/>
        <v>0</v>
      </c>
      <c r="L9" s="9">
        <v>0</v>
      </c>
      <c r="M9" s="9">
        <f t="shared" ref="M9:M19" si="1">L9-K9</f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VLOOKUP($B10,'1204'!$B10:$K24,10,0)</f>
        <v>126</v>
      </c>
      <c r="E10" s="10">
        <v>81</v>
      </c>
      <c r="F10" s="11"/>
      <c r="G10" s="11">
        <v>26</v>
      </c>
      <c r="H10" s="11">
        <v>100</v>
      </c>
      <c r="I10" s="11"/>
      <c r="J10" s="11"/>
      <c r="K10" s="9">
        <f t="shared" si="0"/>
        <v>81</v>
      </c>
      <c r="L10" s="9">
        <v>81</v>
      </c>
      <c r="M10" s="9">
        <f t="shared" si="1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VLOOKUP($B11,'1204'!$B11:$K25,10,0)</f>
        <v>78</v>
      </c>
      <c r="E11" s="10"/>
      <c r="F11" s="11"/>
      <c r="G11" s="11">
        <v>40</v>
      </c>
      <c r="H11" s="11"/>
      <c r="I11" s="11"/>
      <c r="J11" s="11"/>
      <c r="K11" s="9">
        <f t="shared" si="0"/>
        <v>38</v>
      </c>
      <c r="L11" s="9">
        <v>38</v>
      </c>
      <c r="M11" s="9">
        <f t="shared" si="1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VLOOKUP($B12,'1204'!$B12:$K26,10,0)</f>
        <v>145</v>
      </c>
      <c r="E12" s="14">
        <v>86</v>
      </c>
      <c r="F12" s="11"/>
      <c r="G12" s="11">
        <v>64</v>
      </c>
      <c r="H12" s="11">
        <v>80</v>
      </c>
      <c r="I12" s="11"/>
      <c r="J12" s="11"/>
      <c r="K12" s="9">
        <f t="shared" si="0"/>
        <v>87</v>
      </c>
      <c r="L12" s="9">
        <v>87</v>
      </c>
      <c r="M12" s="9">
        <f t="shared" si="1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VLOOKUP($B13,'1204'!$B13:$K27,10,0)</f>
        <v>76</v>
      </c>
      <c r="E13" s="14">
        <v>57</v>
      </c>
      <c r="F13" s="11">
        <v>20</v>
      </c>
      <c r="G13" s="11"/>
      <c r="H13" s="11">
        <v>57</v>
      </c>
      <c r="I13" s="11"/>
      <c r="J13" s="11"/>
      <c r="K13" s="9">
        <f t="shared" si="0"/>
        <v>56</v>
      </c>
      <c r="L13" s="9">
        <v>56</v>
      </c>
      <c r="M13" s="9">
        <f t="shared" si="1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VLOOKUP($B14,'1204'!$B14:$K28,10,0)</f>
        <v>0</v>
      </c>
      <c r="E14" s="14"/>
      <c r="F14" s="11"/>
      <c r="G14" s="11"/>
      <c r="H14" s="11"/>
      <c r="I14" s="11"/>
      <c r="J14" s="11"/>
      <c r="K14" s="9">
        <f t="shared" si="0"/>
        <v>0</v>
      </c>
      <c r="L14" s="9">
        <v>0</v>
      </c>
      <c r="M14" s="9">
        <f t="shared" si="1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VLOOKUP($B15,'1204'!$B15:$K29,10,0)</f>
        <v>0</v>
      </c>
      <c r="E15" s="14"/>
      <c r="F15" s="11"/>
      <c r="G15" s="11"/>
      <c r="H15" s="11"/>
      <c r="I15" s="11"/>
      <c r="J15" s="11"/>
      <c r="K15" s="9">
        <f t="shared" si="0"/>
        <v>0</v>
      </c>
      <c r="L15" s="9">
        <v>0</v>
      </c>
      <c r="M15" s="9">
        <f t="shared" si="1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VLOOKUP($B16,'1204'!$B16:$K30,10,0)</f>
        <v>4</v>
      </c>
      <c r="E16" s="14">
        <v>2</v>
      </c>
      <c r="F16" s="11">
        <v>1</v>
      </c>
      <c r="G16" s="11">
        <v>1</v>
      </c>
      <c r="H16" s="11"/>
      <c r="I16" s="11"/>
      <c r="J16" s="11"/>
      <c r="K16" s="9">
        <f t="shared" si="0"/>
        <v>4</v>
      </c>
      <c r="L16" s="9">
        <v>4</v>
      </c>
      <c r="M16" s="9">
        <f t="shared" si="1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VLOOKUP($B17,'1204'!$B17:$K31,10,0)</f>
        <v>3</v>
      </c>
      <c r="E17" s="14"/>
      <c r="F17" s="11"/>
      <c r="G17" s="11">
        <v>1</v>
      </c>
      <c r="H17" s="11"/>
      <c r="I17" s="11"/>
      <c r="J17" s="11"/>
      <c r="K17" s="9">
        <f t="shared" si="0"/>
        <v>2</v>
      </c>
      <c r="L17" s="9">
        <v>2</v>
      </c>
      <c r="M17" s="9">
        <f t="shared" si="1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VLOOKUP($B18,'1204'!$B18:$K32,10,0)</f>
        <v>2</v>
      </c>
      <c r="E18" s="14"/>
      <c r="F18" s="11"/>
      <c r="G18" s="11"/>
      <c r="H18" s="11"/>
      <c r="I18" s="11"/>
      <c r="J18" s="11"/>
      <c r="K18" s="9">
        <f t="shared" si="0"/>
        <v>2</v>
      </c>
      <c r="L18" s="9">
        <v>2</v>
      </c>
      <c r="M18" s="9">
        <f t="shared" si="1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VLOOKUP($B19,'1204'!$B19:$K33,10,0)</f>
        <v>1</v>
      </c>
      <c r="E19" s="14"/>
      <c r="F19" s="11"/>
      <c r="G19" s="11"/>
      <c r="H19" s="11">
        <v>1</v>
      </c>
      <c r="I19" s="11"/>
      <c r="J19" s="11"/>
      <c r="K19" s="9">
        <f t="shared" si="0"/>
        <v>0</v>
      </c>
      <c r="L19" s="9"/>
      <c r="M19" s="9">
        <f t="shared" si="1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VLOOKUP($B20,'1204'!$B20:$K34,10,0)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VLOOKUP($B21,'1204'!$B21:$K35,10,0)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VLOOKUP($B22,'1204'!$B22:$K36,10,0)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SUM(D8:D22)</f>
        <v>632</v>
      </c>
      <c r="E24" s="9">
        <f>SUM(E8:E22)</f>
        <v>382</v>
      </c>
      <c r="F24" s="9"/>
      <c r="G24" s="9"/>
      <c r="H24" s="9"/>
      <c r="I24" s="9">
        <f>SUM(I8:I22)</f>
        <v>0</v>
      </c>
      <c r="J24" s="9"/>
      <c r="K24" s="9">
        <f>SUM(K8:K22)</f>
        <v>507</v>
      </c>
      <c r="L24" s="9">
        <f>SUM(L8:L22)</f>
        <v>507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VLOOKUP($B26,'1204'!$B26:$K29,10,0)</f>
        <v>169</v>
      </c>
      <c r="E26" s="10">
        <v>141</v>
      </c>
      <c r="F26" s="9">
        <v>98</v>
      </c>
      <c r="G26" s="11"/>
      <c r="H26" s="9"/>
      <c r="I26" s="9"/>
      <c r="J26" s="9"/>
      <c r="K26" s="9">
        <f>D26+E26-F26</f>
        <v>212</v>
      </c>
      <c r="L26" s="9">
        <v>212</v>
      </c>
      <c r="M26" s="9">
        <f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VLOOKUP($B27,'1204'!$B27:$K30,10,0)</f>
        <v>79</v>
      </c>
      <c r="E27" s="9">
        <v>30</v>
      </c>
      <c r="F27" s="9">
        <v>39</v>
      </c>
      <c r="G27" s="11"/>
      <c r="H27" s="9"/>
      <c r="I27" s="9"/>
      <c r="J27" s="9"/>
      <c r="K27" s="9">
        <f>D27+E27-F27</f>
        <v>70</v>
      </c>
      <c r="L27" s="9">
        <v>70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VLOOKUP($B28,'1204'!$B28:$K31,10,0)</f>
        <v>316</v>
      </c>
      <c r="E28" s="9">
        <v>152</v>
      </c>
      <c r="F28" s="9">
        <v>151</v>
      </c>
      <c r="G28" s="11"/>
      <c r="H28" s="9"/>
      <c r="I28" s="9"/>
      <c r="J28" s="9"/>
      <c r="K28" s="9">
        <f>D28+E28-F28</f>
        <v>317</v>
      </c>
      <c r="L28" s="9">
        <v>317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VLOOKUP($B29,'1204'!$B29:$K32,10,0)</f>
        <v>64</v>
      </c>
      <c r="E29" s="9">
        <v>61</v>
      </c>
      <c r="F29" s="9">
        <v>56</v>
      </c>
      <c r="G29" s="11"/>
      <c r="H29" s="9"/>
      <c r="I29" s="9"/>
      <c r="J29" s="9"/>
      <c r="K29" s="9">
        <f>D29+E29-F29</f>
        <v>69</v>
      </c>
      <c r="L29" s="9">
        <v>69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DATE(2015,8,7)</f>
        <v>42223</v>
      </c>
      <c r="E5" s="293">
        <f>D5+1</f>
        <v>42224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29"/>
      <c r="M6" s="129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43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'0708'!O8</f>
        <v>343</v>
      </c>
      <c r="E8" s="10">
        <f>103+103</f>
        <v>206</v>
      </c>
      <c r="F8" s="11">
        <v>55</v>
      </c>
      <c r="G8" s="11">
        <v>166</v>
      </c>
      <c r="H8" s="11"/>
      <c r="I8" s="11"/>
      <c r="J8" s="11"/>
      <c r="K8" s="11"/>
      <c r="L8" s="11"/>
      <c r="M8" s="11"/>
      <c r="N8" s="9">
        <f t="shared" ref="N8:N24" si="0">D8+E8-SUM(F8:M8)</f>
        <v>328</v>
      </c>
      <c r="O8" s="9">
        <f>120+E8</f>
        <v>326</v>
      </c>
      <c r="P8" s="9">
        <f t="shared" ref="P8:P19" si="1">O8-N8</f>
        <v>-2</v>
      </c>
    </row>
    <row r="9" spans="1:16" ht="18.75">
      <c r="A9" s="6">
        <v>2</v>
      </c>
      <c r="B9" s="12" t="s">
        <v>14</v>
      </c>
      <c r="C9" s="13" t="s">
        <v>13</v>
      </c>
      <c r="D9" s="9">
        <f>'0708'!O9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'0708'!O10</f>
        <v>195</v>
      </c>
      <c r="E10" s="10">
        <v>201</v>
      </c>
      <c r="F10" s="11">
        <v>15</v>
      </c>
      <c r="G10" s="11">
        <v>150</v>
      </c>
      <c r="H10" s="11"/>
      <c r="I10" s="11"/>
      <c r="J10" s="11"/>
      <c r="K10" s="11"/>
      <c r="L10" s="11"/>
      <c r="M10" s="11"/>
      <c r="N10" s="9">
        <f t="shared" si="0"/>
        <v>231</v>
      </c>
      <c r="O10" s="9">
        <f>30+E10</f>
        <v>231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'0708'!O11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'0708'!O12</f>
        <v>195</v>
      </c>
      <c r="E12" s="14">
        <v>128</v>
      </c>
      <c r="F12" s="11">
        <v>27</v>
      </c>
      <c r="G12" s="11"/>
      <c r="H12" s="11"/>
      <c r="I12" s="11"/>
      <c r="J12" s="11"/>
      <c r="K12" s="11"/>
      <c r="L12" s="11"/>
      <c r="M12" s="11"/>
      <c r="N12" s="9">
        <f t="shared" si="0"/>
        <v>296</v>
      </c>
      <c r="O12" s="9">
        <f>118+50+E12</f>
        <v>296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'0708'!O13</f>
        <v>351</v>
      </c>
      <c r="E13" s="14">
        <v>116</v>
      </c>
      <c r="F13" s="11">
        <v>22</v>
      </c>
      <c r="G13" s="11">
        <v>80</v>
      </c>
      <c r="H13" s="11"/>
      <c r="I13" s="11"/>
      <c r="J13" s="11"/>
      <c r="K13" s="11"/>
      <c r="L13" s="11"/>
      <c r="M13" s="11"/>
      <c r="N13" s="9">
        <f t="shared" si="0"/>
        <v>365</v>
      </c>
      <c r="O13" s="9">
        <f>153+96+E13</f>
        <v>365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'0708'!O14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'0708'!O15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'0708'!O16</f>
        <v>4</v>
      </c>
      <c r="E16" s="14">
        <v>4</v>
      </c>
      <c r="F16" s="11">
        <v>1</v>
      </c>
      <c r="G16" s="11">
        <v>3</v>
      </c>
      <c r="H16" s="11"/>
      <c r="I16" s="11"/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'0708'!O17</f>
        <v>2</v>
      </c>
      <c r="E17" s="14"/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'0708'!O18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'0708'!O19</f>
        <v>1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'0708'!O20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'0708'!O21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'0708'!O22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'0708'!O23</f>
        <v>72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112</v>
      </c>
      <c r="O23" s="9">
        <v>112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'0708'!O24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'0708'!O26</f>
        <v>260</v>
      </c>
      <c r="E26" s="10">
        <v>59</v>
      </c>
      <c r="F26" s="9">
        <v>115</v>
      </c>
      <c r="G26" s="11"/>
      <c r="H26" s="9"/>
      <c r="I26" s="9"/>
      <c r="J26" s="9"/>
      <c r="K26" s="9"/>
      <c r="L26" s="9"/>
      <c r="M26" s="9"/>
      <c r="N26" s="9">
        <f>D26+E26-SUM(F26:M26)</f>
        <v>204</v>
      </c>
      <c r="O26" s="9">
        <v>204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'0708'!O27</f>
        <v>146</v>
      </c>
      <c r="E27" s="9"/>
      <c r="F27" s="9">
        <v>40</v>
      </c>
      <c r="G27" s="11"/>
      <c r="H27" s="9"/>
      <c r="I27" s="9"/>
      <c r="J27" s="9"/>
      <c r="K27" s="9"/>
      <c r="L27" s="9"/>
      <c r="M27" s="9"/>
      <c r="N27" s="9">
        <f>D27+E27-SUM(F27:M27)</f>
        <v>106</v>
      </c>
      <c r="O27" s="9">
        <v>106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'0708'!O28</f>
        <v>387</v>
      </c>
      <c r="E28" s="9">
        <v>73</v>
      </c>
      <c r="F28" s="9">
        <v>144</v>
      </c>
      <c r="G28" s="11"/>
      <c r="H28" s="9"/>
      <c r="I28" s="9"/>
      <c r="J28" s="9"/>
      <c r="K28" s="9"/>
      <c r="L28" s="9"/>
      <c r="M28" s="9"/>
      <c r="N28" s="9">
        <f>D28+E28-SUM(F28:M28)</f>
        <v>316</v>
      </c>
      <c r="O28" s="9">
        <v>316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'0708'!O29</f>
        <v>81</v>
      </c>
      <c r="E29" s="9">
        <v>81</v>
      </c>
      <c r="F29" s="9">
        <v>42</v>
      </c>
      <c r="G29" s="11"/>
      <c r="H29" s="9"/>
      <c r="I29" s="9"/>
      <c r="J29" s="9"/>
      <c r="K29" s="9"/>
      <c r="L29" s="9"/>
      <c r="M29" s="9"/>
      <c r="N29" s="9">
        <f>D29+E29-SUM(F29:M29)</f>
        <v>120</v>
      </c>
      <c r="O29" s="9">
        <v>120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DATE(2015,8,7)</f>
        <v>42223</v>
      </c>
      <c r="E5" s="293">
        <f>D5+1</f>
        <v>42224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30"/>
      <c r="M6" s="130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40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'0808'!O8</f>
        <v>326</v>
      </c>
      <c r="E8" s="10"/>
      <c r="F8" s="11">
        <v>60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266</v>
      </c>
      <c r="O8" s="9">
        <f>120+18+128</f>
        <v>266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'0808'!O9</f>
        <v>0</v>
      </c>
      <c r="E9" s="14">
        <f>76+77+93</f>
        <v>246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246</v>
      </c>
      <c r="O9" s="9">
        <f>E9</f>
        <v>246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'0808'!O10</f>
        <v>231</v>
      </c>
      <c r="E10" s="10"/>
      <c r="F10" s="11">
        <v>20</v>
      </c>
      <c r="G10" s="11"/>
      <c r="H10" s="11"/>
      <c r="I10" s="11"/>
      <c r="J10" s="11"/>
      <c r="K10" s="11"/>
      <c r="L10" s="11"/>
      <c r="M10" s="11"/>
      <c r="N10" s="9">
        <f t="shared" si="0"/>
        <v>211</v>
      </c>
      <c r="O10" s="9">
        <f>211+E10</f>
        <v>211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'0808'!O11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'0808'!O12</f>
        <v>296</v>
      </c>
      <c r="E12" s="14">
        <v>174</v>
      </c>
      <c r="F12" s="11">
        <v>10</v>
      </c>
      <c r="G12" s="11"/>
      <c r="H12" s="11"/>
      <c r="I12" s="11"/>
      <c r="J12" s="11"/>
      <c r="K12" s="11"/>
      <c r="L12" s="11"/>
      <c r="M12" s="11"/>
      <c r="N12" s="9">
        <f t="shared" si="0"/>
        <v>460</v>
      </c>
      <c r="O12" s="9">
        <f>128+158+E12</f>
        <v>460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'0808'!O13</f>
        <v>365</v>
      </c>
      <c r="E13" s="14"/>
      <c r="F13" s="11">
        <v>16</v>
      </c>
      <c r="G13" s="11"/>
      <c r="H13" s="11"/>
      <c r="I13" s="11"/>
      <c r="J13" s="11"/>
      <c r="K13" s="11"/>
      <c r="L13" s="11"/>
      <c r="M13" s="11"/>
      <c r="N13" s="9">
        <f t="shared" si="0"/>
        <v>349</v>
      </c>
      <c r="O13" s="9">
        <f>80+153+116</f>
        <v>349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'0808'!O14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'0808'!O15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'0808'!O16</f>
        <v>4</v>
      </c>
      <c r="E16" s="14">
        <v>2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'0808'!O17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'0808'!O18</f>
        <v>0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'0808'!O19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'0808'!O20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'0808'!O21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'0808'!O22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'0808'!O23</f>
        <v>112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112</v>
      </c>
      <c r="O23" s="9">
        <v>112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'0808'!O24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'0808'!O26</f>
        <v>204</v>
      </c>
      <c r="E26" s="10">
        <v>140</v>
      </c>
      <c r="F26" s="9">
        <v>130</v>
      </c>
      <c r="G26" s="11"/>
      <c r="H26" s="9"/>
      <c r="I26" s="9"/>
      <c r="J26" s="9"/>
      <c r="K26" s="9"/>
      <c r="L26" s="9"/>
      <c r="M26" s="9"/>
      <c r="N26" s="9">
        <f>D26+E26-SUM(F26:M26)</f>
        <v>214</v>
      </c>
      <c r="O26" s="9">
        <v>214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'0808'!O27</f>
        <v>106</v>
      </c>
      <c r="E27" s="9">
        <v>57</v>
      </c>
      <c r="F27" s="9">
        <v>40</v>
      </c>
      <c r="G27" s="11"/>
      <c r="H27" s="9"/>
      <c r="I27" s="9"/>
      <c r="J27" s="9"/>
      <c r="K27" s="9"/>
      <c r="L27" s="9"/>
      <c r="M27" s="9"/>
      <c r="N27" s="9">
        <f>D27+E27-SUM(F27:M27)</f>
        <v>123</v>
      </c>
      <c r="O27" s="9">
        <v>123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'0808'!O28</f>
        <v>316</v>
      </c>
      <c r="E28" s="9">
        <v>152</v>
      </c>
      <c r="F28" s="9">
        <v>121</v>
      </c>
      <c r="G28" s="11"/>
      <c r="H28" s="9"/>
      <c r="I28" s="9"/>
      <c r="J28" s="9"/>
      <c r="K28" s="9"/>
      <c r="L28" s="9"/>
      <c r="M28" s="9"/>
      <c r="N28" s="9">
        <f>D28+E28-SUM(F28:M28)</f>
        <v>347</v>
      </c>
      <c r="O28" s="9">
        <v>347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'0808'!O29</f>
        <v>120</v>
      </c>
      <c r="E29" s="9">
        <v>81</v>
      </c>
      <c r="F29" s="9">
        <v>74</v>
      </c>
      <c r="G29" s="11"/>
      <c r="H29" s="9"/>
      <c r="I29" s="9"/>
      <c r="J29" s="9"/>
      <c r="K29" s="9"/>
      <c r="L29" s="9"/>
      <c r="M29" s="9"/>
      <c r="N29" s="9">
        <f>D29+E29-SUM(F29:M29)</f>
        <v>127</v>
      </c>
      <c r="O29" s="9">
        <v>127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9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DATE(2015,8,9)</f>
        <v>42225</v>
      </c>
      <c r="E5" s="293">
        <f>D5+1</f>
        <v>42226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30"/>
      <c r="M6" s="130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54</v>
      </c>
      <c r="H7" s="5" t="s">
        <v>76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'0908'!O8</f>
        <v>266</v>
      </c>
      <c r="E8" s="10">
        <f>90+113+115+94</f>
        <v>412</v>
      </c>
      <c r="F8" s="11">
        <v>60</v>
      </c>
      <c r="G8" s="11">
        <v>40</v>
      </c>
      <c r="H8" s="11"/>
      <c r="I8" s="11"/>
      <c r="J8" s="11"/>
      <c r="K8" s="11"/>
      <c r="L8" s="11"/>
      <c r="M8" s="11"/>
      <c r="N8" s="9">
        <f t="shared" ref="N8:N24" si="0">D8+E8-SUM(F8:M8)</f>
        <v>578</v>
      </c>
      <c r="O8" s="9">
        <f>80+18+E8+68</f>
        <v>578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'0908'!O9</f>
        <v>246</v>
      </c>
      <c r="E9" s="14"/>
      <c r="F9" s="11">
        <v>10</v>
      </c>
      <c r="G9" s="11">
        <v>60</v>
      </c>
      <c r="H9" s="11"/>
      <c r="I9" s="11"/>
      <c r="J9" s="11"/>
      <c r="K9" s="11"/>
      <c r="L9" s="11"/>
      <c r="M9" s="11"/>
      <c r="N9" s="9">
        <f t="shared" si="0"/>
        <v>176</v>
      </c>
      <c r="O9" s="9">
        <f>120+56</f>
        <v>176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'0908'!O10</f>
        <v>211</v>
      </c>
      <c r="E10" s="10"/>
      <c r="F10" s="11">
        <v>10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151</v>
      </c>
      <c r="O10" s="9">
        <v>151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'0908'!O11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'0908'!O12</f>
        <v>460</v>
      </c>
      <c r="E12" s="14">
        <v>166</v>
      </c>
      <c r="F12" s="11">
        <v>18</v>
      </c>
      <c r="G12" s="11">
        <v>20</v>
      </c>
      <c r="H12" s="11"/>
      <c r="I12" s="11"/>
      <c r="J12" s="11"/>
      <c r="K12" s="11"/>
      <c r="L12" s="11"/>
      <c r="M12" s="11"/>
      <c r="N12" s="9">
        <f t="shared" si="0"/>
        <v>588</v>
      </c>
      <c r="O12" s="9">
        <f>130+118+174+E12</f>
        <v>588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'0908'!O13</f>
        <v>349</v>
      </c>
      <c r="E13" s="14">
        <v>144</v>
      </c>
      <c r="F13" s="11">
        <v>10</v>
      </c>
      <c r="G13" s="11">
        <v>10</v>
      </c>
      <c r="H13" s="11"/>
      <c r="I13" s="11"/>
      <c r="J13" s="11"/>
      <c r="K13" s="11"/>
      <c r="L13" s="11"/>
      <c r="M13" s="11"/>
      <c r="N13" s="9">
        <f t="shared" si="0"/>
        <v>473</v>
      </c>
      <c r="O13" s="9">
        <v>473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'0908'!O14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'0908'!O15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'0908'!O16</f>
        <v>5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'0908'!O17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'0908'!O18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'0908'!O19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'0908'!O20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'0908'!O21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'0908'!O22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'0908'!O23</f>
        <v>112</v>
      </c>
      <c r="E23" s="14"/>
      <c r="F23" s="9"/>
      <c r="G23" s="9"/>
      <c r="H23" s="9">
        <v>112</v>
      </c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'0908'!O24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'0908'!O26</f>
        <v>214</v>
      </c>
      <c r="E26" s="9">
        <v>152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276</v>
      </c>
      <c r="O26" s="9">
        <v>276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'0908'!O27</f>
        <v>123</v>
      </c>
      <c r="E27" s="9">
        <v>37</v>
      </c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130</v>
      </c>
      <c r="O27" s="9">
        <v>130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'0908'!O28</f>
        <v>347</v>
      </c>
      <c r="E28" s="9">
        <v>82</v>
      </c>
      <c r="F28" s="9">
        <v>87</v>
      </c>
      <c r="G28" s="11"/>
      <c r="H28" s="9"/>
      <c r="I28" s="9"/>
      <c r="J28" s="9"/>
      <c r="K28" s="9"/>
      <c r="L28" s="9"/>
      <c r="M28" s="9"/>
      <c r="N28" s="9">
        <f>D28+E28-SUM(F28:M28)</f>
        <v>342</v>
      </c>
      <c r="O28" s="9">
        <v>342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'0908'!O29</f>
        <v>127</v>
      </c>
      <c r="E29" s="9">
        <v>43</v>
      </c>
      <c r="F29" s="9">
        <v>51</v>
      </c>
      <c r="G29" s="11"/>
      <c r="H29" s="9"/>
      <c r="I29" s="9"/>
      <c r="J29" s="9"/>
      <c r="K29" s="9"/>
      <c r="L29" s="9"/>
      <c r="M29" s="9"/>
      <c r="N29" s="9">
        <f>D29+E29-SUM(F29:M29)</f>
        <v>119</v>
      </c>
      <c r="O29" s="9">
        <v>119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DATE(2015,8,9)</f>
        <v>42225</v>
      </c>
      <c r="E5" s="293">
        <f>D5+1</f>
        <v>42226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31"/>
      <c r="M6" s="131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62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'1008'!O8</f>
        <v>578</v>
      </c>
      <c r="E8" s="10"/>
      <c r="F8" s="11">
        <v>60</v>
      </c>
      <c r="G8" s="11">
        <v>20</v>
      </c>
      <c r="H8" s="11"/>
      <c r="I8" s="11"/>
      <c r="J8" s="11"/>
      <c r="K8" s="11"/>
      <c r="L8" s="11"/>
      <c r="M8" s="11"/>
      <c r="N8" s="9">
        <f t="shared" ref="N8:N24" si="0">D8+E8-SUM(F8:M8)</f>
        <v>498</v>
      </c>
      <c r="O8" s="9">
        <f>120*4+18</f>
        <v>498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'1008'!O9</f>
        <v>176</v>
      </c>
      <c r="E9" s="14">
        <f>78+84+90</f>
        <v>252</v>
      </c>
      <c r="F9" s="11"/>
      <c r="G9" s="11">
        <v>40</v>
      </c>
      <c r="H9" s="11"/>
      <c r="I9" s="11"/>
      <c r="J9" s="11"/>
      <c r="K9" s="11"/>
      <c r="L9" s="11"/>
      <c r="M9" s="11"/>
      <c r="N9" s="9">
        <f t="shared" si="0"/>
        <v>388</v>
      </c>
      <c r="O9" s="9">
        <f>136+E9</f>
        <v>388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'1008'!O10</f>
        <v>151</v>
      </c>
      <c r="E10" s="10">
        <v>202</v>
      </c>
      <c r="F10" s="11"/>
      <c r="G10" s="11">
        <v>40</v>
      </c>
      <c r="H10" s="11"/>
      <c r="I10" s="11"/>
      <c r="J10" s="11"/>
      <c r="K10" s="11"/>
      <c r="L10" s="11"/>
      <c r="M10" s="11"/>
      <c r="N10" s="9">
        <f t="shared" si="0"/>
        <v>313</v>
      </c>
      <c r="O10" s="9">
        <f>111+E10</f>
        <v>313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'1008'!O11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'1008'!O12</f>
        <v>588</v>
      </c>
      <c r="E12" s="14">
        <v>155</v>
      </c>
      <c r="F12" s="11">
        <v>31</v>
      </c>
      <c r="G12" s="11"/>
      <c r="H12" s="11"/>
      <c r="I12" s="11"/>
      <c r="J12" s="11"/>
      <c r="K12" s="11"/>
      <c r="L12" s="11"/>
      <c r="M12" s="11"/>
      <c r="N12" s="9">
        <f t="shared" si="0"/>
        <v>712</v>
      </c>
      <c r="O12" s="9">
        <f>378+190+E13</f>
        <v>712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'1008'!O13</f>
        <v>473</v>
      </c>
      <c r="E13" s="14">
        <v>144</v>
      </c>
      <c r="F13" s="11">
        <v>15</v>
      </c>
      <c r="G13" s="11">
        <v>40</v>
      </c>
      <c r="H13" s="11"/>
      <c r="I13" s="11"/>
      <c r="J13" s="11"/>
      <c r="K13" s="11"/>
      <c r="L13" s="11"/>
      <c r="M13" s="11"/>
      <c r="N13" s="9">
        <f t="shared" si="0"/>
        <v>562</v>
      </c>
      <c r="O13" s="9">
        <f>172+246+E13</f>
        <v>562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'1008'!O14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'1008'!O15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'1008'!O16</f>
        <v>7</v>
      </c>
      <c r="E16" s="14">
        <v>4</v>
      </c>
      <c r="F16" s="11"/>
      <c r="G16" s="11">
        <v>2</v>
      </c>
      <c r="H16" s="11"/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'1008'!O17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'1008'!O18</f>
        <v>2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'1008'!O19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'1008'!O20</f>
        <v>0</v>
      </c>
      <c r="E20" s="14"/>
      <c r="F20" s="11"/>
      <c r="G20" s="11" t="s">
        <v>57</v>
      </c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'1008'!O21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'1008'!O22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'1008'!O23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'1008'!O24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'1008'!O26</f>
        <v>276</v>
      </c>
      <c r="E26" s="10">
        <v>72</v>
      </c>
      <c r="F26" s="9">
        <v>130</v>
      </c>
      <c r="G26" s="11"/>
      <c r="H26" s="9"/>
      <c r="I26" s="9"/>
      <c r="J26" s="9"/>
      <c r="K26" s="9"/>
      <c r="L26" s="9"/>
      <c r="M26" s="9"/>
      <c r="N26" s="9">
        <f>D26+E26-SUM(F26:M26)</f>
        <v>218</v>
      </c>
      <c r="O26" s="9">
        <v>218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'1008'!O27</f>
        <v>130</v>
      </c>
      <c r="E27" s="9"/>
      <c r="F27" s="9">
        <v>31</v>
      </c>
      <c r="G27" s="11"/>
      <c r="H27" s="9"/>
      <c r="I27" s="9"/>
      <c r="J27" s="9"/>
      <c r="K27" s="9"/>
      <c r="L27" s="9"/>
      <c r="M27" s="9"/>
      <c r="N27" s="9">
        <f>D27+E27-SUM(F27:M27)</f>
        <v>99</v>
      </c>
      <c r="O27" s="9">
        <v>99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'1008'!O28</f>
        <v>342</v>
      </c>
      <c r="E28" s="9">
        <v>209</v>
      </c>
      <c r="F28" s="9">
        <v>152</v>
      </c>
      <c r="G28" s="11"/>
      <c r="H28" s="9"/>
      <c r="I28" s="9"/>
      <c r="J28" s="9"/>
      <c r="K28" s="9"/>
      <c r="L28" s="9"/>
      <c r="M28" s="9"/>
      <c r="N28" s="9">
        <f>D28+E28-SUM(F28:M28)</f>
        <v>399</v>
      </c>
      <c r="O28" s="9">
        <v>399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'1008'!O29</f>
        <v>119</v>
      </c>
      <c r="E29" s="9">
        <v>83</v>
      </c>
      <c r="F29" s="9">
        <v>76</v>
      </c>
      <c r="G29" s="11"/>
      <c r="H29" s="9"/>
      <c r="I29" s="9"/>
      <c r="J29" s="9"/>
      <c r="K29" s="9"/>
      <c r="L29" s="9"/>
      <c r="M29" s="9"/>
      <c r="N29" s="9">
        <f>D29+E29-SUM(F29:M29)</f>
        <v>126</v>
      </c>
      <c r="O29" s="9">
        <v>126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2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DATE(2015,8,11)</f>
        <v>42227</v>
      </c>
      <c r="E5" s="293">
        <f>D5+1</f>
        <v>42228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32"/>
      <c r="M6" s="132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40</v>
      </c>
      <c r="H7" s="5" t="s">
        <v>39</v>
      </c>
      <c r="I7" s="5" t="s">
        <v>38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'1108'!O8</f>
        <v>498</v>
      </c>
      <c r="E8" s="10">
        <f>108+118+112+23</f>
        <v>361</v>
      </c>
      <c r="F8" s="11">
        <v>60</v>
      </c>
      <c r="G8" s="11">
        <v>40</v>
      </c>
      <c r="H8" s="11">
        <v>50</v>
      </c>
      <c r="I8" s="11">
        <v>30</v>
      </c>
      <c r="J8" s="11"/>
      <c r="K8" s="11"/>
      <c r="L8" s="11"/>
      <c r="M8" s="11"/>
      <c r="N8" s="9">
        <f t="shared" ref="N8:N24" si="0">D8+E8-SUM(F8:M8)</f>
        <v>679</v>
      </c>
      <c r="O8" s="9">
        <f>120+100+33+E8+65</f>
        <v>679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'1108'!O9</f>
        <v>388</v>
      </c>
      <c r="E9" s="14"/>
      <c r="F9" s="11"/>
      <c r="G9" s="11">
        <v>30</v>
      </c>
      <c r="H9" s="11">
        <v>30</v>
      </c>
      <c r="I9" s="11"/>
      <c r="J9" s="11"/>
      <c r="K9" s="11"/>
      <c r="L9" s="11"/>
      <c r="M9" s="11"/>
      <c r="N9" s="9">
        <f t="shared" si="0"/>
        <v>328</v>
      </c>
      <c r="O9" s="9">
        <f>86+110+132+E9</f>
        <v>328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'1108'!O10</f>
        <v>313</v>
      </c>
      <c r="E10" s="10">
        <v>164</v>
      </c>
      <c r="F10" s="11">
        <v>30</v>
      </c>
      <c r="G10" s="11">
        <v>40</v>
      </c>
      <c r="H10" s="11">
        <v>70</v>
      </c>
      <c r="I10" s="11">
        <v>21</v>
      </c>
      <c r="J10" s="11"/>
      <c r="K10" s="11"/>
      <c r="L10" s="11"/>
      <c r="M10" s="11"/>
      <c r="N10" s="9">
        <f t="shared" si="0"/>
        <v>316</v>
      </c>
      <c r="O10" s="9">
        <f>152+E10</f>
        <v>316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'1108'!O11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'1108'!O12</f>
        <v>712</v>
      </c>
      <c r="E12" s="14">
        <f>155+180</f>
        <v>335</v>
      </c>
      <c r="F12" s="11">
        <v>15</v>
      </c>
      <c r="G12" s="11">
        <v>40</v>
      </c>
      <c r="H12" s="11">
        <v>90</v>
      </c>
      <c r="I12" s="11">
        <v>30</v>
      </c>
      <c r="J12" s="11"/>
      <c r="K12" s="11"/>
      <c r="L12" s="11"/>
      <c r="M12" s="11"/>
      <c r="N12" s="9">
        <f t="shared" si="0"/>
        <v>872</v>
      </c>
      <c r="O12" s="9">
        <f>118+94+170+155+E12</f>
        <v>872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'1108'!O13</f>
        <v>562</v>
      </c>
      <c r="E13" s="14"/>
      <c r="F13" s="11">
        <v>26</v>
      </c>
      <c r="G13" s="11">
        <v>60</v>
      </c>
      <c r="H13" s="11">
        <v>70</v>
      </c>
      <c r="I13" s="11">
        <v>20</v>
      </c>
      <c r="J13" s="11"/>
      <c r="K13" s="11"/>
      <c r="L13" s="11"/>
      <c r="M13" s="11"/>
      <c r="N13" s="9">
        <f t="shared" si="0"/>
        <v>386</v>
      </c>
      <c r="O13" s="9">
        <f>146+106+134+E13</f>
        <v>386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'1108'!O14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'1108'!O15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'1108'!O16</f>
        <v>9</v>
      </c>
      <c r="E16" s="14">
        <v>4</v>
      </c>
      <c r="F16" s="11">
        <v>1</v>
      </c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'1108'!O17</f>
        <v>0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'1108'!O18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'1108'!O19</f>
        <v>2</v>
      </c>
      <c r="E19" s="14">
        <v>1</v>
      </c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'1108'!O20</f>
        <v>0</v>
      </c>
      <c r="E20" s="14"/>
      <c r="F20" s="11"/>
      <c r="G20" s="11" t="s">
        <v>57</v>
      </c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'1108'!O21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'1108'!O22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'1108'!O23</f>
        <v>0</v>
      </c>
      <c r="E23" s="14">
        <v>10</v>
      </c>
      <c r="F23" s="9">
        <v>10</v>
      </c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'1108'!O24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'1108'!O26</f>
        <v>218</v>
      </c>
      <c r="E26" s="10">
        <v>140</v>
      </c>
      <c r="F26" s="9">
        <v>130</v>
      </c>
      <c r="G26" s="11"/>
      <c r="H26" s="9"/>
      <c r="I26" s="9"/>
      <c r="J26" s="9"/>
      <c r="K26" s="9"/>
      <c r="L26" s="9"/>
      <c r="M26" s="9"/>
      <c r="N26" s="9">
        <f>D26+E26-SUM(F26:M26)</f>
        <v>228</v>
      </c>
      <c r="O26" s="9">
        <v>228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'1108'!O27</f>
        <v>99</v>
      </c>
      <c r="E27" s="9">
        <v>56</v>
      </c>
      <c r="F27" s="9">
        <v>35</v>
      </c>
      <c r="G27" s="11"/>
      <c r="H27" s="9"/>
      <c r="I27" s="9"/>
      <c r="J27" s="9"/>
      <c r="K27" s="9"/>
      <c r="L27" s="9"/>
      <c r="M27" s="9"/>
      <c r="N27" s="9">
        <f>D27+E27-SUM(F27:M27)</f>
        <v>120</v>
      </c>
      <c r="O27" s="9">
        <v>120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'1108'!O28</f>
        <v>399</v>
      </c>
      <c r="E28" s="9">
        <v>154</v>
      </c>
      <c r="F28" s="9">
        <v>141</v>
      </c>
      <c r="G28" s="11"/>
      <c r="H28" s="9"/>
      <c r="I28" s="9"/>
      <c r="J28" s="9"/>
      <c r="K28" s="9"/>
      <c r="L28" s="9"/>
      <c r="M28" s="9"/>
      <c r="N28" s="9">
        <f>D28+E28-SUM(F28:M28)</f>
        <v>412</v>
      </c>
      <c r="O28" s="9">
        <v>412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'1108'!O29</f>
        <v>126</v>
      </c>
      <c r="E29" s="9">
        <v>86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147</v>
      </c>
      <c r="O29" s="9">
        <v>147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2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DATE(2015,8,12)</f>
        <v>42228</v>
      </c>
      <c r="E5" s="293">
        <f>D5+1</f>
        <v>42229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33"/>
      <c r="M6" s="133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40</v>
      </c>
      <c r="H7" s="5" t="s">
        <v>52</v>
      </c>
      <c r="I7" s="5" t="s">
        <v>51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'1208'!O8</f>
        <v>679</v>
      </c>
      <c r="E8" s="10">
        <f>100+110</f>
        <v>210</v>
      </c>
      <c r="F8" s="11">
        <v>60</v>
      </c>
      <c r="G8" s="11"/>
      <c r="H8" s="11">
        <v>300</v>
      </c>
      <c r="I8" s="11">
        <v>100</v>
      </c>
      <c r="J8" s="11"/>
      <c r="K8" s="11"/>
      <c r="L8" s="11"/>
      <c r="M8" s="11"/>
      <c r="N8" s="9">
        <f t="shared" ref="N8:N24" si="0">D8+E8-SUM(F8:M8)</f>
        <v>429</v>
      </c>
      <c r="O8" s="9">
        <f>160+E8+59</f>
        <v>429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'1208'!O9</f>
        <v>328</v>
      </c>
      <c r="E9" s="14"/>
      <c r="F9" s="11"/>
      <c r="G9" s="11"/>
      <c r="H9" s="11">
        <v>100</v>
      </c>
      <c r="I9" s="11">
        <v>100</v>
      </c>
      <c r="J9" s="11"/>
      <c r="K9" s="11"/>
      <c r="L9" s="11"/>
      <c r="M9" s="11"/>
      <c r="N9" s="9">
        <f t="shared" si="0"/>
        <v>128</v>
      </c>
      <c r="O9" s="9">
        <f>42+86</f>
        <v>128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'1208'!O10</f>
        <v>316</v>
      </c>
      <c r="E10" s="10">
        <v>243</v>
      </c>
      <c r="F10" s="11"/>
      <c r="G10" s="11"/>
      <c r="H10" s="11">
        <v>252</v>
      </c>
      <c r="I10" s="11">
        <v>64</v>
      </c>
      <c r="J10" s="11"/>
      <c r="K10" s="11"/>
      <c r="L10" s="11"/>
      <c r="M10" s="11"/>
      <c r="N10" s="9">
        <f t="shared" si="0"/>
        <v>243</v>
      </c>
      <c r="O10" s="9">
        <f>E10</f>
        <v>243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'1208'!O11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'1208'!O12</f>
        <v>872</v>
      </c>
      <c r="E12" s="14">
        <v>167</v>
      </c>
      <c r="F12" s="11">
        <v>31</v>
      </c>
      <c r="G12" s="11">
        <v>40</v>
      </c>
      <c r="H12" s="11">
        <v>299</v>
      </c>
      <c r="I12" s="11">
        <v>100</v>
      </c>
      <c r="J12" s="11"/>
      <c r="K12" s="11"/>
      <c r="L12" s="11"/>
      <c r="M12" s="11"/>
      <c r="N12" s="9">
        <f t="shared" si="0"/>
        <v>569</v>
      </c>
      <c r="O12" s="9">
        <f>402+E12</f>
        <v>569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'1208'!O13</f>
        <v>386</v>
      </c>
      <c r="E13" s="14">
        <v>119</v>
      </c>
      <c r="F13" s="11">
        <v>10</v>
      </c>
      <c r="G13" s="11"/>
      <c r="H13" s="11"/>
      <c r="I13" s="11">
        <v>60</v>
      </c>
      <c r="J13" s="11"/>
      <c r="K13" s="11"/>
      <c r="L13" s="11"/>
      <c r="M13" s="11"/>
      <c r="N13" s="9">
        <f t="shared" si="0"/>
        <v>435</v>
      </c>
      <c r="O13" s="9">
        <f>316+E13</f>
        <v>435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'1208'!O14</f>
        <v>2</v>
      </c>
      <c r="E14" s="14"/>
      <c r="F14" s="11"/>
      <c r="G14" s="11"/>
      <c r="H14" s="11"/>
      <c r="I14" s="11">
        <v>2</v>
      </c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'1208'!O15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'1208'!O16</f>
        <v>9</v>
      </c>
      <c r="E16" s="14">
        <v>4</v>
      </c>
      <c r="F16" s="11"/>
      <c r="G16" s="11">
        <v>1</v>
      </c>
      <c r="H16" s="11">
        <v>6</v>
      </c>
      <c r="I16" s="11">
        <v>2</v>
      </c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'1208'!O17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'1208'!O18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'1208'!O19</f>
        <v>2</v>
      </c>
      <c r="E19" s="14">
        <v>2</v>
      </c>
      <c r="F19" s="11"/>
      <c r="G19" s="11"/>
      <c r="H19" s="11"/>
      <c r="I19" s="11">
        <v>2</v>
      </c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'1208'!O20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'1208'!O21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'1208'!O22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'1208'!O23</f>
        <v>0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40</v>
      </c>
      <c r="O23" s="9">
        <v>40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'1208'!O24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'1208'!O26</f>
        <v>228</v>
      </c>
      <c r="E26" s="10">
        <v>73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211</v>
      </c>
      <c r="O26" s="9">
        <v>211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'1208'!O27</f>
        <v>120</v>
      </c>
      <c r="E27" s="9"/>
      <c r="F27" s="9">
        <v>12</v>
      </c>
      <c r="G27" s="11"/>
      <c r="H27" s="9"/>
      <c r="I27" s="9"/>
      <c r="J27" s="9"/>
      <c r="K27" s="9"/>
      <c r="L27" s="9"/>
      <c r="M27" s="9"/>
      <c r="N27" s="9">
        <f>D27+E27-SUM(F27:M27)</f>
        <v>108</v>
      </c>
      <c r="O27" s="9">
        <v>108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'1208'!O28</f>
        <v>412</v>
      </c>
      <c r="E28" s="9">
        <v>144</v>
      </c>
      <c r="F28" s="9">
        <v>92</v>
      </c>
      <c r="G28" s="11"/>
      <c r="H28" s="9"/>
      <c r="I28" s="9"/>
      <c r="J28" s="9"/>
      <c r="K28" s="9"/>
      <c r="L28" s="9"/>
      <c r="M28" s="9"/>
      <c r="N28" s="9">
        <f>D28+E28-SUM(F28:M28)</f>
        <v>464</v>
      </c>
      <c r="O28" s="9">
        <v>464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'1208'!O29</f>
        <v>147</v>
      </c>
      <c r="E29" s="9">
        <v>85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177</v>
      </c>
      <c r="O29" s="9">
        <v>177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9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DATE(2015,8,13)</f>
        <v>42229</v>
      </c>
      <c r="E5" s="293">
        <f>D5+1</f>
        <v>42230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34"/>
      <c r="M6" s="134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49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'1308'!O8</f>
        <v>429</v>
      </c>
      <c r="E8" s="10">
        <f>88+104+78+103</f>
        <v>373</v>
      </c>
      <c r="F8" s="11">
        <v>69</v>
      </c>
      <c r="G8" s="11">
        <v>150</v>
      </c>
      <c r="H8" s="11"/>
      <c r="I8" s="11"/>
      <c r="J8" s="11"/>
      <c r="K8" s="11"/>
      <c r="L8" s="11"/>
      <c r="M8" s="11"/>
      <c r="N8" s="9">
        <f t="shared" ref="N8:N24" si="0">D8+E8-SUM(F8:M8)</f>
        <v>583</v>
      </c>
      <c r="O8" s="9">
        <f>110+100+E8</f>
        <v>583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'1308'!O9</f>
        <v>128</v>
      </c>
      <c r="E9" s="14"/>
      <c r="F9" s="11"/>
      <c r="G9" s="11">
        <v>102</v>
      </c>
      <c r="H9" s="11"/>
      <c r="I9" s="11"/>
      <c r="J9" s="11"/>
      <c r="K9" s="11"/>
      <c r="L9" s="11"/>
      <c r="M9" s="11"/>
      <c r="N9" s="9">
        <f t="shared" si="0"/>
        <v>26</v>
      </c>
      <c r="O9" s="9">
        <v>26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'1308'!O10</f>
        <v>243</v>
      </c>
      <c r="E10" s="10"/>
      <c r="F10" s="11">
        <v>13</v>
      </c>
      <c r="G10" s="11">
        <v>150</v>
      </c>
      <c r="H10" s="11"/>
      <c r="I10" s="11"/>
      <c r="J10" s="11"/>
      <c r="K10" s="11"/>
      <c r="L10" s="11"/>
      <c r="M10" s="11"/>
      <c r="N10" s="9">
        <f t="shared" si="0"/>
        <v>80</v>
      </c>
      <c r="O10" s="9">
        <v>80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'1308'!O11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'1308'!O12</f>
        <v>569</v>
      </c>
      <c r="E12" s="14">
        <v>131</v>
      </c>
      <c r="F12" s="11"/>
      <c r="G12" s="11">
        <v>149</v>
      </c>
      <c r="H12" s="11"/>
      <c r="I12" s="11"/>
      <c r="J12" s="11"/>
      <c r="K12" s="11"/>
      <c r="L12" s="11"/>
      <c r="M12" s="11"/>
      <c r="N12" s="9">
        <f t="shared" si="0"/>
        <v>551</v>
      </c>
      <c r="O12" s="9">
        <f>154+100+167+E12</f>
        <v>552</v>
      </c>
      <c r="P12" s="9">
        <f t="shared" si="1"/>
        <v>1</v>
      </c>
    </row>
    <row r="13" spans="1:16" ht="18.75">
      <c r="A13" s="6">
        <v>6</v>
      </c>
      <c r="B13" s="16" t="s">
        <v>19</v>
      </c>
      <c r="C13" s="17" t="s">
        <v>17</v>
      </c>
      <c r="D13" s="9">
        <f>'1308'!O13</f>
        <v>435</v>
      </c>
      <c r="E13" s="14">
        <v>163</v>
      </c>
      <c r="F13" s="11">
        <v>10</v>
      </c>
      <c r="G13" s="11">
        <v>146</v>
      </c>
      <c r="H13" s="11"/>
      <c r="I13" s="11"/>
      <c r="J13" s="11"/>
      <c r="K13" s="11"/>
      <c r="L13" s="11"/>
      <c r="M13" s="11"/>
      <c r="N13" s="9">
        <f t="shared" si="0"/>
        <v>442</v>
      </c>
      <c r="O13" s="9">
        <f>114+46+119+E13</f>
        <v>442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'1308'!O14</f>
        <v>0</v>
      </c>
      <c r="E14" s="14">
        <v>1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'1308'!O15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'1308'!O16</f>
        <v>4</v>
      </c>
      <c r="E16" s="14">
        <v>4</v>
      </c>
      <c r="F16" s="11">
        <v>1</v>
      </c>
      <c r="G16" s="11">
        <v>4</v>
      </c>
      <c r="H16" s="11"/>
      <c r="I16" s="11"/>
      <c r="J16" s="11"/>
      <c r="K16" s="11"/>
      <c r="L16" s="11"/>
      <c r="M16" s="11"/>
      <c r="N16" s="9">
        <f t="shared" si="0"/>
        <v>3</v>
      </c>
      <c r="O16" s="9">
        <v>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'1308'!O17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'1308'!O18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'1308'!O19</f>
        <v>2</v>
      </c>
      <c r="E19" s="14"/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'1308'!O20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'1308'!O21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'1308'!O22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'1308'!O23</f>
        <v>40</v>
      </c>
      <c r="E23" s="14">
        <v>30</v>
      </c>
      <c r="F23" s="9">
        <v>30</v>
      </c>
      <c r="G23" s="9"/>
      <c r="H23" s="9"/>
      <c r="I23" s="9"/>
      <c r="J23" s="9"/>
      <c r="K23" s="9"/>
      <c r="L23" s="9"/>
      <c r="M23" s="9"/>
      <c r="N23" s="9">
        <f t="shared" si="0"/>
        <v>40</v>
      </c>
      <c r="O23" s="9">
        <v>40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'1308'!O24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'1308'!O26</f>
        <v>211</v>
      </c>
      <c r="E26" s="10">
        <f>74+150</f>
        <v>224</v>
      </c>
      <c r="F26" s="9">
        <v>125</v>
      </c>
      <c r="G26" s="11"/>
      <c r="H26" s="9"/>
      <c r="I26" s="9"/>
      <c r="J26" s="9"/>
      <c r="K26" s="9"/>
      <c r="L26" s="9"/>
      <c r="M26" s="9"/>
      <c r="N26" s="9">
        <f>D26+E26-SUM(F26:M26)</f>
        <v>310</v>
      </c>
      <c r="O26" s="9">
        <v>310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'1308'!O27</f>
        <v>108</v>
      </c>
      <c r="E27" s="9">
        <v>60</v>
      </c>
      <c r="F27" s="9">
        <v>58</v>
      </c>
      <c r="G27" s="11"/>
      <c r="H27" s="9"/>
      <c r="I27" s="9"/>
      <c r="J27" s="9"/>
      <c r="K27" s="9"/>
      <c r="L27" s="9"/>
      <c r="M27" s="9"/>
      <c r="N27" s="9">
        <f>D27+E27-SUM(F27:M27)</f>
        <v>110</v>
      </c>
      <c r="O27" s="9">
        <v>110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'1308'!O28</f>
        <v>464</v>
      </c>
      <c r="E28" s="9">
        <v>151</v>
      </c>
      <c r="F28" s="9">
        <v>101</v>
      </c>
      <c r="G28" s="11"/>
      <c r="H28" s="9"/>
      <c r="I28" s="9"/>
      <c r="J28" s="9"/>
      <c r="K28" s="9"/>
      <c r="L28" s="9"/>
      <c r="M28" s="9"/>
      <c r="N28" s="9">
        <f>D28+E28-SUM(F28:M28)</f>
        <v>514</v>
      </c>
      <c r="O28" s="9">
        <v>514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'1308'!O29</f>
        <v>177</v>
      </c>
      <c r="E29" s="9"/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112</v>
      </c>
      <c r="O29" s="9">
        <v>112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4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DATE(2015,8,14)</f>
        <v>42230</v>
      </c>
      <c r="E5" s="293">
        <f>D5+1</f>
        <v>42231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35"/>
      <c r="M6" s="135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43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'1408'!O8</f>
        <v>583</v>
      </c>
      <c r="E8" s="10"/>
      <c r="F8" s="11">
        <v>60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523</v>
      </c>
      <c r="O8" s="9">
        <f>145+240+80+58</f>
        <v>523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'1408'!O9</f>
        <v>26</v>
      </c>
      <c r="E9" s="14">
        <f>69+86+72+73</f>
        <v>300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326</v>
      </c>
      <c r="O9" s="9">
        <f>26+E9</f>
        <v>326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'1408'!O10</f>
        <v>80</v>
      </c>
      <c r="E10" s="10">
        <v>120</v>
      </c>
      <c r="F10" s="11">
        <v>10</v>
      </c>
      <c r="G10" s="11">
        <v>30</v>
      </c>
      <c r="H10" s="11"/>
      <c r="I10" s="11"/>
      <c r="J10" s="11"/>
      <c r="K10" s="11"/>
      <c r="L10" s="11"/>
      <c r="M10" s="11"/>
      <c r="N10" s="9">
        <f t="shared" si="0"/>
        <v>160</v>
      </c>
      <c r="O10" s="9">
        <f>40+E10</f>
        <v>160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'1408'!O11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'1408'!O12</f>
        <v>552</v>
      </c>
      <c r="E12" s="14">
        <v>120</v>
      </c>
      <c r="F12" s="11">
        <v>30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612</v>
      </c>
      <c r="O12" s="9">
        <f>50+154+131+157+E12</f>
        <v>612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'1408'!O13</f>
        <v>442</v>
      </c>
      <c r="E13" s="14">
        <v>113</v>
      </c>
      <c r="F13" s="11">
        <v>19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506</v>
      </c>
      <c r="O13" s="9">
        <f>240+153+E13</f>
        <v>506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'1408'!O14</f>
        <v>1</v>
      </c>
      <c r="E14" s="14"/>
      <c r="F14" s="11"/>
      <c r="G14" s="11">
        <v>1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'1408'!O15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'1408'!O16</f>
        <v>3</v>
      </c>
      <c r="E16" s="14">
        <v>4</v>
      </c>
      <c r="F16" s="11"/>
      <c r="G16" s="11">
        <v>2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'1408'!O17</f>
        <v>2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'1408'!O18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'1408'!O19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'1408'!O20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'1408'!O21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'1408'!O22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'1408'!O23</f>
        <v>40</v>
      </c>
      <c r="E23" s="14">
        <v>64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104</v>
      </c>
      <c r="O23" s="9">
        <v>104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'1408'!O24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'1408'!O26</f>
        <v>310</v>
      </c>
      <c r="E26" s="10"/>
      <c r="F26" s="9">
        <v>80</v>
      </c>
      <c r="G26" s="11"/>
      <c r="H26" s="9"/>
      <c r="I26" s="9"/>
      <c r="J26" s="9"/>
      <c r="K26" s="9"/>
      <c r="L26" s="9"/>
      <c r="M26" s="9"/>
      <c r="N26" s="9">
        <f>D26+E26-SUM(F26:M26)</f>
        <v>230</v>
      </c>
      <c r="O26" s="9">
        <v>230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'1408'!O27</f>
        <v>110</v>
      </c>
      <c r="E27" s="9">
        <v>62</v>
      </c>
      <c r="F27" s="9">
        <v>32</v>
      </c>
      <c r="G27" s="11"/>
      <c r="H27" s="9"/>
      <c r="I27" s="9"/>
      <c r="J27" s="9"/>
      <c r="K27" s="9"/>
      <c r="L27" s="9"/>
      <c r="M27" s="9"/>
      <c r="N27" s="9">
        <f>D27+E27-SUM(F27:M27)</f>
        <v>140</v>
      </c>
      <c r="O27" s="9">
        <v>140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'1408'!O28</f>
        <v>514</v>
      </c>
      <c r="E28" s="9"/>
      <c r="F28" s="9">
        <v>97</v>
      </c>
      <c r="G28" s="11"/>
      <c r="H28" s="9"/>
      <c r="I28" s="9"/>
      <c r="J28" s="9"/>
      <c r="K28" s="9"/>
      <c r="L28" s="9"/>
      <c r="M28" s="9"/>
      <c r="N28" s="9">
        <f>D28+E28-SUM(F28:M28)</f>
        <v>417</v>
      </c>
      <c r="O28" s="9">
        <v>417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'1408'!O29</f>
        <v>112</v>
      </c>
      <c r="E29" s="9">
        <v>82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139</v>
      </c>
      <c r="O29" s="9">
        <v>139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8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DATE(2015,8,15)</f>
        <v>42231</v>
      </c>
      <c r="E5" s="293">
        <f>D5+1</f>
        <v>42232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36"/>
      <c r="M6" s="136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/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'1508'!O8</f>
        <v>523</v>
      </c>
      <c r="E8" s="10"/>
      <c r="F8" s="11">
        <v>70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453</v>
      </c>
      <c r="O8" s="9">
        <f>200+200+53</f>
        <v>453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'1508'!O9</f>
        <v>326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326</v>
      </c>
      <c r="O9" s="9">
        <f>240+86</f>
        <v>326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'1508'!O10</f>
        <v>160</v>
      </c>
      <c r="E10" s="10">
        <v>243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393</v>
      </c>
      <c r="O10" s="9">
        <f>150+E10</f>
        <v>393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'1508'!O11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'1508'!O12</f>
        <v>612</v>
      </c>
      <c r="E12" s="14"/>
      <c r="F12" s="11">
        <v>21</v>
      </c>
      <c r="G12" s="11"/>
      <c r="H12" s="11"/>
      <c r="I12" s="11"/>
      <c r="J12" s="11"/>
      <c r="K12" s="11"/>
      <c r="L12" s="11"/>
      <c r="M12" s="11"/>
      <c r="N12" s="9">
        <f t="shared" si="0"/>
        <v>591</v>
      </c>
      <c r="O12" s="9">
        <f>144+60+110+121+156+E12</f>
        <v>591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'1508'!O13</f>
        <v>506</v>
      </c>
      <c r="E13" s="14"/>
      <c r="F13" s="11"/>
      <c r="G13" s="11"/>
      <c r="H13" s="11"/>
      <c r="I13" s="11"/>
      <c r="J13" s="11"/>
      <c r="K13" s="11"/>
      <c r="L13" s="11"/>
      <c r="M13" s="11"/>
      <c r="N13" s="9">
        <f t="shared" si="0"/>
        <v>506</v>
      </c>
      <c r="O13" s="9">
        <f>240+114+153+E13</f>
        <v>507</v>
      </c>
      <c r="P13" s="9">
        <f t="shared" si="1"/>
        <v>1</v>
      </c>
    </row>
    <row r="14" spans="1:16" ht="18.75">
      <c r="A14" s="6">
        <v>7</v>
      </c>
      <c r="B14" s="12" t="s">
        <v>20</v>
      </c>
      <c r="C14" s="6" t="s">
        <v>21</v>
      </c>
      <c r="D14" s="9">
        <f>'1508'!O14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'1508'!O15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'1508'!O16</f>
        <v>5</v>
      </c>
      <c r="E16" s="14">
        <v>4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'1508'!O17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'1508'!O18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'1508'!O19</f>
        <v>2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'1508'!O20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'1508'!O21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'1508'!O22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'1508'!O23</f>
        <v>104</v>
      </c>
      <c r="E23" s="14">
        <v>32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136</v>
      </c>
      <c r="O23" s="9">
        <v>136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'1508'!O24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'1508'!O26</f>
        <v>230</v>
      </c>
      <c r="E26" s="10">
        <v>141</v>
      </c>
      <c r="F26" s="9">
        <v>42</v>
      </c>
      <c r="G26" s="11"/>
      <c r="H26" s="9"/>
      <c r="I26" s="9"/>
      <c r="J26" s="9"/>
      <c r="K26" s="9"/>
      <c r="L26" s="9"/>
      <c r="M26" s="9"/>
      <c r="N26" s="9">
        <f>D26+E26-SUM(F26:M26)</f>
        <v>329</v>
      </c>
      <c r="O26" s="9">
        <v>329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'1508'!O27</f>
        <v>140</v>
      </c>
      <c r="E27" s="9"/>
      <c r="F27" s="9">
        <v>34</v>
      </c>
      <c r="G27" s="11"/>
      <c r="H27" s="9"/>
      <c r="I27" s="9"/>
      <c r="J27" s="9"/>
      <c r="K27" s="9"/>
      <c r="L27" s="9"/>
      <c r="M27" s="9"/>
      <c r="N27" s="9">
        <f>D27+E27-SUM(F27:M27)</f>
        <v>106</v>
      </c>
      <c r="O27" s="9">
        <v>106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'1508'!O28</f>
        <v>417</v>
      </c>
      <c r="E28" s="9"/>
      <c r="F28" s="9">
        <v>82</v>
      </c>
      <c r="G28" s="11"/>
      <c r="H28" s="9"/>
      <c r="I28" s="9"/>
      <c r="J28" s="9"/>
      <c r="K28" s="9"/>
      <c r="L28" s="9"/>
      <c r="M28" s="9"/>
      <c r="N28" s="9">
        <f>D28+E28-SUM(F28:M28)</f>
        <v>335</v>
      </c>
      <c r="O28" s="9">
        <v>335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'1508'!O29</f>
        <v>139</v>
      </c>
      <c r="E29" s="9"/>
      <c r="F29" s="9">
        <v>35</v>
      </c>
      <c r="G29" s="11"/>
      <c r="H29" s="9"/>
      <c r="I29" s="9"/>
      <c r="J29" s="9"/>
      <c r="K29" s="9"/>
      <c r="L29" s="9"/>
      <c r="M29" s="9"/>
      <c r="N29" s="9">
        <f>D29+E29-SUM(F29:M29)</f>
        <v>104</v>
      </c>
      <c r="O29" s="9">
        <v>104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DATE(2015,8,16)</f>
        <v>42232</v>
      </c>
      <c r="E5" s="293">
        <f>D5+1</f>
        <v>42233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36"/>
      <c r="M6" s="136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54</v>
      </c>
      <c r="H7" s="5" t="s">
        <v>39</v>
      </c>
      <c r="I7" s="5" t="s">
        <v>74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'1608'!O8</f>
        <v>453</v>
      </c>
      <c r="E8" s="10">
        <f>108+37+113</f>
        <v>258</v>
      </c>
      <c r="F8" s="11">
        <v>60</v>
      </c>
      <c r="G8" s="11">
        <v>20</v>
      </c>
      <c r="H8" s="11"/>
      <c r="I8" s="11"/>
      <c r="J8" s="11"/>
      <c r="K8" s="11"/>
      <c r="L8" s="11"/>
      <c r="M8" s="11"/>
      <c r="N8" s="9">
        <f t="shared" ref="N8:N24" si="0">D8+E8-SUM(F8:M8)</f>
        <v>631</v>
      </c>
      <c r="O8" s="9">
        <f>180+136+E8+57</f>
        <v>631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'1608'!O9</f>
        <v>326</v>
      </c>
      <c r="E9" s="14"/>
      <c r="F9" s="11"/>
      <c r="G9" s="11">
        <v>30</v>
      </c>
      <c r="H9" s="11"/>
      <c r="I9" s="11"/>
      <c r="J9" s="11"/>
      <c r="K9" s="11"/>
      <c r="L9" s="11"/>
      <c r="M9" s="11"/>
      <c r="N9" s="9">
        <f t="shared" si="0"/>
        <v>296</v>
      </c>
      <c r="O9" s="9">
        <f>240+56</f>
        <v>296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'1608'!O10</f>
        <v>393</v>
      </c>
      <c r="E10" s="10">
        <v>164</v>
      </c>
      <c r="F10" s="11">
        <v>20</v>
      </c>
      <c r="G10" s="11">
        <v>30</v>
      </c>
      <c r="H10" s="11"/>
      <c r="I10" s="11"/>
      <c r="J10" s="11"/>
      <c r="K10" s="11"/>
      <c r="L10" s="11"/>
      <c r="M10" s="11"/>
      <c r="N10" s="9">
        <f t="shared" si="0"/>
        <v>507</v>
      </c>
      <c r="O10" s="9">
        <f>100+243+E10</f>
        <v>507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'1608'!O11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'1608'!O12</f>
        <v>591</v>
      </c>
      <c r="E12" s="14"/>
      <c r="F12" s="11">
        <v>20</v>
      </c>
      <c r="G12" s="11">
        <v>40</v>
      </c>
      <c r="H12" s="11"/>
      <c r="I12" s="11"/>
      <c r="J12" s="11"/>
      <c r="K12" s="11"/>
      <c r="L12" s="11"/>
      <c r="M12" s="11"/>
      <c r="N12" s="9">
        <f t="shared" si="0"/>
        <v>531</v>
      </c>
      <c r="O12" s="9">
        <f>144+157+230+E12</f>
        <v>531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'1608'!O13</f>
        <v>507</v>
      </c>
      <c r="E13" s="14"/>
      <c r="F13" s="11">
        <v>30</v>
      </c>
      <c r="G13" s="11">
        <v>20</v>
      </c>
      <c r="H13" s="11"/>
      <c r="I13" s="11"/>
      <c r="J13" s="11"/>
      <c r="K13" s="11"/>
      <c r="L13" s="11"/>
      <c r="M13" s="11"/>
      <c r="N13" s="9">
        <f t="shared" si="0"/>
        <v>457</v>
      </c>
      <c r="O13" s="9">
        <f>120+100+123+114+E13</f>
        <v>457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'1608'!O14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'1608'!O15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'1608'!O16</f>
        <v>8</v>
      </c>
      <c r="E16" s="14">
        <v>2</v>
      </c>
      <c r="F16" s="11">
        <v>1</v>
      </c>
      <c r="G16" s="11">
        <v>1</v>
      </c>
      <c r="H16" s="11">
        <v>1</v>
      </c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'1608'!O17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'1608'!O18</f>
        <v>1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'1608'!O19</f>
        <v>4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'1608'!O20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'1608'!O21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'1608'!O22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'1608'!O23</f>
        <v>136</v>
      </c>
      <c r="E23" s="14">
        <v>32</v>
      </c>
      <c r="F23" s="9">
        <v>32</v>
      </c>
      <c r="G23" s="9"/>
      <c r="H23" s="9"/>
      <c r="I23" s="9">
        <v>136</v>
      </c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'1608'!O24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'1608'!O26</f>
        <v>329</v>
      </c>
      <c r="E26" s="10">
        <v>139</v>
      </c>
      <c r="F26" s="9">
        <v>163</v>
      </c>
      <c r="G26" s="11"/>
      <c r="H26" s="9"/>
      <c r="I26" s="9"/>
      <c r="J26" s="9"/>
      <c r="K26" s="9"/>
      <c r="L26" s="9"/>
      <c r="M26" s="9"/>
      <c r="N26" s="9">
        <f>D26+E26-SUM(F26:M26)</f>
        <v>305</v>
      </c>
      <c r="O26" s="9">
        <v>305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'1608'!O27</f>
        <v>106</v>
      </c>
      <c r="E27" s="9">
        <v>63</v>
      </c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139</v>
      </c>
      <c r="O27" s="9">
        <v>139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'1608'!O28</f>
        <v>335</v>
      </c>
      <c r="E28" s="9"/>
      <c r="F28" s="9">
        <v>84</v>
      </c>
      <c r="G28" s="11"/>
      <c r="H28" s="9"/>
      <c r="I28" s="9"/>
      <c r="J28" s="9"/>
      <c r="K28" s="9"/>
      <c r="L28" s="9"/>
      <c r="M28" s="9"/>
      <c r="N28" s="9">
        <f>D28+E28-SUM(F28:M28)</f>
        <v>251</v>
      </c>
      <c r="O28" s="9">
        <v>251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'1608'!O29</f>
        <v>104</v>
      </c>
      <c r="E29" s="9">
        <v>77</v>
      </c>
      <c r="F29" s="9">
        <v>80</v>
      </c>
      <c r="G29" s="11"/>
      <c r="H29" s="9"/>
      <c r="I29" s="9"/>
      <c r="J29" s="9"/>
      <c r="K29" s="9"/>
      <c r="L29" s="9"/>
      <c r="M29" s="9"/>
      <c r="N29" s="9">
        <f>D29+E29-SUM(F29:M29)</f>
        <v>101</v>
      </c>
      <c r="O29" s="9">
        <v>101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4" workbookViewId="0">
      <pane xSplit="4" ySplit="4" topLeftCell="E20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DATE(2015,4,13)</f>
        <v>42107</v>
      </c>
      <c r="E5" s="293">
        <f>D5+1</f>
        <v>42108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35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46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VLOOKUP($B8,'1304'!$B8:$M22,11,0)</f>
        <v>237</v>
      </c>
      <c r="E8" s="10">
        <v>116</v>
      </c>
      <c r="F8" s="11">
        <f>137+50</f>
        <v>187</v>
      </c>
      <c r="G8" s="11">
        <v>50</v>
      </c>
      <c r="H8" s="11"/>
      <c r="I8" s="11"/>
      <c r="J8" s="11"/>
      <c r="K8" s="9">
        <f>D8+E8-SUM(F8:J8)</f>
        <v>116</v>
      </c>
      <c r="L8" s="9">
        <v>116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VLOOKUP($B9,'1304'!$B9:$M23,11,0)</f>
        <v>0</v>
      </c>
      <c r="E9" s="14">
        <v>76</v>
      </c>
      <c r="F9" s="11"/>
      <c r="G9" s="11"/>
      <c r="H9" s="11"/>
      <c r="I9" s="11"/>
      <c r="J9" s="11"/>
      <c r="K9" s="9">
        <f t="shared" ref="K9:K19" si="1">D9+E9-SUM(F9:J9)</f>
        <v>76</v>
      </c>
      <c r="L9" s="9">
        <v>76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VLOOKUP($B10,'1304'!$B10:$M24,11,0)</f>
        <v>81</v>
      </c>
      <c r="E10" s="10">
        <v>79</v>
      </c>
      <c r="F10" s="11">
        <v>20</v>
      </c>
      <c r="G10" s="11">
        <v>60</v>
      </c>
      <c r="H10" s="11"/>
      <c r="I10" s="11"/>
      <c r="J10" s="11"/>
      <c r="K10" s="9">
        <f t="shared" si="1"/>
        <v>80</v>
      </c>
      <c r="L10" s="9">
        <v>80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VLOOKUP($B11,'1304'!$B11:$M25,11,0)</f>
        <v>38</v>
      </c>
      <c r="E11" s="10">
        <f>368+40</f>
        <v>408</v>
      </c>
      <c r="F11" s="11"/>
      <c r="G11" s="11">
        <v>38</v>
      </c>
      <c r="H11" s="11"/>
      <c r="I11" s="11"/>
      <c r="J11" s="11"/>
      <c r="K11" s="9">
        <f t="shared" si="1"/>
        <v>408</v>
      </c>
      <c r="L11" s="9">
        <v>408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VLOOKUP($B12,'1304'!$B12:$M26,11,0)</f>
        <v>87</v>
      </c>
      <c r="E12" s="14">
        <v>178</v>
      </c>
      <c r="F12" s="11"/>
      <c r="G12" s="11">
        <v>37</v>
      </c>
      <c r="H12" s="11"/>
      <c r="I12" s="11"/>
      <c r="J12" s="11"/>
      <c r="K12" s="9">
        <f t="shared" si="1"/>
        <v>228</v>
      </c>
      <c r="L12" s="9">
        <v>228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VLOOKUP($B13,'1304'!$B13:$M27,11,0)</f>
        <v>56</v>
      </c>
      <c r="E13" s="14"/>
      <c r="F13" s="11">
        <v>20</v>
      </c>
      <c r="G13" s="11">
        <v>36</v>
      </c>
      <c r="H13" s="11"/>
      <c r="I13" s="11"/>
      <c r="J13" s="11"/>
      <c r="K13" s="9">
        <f t="shared" si="1"/>
        <v>0</v>
      </c>
      <c r="L13" s="9"/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VLOOKUP($B14,'1304'!$B14:$M28,11,0)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VLOOKUP($B15,'1304'!$B15:$M29,11,0)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VLOOKUP($B16,'1304'!$B16:$M30,11,0)</f>
        <v>4</v>
      </c>
      <c r="E16" s="14">
        <v>2</v>
      </c>
      <c r="F16" s="11">
        <v>1</v>
      </c>
      <c r="G16" s="11">
        <v>1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VLOOKUP($B17,'1304'!$B17:$M31,11,0)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VLOOKUP($B18,'1304'!$B18:$M32,11,0)</f>
        <v>2</v>
      </c>
      <c r="E18" s="14">
        <v>1</v>
      </c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VLOOKUP($B19,'1304'!$B19:$M33,11,0)</f>
        <v>0</v>
      </c>
      <c r="E19" s="14">
        <v>2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VLOOKUP($B20,'1304'!$B20:$M34,11,0)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VLOOKUP($B21,'1304'!$B21:$M35,11,0)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VLOOKUP($B22,'1304'!$B22:$M36,11,0)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VLOOKUP($B24,'1304'!$B24:$M38,11,0)</f>
        <v>507</v>
      </c>
      <c r="E24" s="9">
        <f t="shared" ref="E24:L24" si="3">SUM(E8:E22)</f>
        <v>862</v>
      </c>
      <c r="F24" s="9"/>
      <c r="G24" s="9"/>
      <c r="H24" s="9"/>
      <c r="I24" s="9">
        <f t="shared" si="3"/>
        <v>0</v>
      </c>
      <c r="J24" s="9"/>
      <c r="K24" s="9">
        <f t="shared" si="3"/>
        <v>919</v>
      </c>
      <c r="L24" s="9">
        <f t="shared" si="3"/>
        <v>919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VLOOKUP($B26,'1304'!$B26:$M29,11,0)</f>
        <v>212</v>
      </c>
      <c r="E26" s="10">
        <v>132</v>
      </c>
      <c r="F26" s="9">
        <v>105</v>
      </c>
      <c r="G26" s="11"/>
      <c r="H26" s="9"/>
      <c r="I26" s="9"/>
      <c r="J26" s="9"/>
      <c r="K26" s="9">
        <f>D26+E26-F26</f>
        <v>239</v>
      </c>
      <c r="L26" s="9">
        <v>239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VLOOKUP($B27,'1304'!$B27:$M30,11,0)</f>
        <v>70</v>
      </c>
      <c r="E27" s="9">
        <v>63</v>
      </c>
      <c r="F27" s="9">
        <v>27</v>
      </c>
      <c r="G27" s="11"/>
      <c r="H27" s="9"/>
      <c r="I27" s="9"/>
      <c r="J27" s="9"/>
      <c r="K27" s="9">
        <f t="shared" ref="K27:K29" si="5">D27+E27-F27</f>
        <v>106</v>
      </c>
      <c r="L27" s="9">
        <v>106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VLOOKUP($B28,'1304'!$B28:$M31,11,0)</f>
        <v>317</v>
      </c>
      <c r="E28" s="9">
        <v>284</v>
      </c>
      <c r="F28" s="9">
        <v>293</v>
      </c>
      <c r="G28" s="11"/>
      <c r="H28" s="9"/>
      <c r="I28" s="9"/>
      <c r="J28" s="9"/>
      <c r="K28" s="9">
        <f t="shared" si="5"/>
        <v>308</v>
      </c>
      <c r="L28" s="9">
        <v>308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VLOOKUP($B29,'1304'!$B29:$M32,11,0)</f>
        <v>69</v>
      </c>
      <c r="E29" s="9">
        <v>98</v>
      </c>
      <c r="F29" s="9">
        <v>69</v>
      </c>
      <c r="G29" s="11"/>
      <c r="H29" s="9"/>
      <c r="I29" s="9"/>
      <c r="J29" s="9"/>
      <c r="K29" s="9">
        <f t="shared" si="5"/>
        <v>98</v>
      </c>
      <c r="L29" s="9">
        <v>98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5" spans="5:5" ht="15.75">
      <c r="E35" s="37"/>
    </row>
    <row r="36" spans="5:5">
      <c r="E36" s="38"/>
    </row>
    <row r="37" spans="5:5">
      <c r="E37" s="38"/>
    </row>
    <row r="38" spans="5:5">
      <c r="E38" s="38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DATE(2015,8,17)</f>
        <v>42233</v>
      </c>
      <c r="E5" s="293">
        <f>D5+1</f>
        <v>42234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37"/>
      <c r="M6" s="137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62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'1708'!O8</f>
        <v>631</v>
      </c>
      <c r="E8" s="10"/>
      <c r="F8" s="11">
        <v>50</v>
      </c>
      <c r="G8" s="11">
        <v>60</v>
      </c>
      <c r="H8" s="11"/>
      <c r="I8" s="11"/>
      <c r="J8" s="11"/>
      <c r="K8" s="11"/>
      <c r="L8" s="11"/>
      <c r="M8" s="11"/>
      <c r="N8" s="9">
        <f t="shared" ref="N8:N24" si="0">D8+E8-SUM(F8:M8)</f>
        <v>521</v>
      </c>
      <c r="O8" s="9">
        <f>16+350+138+17</f>
        <v>521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'1708'!O9</f>
        <v>296</v>
      </c>
      <c r="E9" s="14">
        <f>87+80+56</f>
        <v>223</v>
      </c>
      <c r="F9" s="11"/>
      <c r="G9" s="11">
        <v>50</v>
      </c>
      <c r="H9" s="11"/>
      <c r="I9" s="11"/>
      <c r="J9" s="11"/>
      <c r="K9" s="11"/>
      <c r="L9" s="11"/>
      <c r="M9" s="11"/>
      <c r="N9" s="9">
        <f t="shared" si="0"/>
        <v>469</v>
      </c>
      <c r="O9" s="9">
        <f>126+120+E9</f>
        <v>469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'1708'!O10</f>
        <v>507</v>
      </c>
      <c r="E10" s="10">
        <v>82</v>
      </c>
      <c r="F10" s="11">
        <v>10</v>
      </c>
      <c r="G10" s="11">
        <v>60</v>
      </c>
      <c r="H10" s="11"/>
      <c r="I10" s="11"/>
      <c r="J10" s="11"/>
      <c r="K10" s="11"/>
      <c r="L10" s="11"/>
      <c r="M10" s="11"/>
      <c r="N10" s="9">
        <f t="shared" si="0"/>
        <v>519</v>
      </c>
      <c r="O10" s="9">
        <f>164+240+33+E10</f>
        <v>519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'1708'!O11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'1708'!O12</f>
        <v>531</v>
      </c>
      <c r="E12" s="14">
        <v>122</v>
      </c>
      <c r="F12" s="11">
        <v>30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593</v>
      </c>
      <c r="O12" s="9">
        <f>147+94+230+E12</f>
        <v>593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'1708'!O13</f>
        <v>457</v>
      </c>
      <c r="E13" s="14">
        <v>152</v>
      </c>
      <c r="F13" s="11">
        <v>10</v>
      </c>
      <c r="G13" s="11">
        <v>40</v>
      </c>
      <c r="H13" s="11"/>
      <c r="I13" s="11"/>
      <c r="J13" s="11"/>
      <c r="K13" s="11"/>
      <c r="L13" s="11"/>
      <c r="M13" s="11"/>
      <c r="N13" s="9">
        <f t="shared" si="0"/>
        <v>559</v>
      </c>
      <c r="O13" s="9">
        <f>170+123+114+E13</f>
        <v>559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'1708'!O14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'1708'!O15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'1708'!O16</f>
        <v>7</v>
      </c>
      <c r="E16" s="14">
        <v>4</v>
      </c>
      <c r="F16" s="11"/>
      <c r="G16" s="11">
        <v>2</v>
      </c>
      <c r="H16" s="11"/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'1708'!O17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'1708'!O18</f>
        <v>3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'1708'!O19</f>
        <v>4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'1708'!O20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'1708'!O21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'1708'!O22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'1708'!O23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'1708'!O24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'1708'!O26</f>
        <v>305</v>
      </c>
      <c r="E26" s="10">
        <v>152</v>
      </c>
      <c r="F26" s="9">
        <v>130</v>
      </c>
      <c r="G26" s="11"/>
      <c r="H26" s="9"/>
      <c r="I26" s="9"/>
      <c r="J26" s="9"/>
      <c r="K26" s="9"/>
      <c r="L26" s="9"/>
      <c r="M26" s="9"/>
      <c r="N26" s="9">
        <f>D26+E26-SUM(F26:M26)</f>
        <v>327</v>
      </c>
      <c r="O26" s="9">
        <v>327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'1708'!O27</f>
        <v>139</v>
      </c>
      <c r="E27" s="9"/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109</v>
      </c>
      <c r="O27" s="9">
        <v>109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'1708'!O28</f>
        <v>251</v>
      </c>
      <c r="E28" s="9">
        <v>145</v>
      </c>
      <c r="F28" s="9">
        <v>25</v>
      </c>
      <c r="G28" s="11"/>
      <c r="H28" s="9"/>
      <c r="I28" s="9"/>
      <c r="J28" s="9"/>
      <c r="K28" s="9"/>
      <c r="L28" s="9"/>
      <c r="M28" s="9"/>
      <c r="N28" s="9">
        <f>D28+E28-SUM(F28:M28)</f>
        <v>371</v>
      </c>
      <c r="O28" s="9">
        <v>371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'1708'!O29</f>
        <v>101</v>
      </c>
      <c r="E29" s="9">
        <v>83</v>
      </c>
      <c r="F29" s="9">
        <v>85</v>
      </c>
      <c r="G29" s="11"/>
      <c r="H29" s="9"/>
      <c r="I29" s="9"/>
      <c r="J29" s="9"/>
      <c r="K29" s="9"/>
      <c r="L29" s="9"/>
      <c r="M29" s="9"/>
      <c r="N29" s="9">
        <f>D29+E29-SUM(F29:M29)</f>
        <v>99</v>
      </c>
      <c r="O29" s="9">
        <v>99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5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DATE(2015,8,18)</f>
        <v>42234</v>
      </c>
      <c r="E5" s="293">
        <f>D5+1</f>
        <v>42235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38"/>
      <c r="M6" s="138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40</v>
      </c>
      <c r="H7" s="5" t="s">
        <v>38</v>
      </c>
      <c r="I7" s="5" t="s">
        <v>39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'1808'!O8</f>
        <v>521</v>
      </c>
      <c r="E8" s="10">
        <f>90+113+82+82</f>
        <v>367</v>
      </c>
      <c r="F8" s="11">
        <v>56</v>
      </c>
      <c r="G8" s="11">
        <v>40</v>
      </c>
      <c r="H8" s="11">
        <v>30</v>
      </c>
      <c r="I8" s="11">
        <v>70</v>
      </c>
      <c r="J8" s="11"/>
      <c r="K8" s="11"/>
      <c r="L8" s="11"/>
      <c r="M8" s="11"/>
      <c r="N8" s="9">
        <f t="shared" ref="N8:N24" si="0">D8+E8-SUM(F8:M8)</f>
        <v>692</v>
      </c>
      <c r="O8" s="9">
        <f>210+115+E8</f>
        <v>692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'1808'!O9</f>
        <v>469</v>
      </c>
      <c r="E9" s="14"/>
      <c r="F9" s="11"/>
      <c r="G9" s="11">
        <v>40</v>
      </c>
      <c r="H9" s="11">
        <v>40</v>
      </c>
      <c r="I9" s="11"/>
      <c r="J9" s="11"/>
      <c r="K9" s="11"/>
      <c r="L9" s="11"/>
      <c r="M9" s="11"/>
      <c r="N9" s="9">
        <f t="shared" si="0"/>
        <v>389</v>
      </c>
      <c r="O9" s="9">
        <f>166+103+120+E9</f>
        <v>389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'1808'!O10</f>
        <v>519</v>
      </c>
      <c r="E10" s="10"/>
      <c r="F10" s="11">
        <v>20</v>
      </c>
      <c r="G10" s="11">
        <v>57</v>
      </c>
      <c r="H10" s="11">
        <v>30</v>
      </c>
      <c r="I10" s="11">
        <v>70</v>
      </c>
      <c r="J10" s="11"/>
      <c r="K10" s="11"/>
      <c r="L10" s="11"/>
      <c r="M10" s="11"/>
      <c r="N10" s="9">
        <f t="shared" si="0"/>
        <v>342</v>
      </c>
      <c r="O10" s="9">
        <f>180+82+80+E10</f>
        <v>342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'1808'!O11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'1808'!O12</f>
        <v>593</v>
      </c>
      <c r="E12" s="14"/>
      <c r="F12" s="11">
        <v>30</v>
      </c>
      <c r="G12" s="11">
        <v>81</v>
      </c>
      <c r="H12" s="11">
        <v>50</v>
      </c>
      <c r="I12" s="11">
        <v>100</v>
      </c>
      <c r="J12" s="11"/>
      <c r="K12" s="11"/>
      <c r="L12" s="11"/>
      <c r="M12" s="11"/>
      <c r="N12" s="9">
        <f t="shared" si="0"/>
        <v>332</v>
      </c>
      <c r="O12" s="9">
        <f>201+131+E12</f>
        <v>332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'1808'!O13</f>
        <v>559</v>
      </c>
      <c r="E13" s="14">
        <v>142</v>
      </c>
      <c r="F13" s="11">
        <v>10</v>
      </c>
      <c r="G13" s="11">
        <v>30</v>
      </c>
      <c r="H13" s="11">
        <v>40</v>
      </c>
      <c r="I13" s="11">
        <v>90</v>
      </c>
      <c r="J13" s="11"/>
      <c r="K13" s="11"/>
      <c r="L13" s="11"/>
      <c r="M13" s="11"/>
      <c r="N13" s="9">
        <f t="shared" si="0"/>
        <v>531</v>
      </c>
      <c r="O13" s="9">
        <f>152+114+123+E13</f>
        <v>531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'1808'!O14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'1808'!O15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'1808'!O16</f>
        <v>9</v>
      </c>
      <c r="E16" s="14">
        <v>2</v>
      </c>
      <c r="F16" s="11">
        <v>1</v>
      </c>
      <c r="G16" s="11">
        <v>2</v>
      </c>
      <c r="H16" s="11"/>
      <c r="I16" s="11">
        <v>3</v>
      </c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'1808'!O17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'1808'!O18</f>
        <v>2</v>
      </c>
      <c r="E18" s="14">
        <v>2</v>
      </c>
      <c r="F18" s="11"/>
      <c r="G18" s="11"/>
      <c r="H18" s="11"/>
      <c r="I18" s="11">
        <v>1</v>
      </c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'1808'!O19</f>
        <v>3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'1808'!O20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'1808'!O21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'1808'!O22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'1808'!O23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'1808'!O24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'1808'!O26</f>
        <v>327</v>
      </c>
      <c r="E26" s="10">
        <v>74</v>
      </c>
      <c r="F26" s="9">
        <v>160</v>
      </c>
      <c r="G26" s="11"/>
      <c r="H26" s="9"/>
      <c r="I26" s="9"/>
      <c r="J26" s="9"/>
      <c r="K26" s="9"/>
      <c r="L26" s="9"/>
      <c r="M26" s="9"/>
      <c r="N26" s="9">
        <f>D26+E26-SUM(F26:M26)</f>
        <v>241</v>
      </c>
      <c r="O26" s="9">
        <v>241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'1808'!O27</f>
        <v>109</v>
      </c>
      <c r="E27" s="9">
        <v>40</v>
      </c>
      <c r="F27" s="9">
        <v>31</v>
      </c>
      <c r="G27" s="11"/>
      <c r="H27" s="9"/>
      <c r="I27" s="9"/>
      <c r="J27" s="9"/>
      <c r="K27" s="9"/>
      <c r="L27" s="9"/>
      <c r="M27" s="9"/>
      <c r="N27" s="9">
        <f>D27+E27-SUM(F27:M27)</f>
        <v>118</v>
      </c>
      <c r="O27" s="9">
        <v>118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'1808'!O28</f>
        <v>371</v>
      </c>
      <c r="E28" s="9">
        <v>162</v>
      </c>
      <c r="F28" s="9">
        <v>121</v>
      </c>
      <c r="G28" s="11"/>
      <c r="H28" s="9"/>
      <c r="I28" s="9"/>
      <c r="J28" s="9"/>
      <c r="K28" s="9"/>
      <c r="L28" s="9"/>
      <c r="M28" s="9"/>
      <c r="N28" s="9">
        <f>D28+E28-SUM(F28:M28)</f>
        <v>412</v>
      </c>
      <c r="O28" s="9">
        <v>412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'1808'!O29</f>
        <v>99</v>
      </c>
      <c r="E29" s="9">
        <v>80</v>
      </c>
      <c r="F29" s="9">
        <v>50</v>
      </c>
      <c r="G29" s="11"/>
      <c r="H29" s="9"/>
      <c r="I29" s="9"/>
      <c r="J29" s="9"/>
      <c r="K29" s="9"/>
      <c r="L29" s="9"/>
      <c r="M29" s="9"/>
      <c r="N29" s="9">
        <f>D29+E29-SUM(F29:M29)</f>
        <v>129</v>
      </c>
      <c r="O29" s="9">
        <v>129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DATE(2015,8,19)</f>
        <v>42235</v>
      </c>
      <c r="E5" s="293">
        <f>D5+1</f>
        <v>42236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39"/>
      <c r="M6" s="139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52</v>
      </c>
      <c r="H7" s="5" t="s">
        <v>51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'1908'!O8</f>
        <v>692</v>
      </c>
      <c r="E8" s="10">
        <v>32</v>
      </c>
      <c r="F8" s="11">
        <v>132</v>
      </c>
      <c r="G8" s="11">
        <v>100</v>
      </c>
      <c r="H8" s="11">
        <v>100</v>
      </c>
      <c r="I8" s="11"/>
      <c r="J8" s="11"/>
      <c r="K8" s="11"/>
      <c r="L8" s="11"/>
      <c r="M8" s="11"/>
      <c r="N8" s="9">
        <f t="shared" ref="N8:N24" si="0">D8+E8-SUM(F8:M8)</f>
        <v>392</v>
      </c>
      <c r="O8" s="9">
        <f>120+120+120+E8</f>
        <v>392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'1908'!O9</f>
        <v>389</v>
      </c>
      <c r="E9" s="14">
        <f>45+83+92</f>
        <v>220</v>
      </c>
      <c r="F9" s="11"/>
      <c r="G9" s="11">
        <v>200</v>
      </c>
      <c r="H9" s="11">
        <v>76</v>
      </c>
      <c r="I9" s="11"/>
      <c r="J9" s="11"/>
      <c r="K9" s="11"/>
      <c r="L9" s="11"/>
      <c r="M9" s="11"/>
      <c r="N9" s="9">
        <f t="shared" si="0"/>
        <v>333</v>
      </c>
      <c r="O9" s="9">
        <f>113+220</f>
        <v>333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'1908'!O10</f>
        <v>342</v>
      </c>
      <c r="E10" s="10">
        <v>159</v>
      </c>
      <c r="F10" s="11">
        <v>10</v>
      </c>
      <c r="G10" s="11">
        <v>200</v>
      </c>
      <c r="H10" s="11"/>
      <c r="I10" s="11"/>
      <c r="J10" s="11"/>
      <c r="K10" s="11"/>
      <c r="L10" s="11"/>
      <c r="M10" s="11"/>
      <c r="N10" s="9">
        <f t="shared" si="0"/>
        <v>291</v>
      </c>
      <c r="O10" s="9">
        <f>50+82+E10</f>
        <v>291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'1908'!O11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'1908'!O12</f>
        <v>332</v>
      </c>
      <c r="E12" s="14">
        <v>130</v>
      </c>
      <c r="F12" s="11">
        <v>18</v>
      </c>
      <c r="G12" s="11">
        <v>151</v>
      </c>
      <c r="H12" s="11"/>
      <c r="I12" s="11"/>
      <c r="J12" s="11"/>
      <c r="K12" s="11"/>
      <c r="L12" s="11"/>
      <c r="M12" s="11"/>
      <c r="N12" s="9">
        <f t="shared" si="0"/>
        <v>293</v>
      </c>
      <c r="O12" s="9">
        <f>102+61+E12</f>
        <v>293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'1908'!O13</f>
        <v>531</v>
      </c>
      <c r="E13" s="14">
        <v>72</v>
      </c>
      <c r="F13" s="11">
        <v>16</v>
      </c>
      <c r="G13" s="11">
        <v>199</v>
      </c>
      <c r="H13" s="11">
        <v>60</v>
      </c>
      <c r="I13" s="11"/>
      <c r="J13" s="11"/>
      <c r="K13" s="11"/>
      <c r="L13" s="11"/>
      <c r="M13" s="11"/>
      <c r="N13" s="9">
        <f t="shared" si="0"/>
        <v>328</v>
      </c>
      <c r="O13" s="9">
        <f>146+110+E13</f>
        <v>328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'1908'!O14</f>
        <v>2</v>
      </c>
      <c r="E14" s="14"/>
      <c r="F14" s="11"/>
      <c r="G14" s="11"/>
      <c r="H14" s="11">
        <v>2</v>
      </c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'1908'!O15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'1908'!O16</f>
        <v>5</v>
      </c>
      <c r="E16" s="14">
        <v>4</v>
      </c>
      <c r="F16" s="11"/>
      <c r="G16" s="11">
        <v>2</v>
      </c>
      <c r="H16" s="11">
        <v>2</v>
      </c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'1908'!O17</f>
        <v>1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3</v>
      </c>
      <c r="O17" s="9"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'1908'!O18</f>
        <v>3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'1908'!O19</f>
        <v>3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'1908'!O20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'1908'!O21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'1908'!O22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'1908'!O23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'1908'!O24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'1908'!O26</f>
        <v>241</v>
      </c>
      <c r="E26" s="10">
        <v>151</v>
      </c>
      <c r="F26" s="9">
        <v>135</v>
      </c>
      <c r="G26" s="11"/>
      <c r="H26" s="9"/>
      <c r="I26" s="9"/>
      <c r="J26" s="9"/>
      <c r="K26" s="9"/>
      <c r="L26" s="9"/>
      <c r="M26" s="9"/>
      <c r="N26" s="9">
        <f>D26+E26-SUM(F26:M26)</f>
        <v>257</v>
      </c>
      <c r="O26" s="9">
        <v>257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'1908'!O27</f>
        <v>118</v>
      </c>
      <c r="E27" s="9">
        <v>62</v>
      </c>
      <c r="F27" s="9">
        <v>45</v>
      </c>
      <c r="G27" s="11"/>
      <c r="H27" s="9"/>
      <c r="I27" s="9"/>
      <c r="J27" s="9"/>
      <c r="K27" s="9"/>
      <c r="L27" s="9"/>
      <c r="M27" s="9"/>
      <c r="N27" s="9">
        <f>D27+E27-SUM(F27:M27)</f>
        <v>135</v>
      </c>
      <c r="O27" s="9">
        <v>135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'1908'!O28</f>
        <v>412</v>
      </c>
      <c r="E28" s="9">
        <v>210</v>
      </c>
      <c r="F28" s="9">
        <v>287</v>
      </c>
      <c r="G28" s="11"/>
      <c r="H28" s="9"/>
      <c r="I28" s="9"/>
      <c r="J28" s="9"/>
      <c r="K28" s="9"/>
      <c r="L28" s="9"/>
      <c r="M28" s="9"/>
      <c r="N28" s="9">
        <f>D28+E28-SUM(F28:M28)</f>
        <v>335</v>
      </c>
      <c r="O28" s="9">
        <v>335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'1908'!O29</f>
        <v>129</v>
      </c>
      <c r="E29" s="9">
        <v>83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137</v>
      </c>
      <c r="O29" s="9">
        <v>137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DATE(2015,8,20)</f>
        <v>42236</v>
      </c>
      <c r="E5" s="293">
        <f>D5+1</f>
        <v>42237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40"/>
      <c r="M6" s="140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49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'2008'!O8</f>
        <v>392</v>
      </c>
      <c r="E8" s="10">
        <f>57+84+104</f>
        <v>245</v>
      </c>
      <c r="F8" s="11">
        <v>60</v>
      </c>
      <c r="G8" s="11">
        <v>132</v>
      </c>
      <c r="H8" s="11"/>
      <c r="I8" s="11"/>
      <c r="J8" s="11"/>
      <c r="K8" s="11"/>
      <c r="L8" s="11"/>
      <c r="M8" s="11"/>
      <c r="N8" s="9">
        <f t="shared" ref="N8:N24" si="0">D8+E8-SUM(F8:M8)</f>
        <v>445</v>
      </c>
      <c r="O8" s="9">
        <f>120+80+245</f>
        <v>445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'2008'!O9</f>
        <v>333</v>
      </c>
      <c r="E9" s="14"/>
      <c r="F9" s="11"/>
      <c r="G9" s="11">
        <v>70</v>
      </c>
      <c r="H9" s="11"/>
      <c r="I9" s="11"/>
      <c r="J9" s="11"/>
      <c r="K9" s="11"/>
      <c r="L9" s="11"/>
      <c r="M9" s="11"/>
      <c r="N9" s="9">
        <f t="shared" si="0"/>
        <v>263</v>
      </c>
      <c r="O9" s="9">
        <f>120+43+110+E9</f>
        <v>273</v>
      </c>
      <c r="P9" s="9">
        <f t="shared" si="1"/>
        <v>10</v>
      </c>
    </row>
    <row r="10" spans="1:16" ht="18.75">
      <c r="A10" s="6">
        <v>3</v>
      </c>
      <c r="B10" s="12" t="s">
        <v>15</v>
      </c>
      <c r="C10" s="8" t="s">
        <v>13</v>
      </c>
      <c r="D10" s="9">
        <f>'2008'!O10</f>
        <v>291</v>
      </c>
      <c r="E10" s="10">
        <v>206</v>
      </c>
      <c r="F10" s="11">
        <v>19</v>
      </c>
      <c r="G10" s="11">
        <v>122</v>
      </c>
      <c r="H10" s="11"/>
      <c r="I10" s="11"/>
      <c r="J10" s="11"/>
      <c r="K10" s="11"/>
      <c r="L10" s="11"/>
      <c r="M10" s="11"/>
      <c r="N10" s="9">
        <f t="shared" si="0"/>
        <v>356</v>
      </c>
      <c r="O10" s="9">
        <f>150+E10</f>
        <v>356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'2008'!O11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'2008'!O12</f>
        <v>293</v>
      </c>
      <c r="E12" s="14">
        <v>163</v>
      </c>
      <c r="F12" s="11">
        <v>20</v>
      </c>
      <c r="G12" s="11">
        <v>133</v>
      </c>
      <c r="H12" s="11"/>
      <c r="I12" s="11"/>
      <c r="J12" s="11"/>
      <c r="K12" s="11"/>
      <c r="L12" s="11"/>
      <c r="M12" s="11"/>
      <c r="N12" s="9">
        <f t="shared" si="0"/>
        <v>303</v>
      </c>
      <c r="O12" s="9">
        <f>140+E12</f>
        <v>303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'2008'!O13</f>
        <v>328</v>
      </c>
      <c r="E13" s="14">
        <v>110</v>
      </c>
      <c r="F13" s="11">
        <v>20</v>
      </c>
      <c r="G13" s="11">
        <v>130</v>
      </c>
      <c r="H13" s="11"/>
      <c r="I13" s="11"/>
      <c r="J13" s="11"/>
      <c r="K13" s="11"/>
      <c r="L13" s="11"/>
      <c r="M13" s="11"/>
      <c r="N13" s="9">
        <f t="shared" si="0"/>
        <v>288</v>
      </c>
      <c r="O13" s="9">
        <f>106+72+E13</f>
        <v>288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'2008'!O14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f>E14</f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'2008'!O15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'2008'!O16</f>
        <v>5</v>
      </c>
      <c r="E16" s="14">
        <v>3</v>
      </c>
      <c r="F16" s="11">
        <v>1</v>
      </c>
      <c r="G16" s="11">
        <v>2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'2008'!O17</f>
        <v>3</v>
      </c>
      <c r="E17" s="14">
        <v>2</v>
      </c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3</v>
      </c>
      <c r="O17" s="9">
        <f>1+E17</f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'2008'!O18</f>
        <v>3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'2008'!O19</f>
        <v>3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'2008'!O20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'2008'!O21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'2008'!O22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'2008'!O23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'2008'!O24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'2008'!O26</f>
        <v>257</v>
      </c>
      <c r="E26" s="10">
        <v>68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205</v>
      </c>
      <c r="O26" s="9">
        <v>205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'2008'!O27</f>
        <v>135</v>
      </c>
      <c r="E27" s="9"/>
      <c r="F27" s="9">
        <v>39</v>
      </c>
      <c r="G27" s="11"/>
      <c r="H27" s="9"/>
      <c r="I27" s="9"/>
      <c r="J27" s="9"/>
      <c r="K27" s="9"/>
      <c r="L27" s="9"/>
      <c r="M27" s="9"/>
      <c r="N27" s="9">
        <f>D27+E27-SUM(F27:M27)</f>
        <v>96</v>
      </c>
      <c r="O27" s="9">
        <v>96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'2008'!O28</f>
        <v>335</v>
      </c>
      <c r="E28" s="9">
        <v>155</v>
      </c>
      <c r="F28" s="9">
        <v>153</v>
      </c>
      <c r="G28" s="11"/>
      <c r="H28" s="9"/>
      <c r="I28" s="9"/>
      <c r="J28" s="9"/>
      <c r="K28" s="9"/>
      <c r="L28" s="9"/>
      <c r="M28" s="9"/>
      <c r="N28" s="9">
        <f>D28+E28-SUM(F28:M28)</f>
        <v>337</v>
      </c>
      <c r="O28" s="9">
        <v>337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'2008'!O29</f>
        <v>137</v>
      </c>
      <c r="E29" s="9">
        <v>82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144</v>
      </c>
      <c r="O29" s="9">
        <v>144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2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DATE(2015,8,21)</f>
        <v>42237</v>
      </c>
      <c r="E5" s="293">
        <f>D5+1</f>
        <v>42238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41"/>
      <c r="M6" s="141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43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'2108'!O8</f>
        <v>445</v>
      </c>
      <c r="E8" s="10">
        <f>102+97+91</f>
        <v>290</v>
      </c>
      <c r="F8" s="11">
        <v>65</v>
      </c>
      <c r="G8" s="11">
        <v>70</v>
      </c>
      <c r="H8" s="11"/>
      <c r="I8" s="11"/>
      <c r="J8" s="11"/>
      <c r="K8" s="11"/>
      <c r="L8" s="11"/>
      <c r="M8" s="11"/>
      <c r="N8" s="9">
        <f t="shared" ref="N8:N24" si="0">D8+E8-SUM(F8:M8)</f>
        <v>600</v>
      </c>
      <c r="O8" s="9">
        <f>120+120+70+E8</f>
        <v>600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'2108'!O9</f>
        <v>273</v>
      </c>
      <c r="E9" s="14"/>
      <c r="F9" s="11">
        <v>10</v>
      </c>
      <c r="G9" s="11"/>
      <c r="H9" s="11"/>
      <c r="I9" s="11"/>
      <c r="J9" s="11"/>
      <c r="K9" s="11"/>
      <c r="L9" s="11"/>
      <c r="M9" s="11"/>
      <c r="N9" s="9">
        <f t="shared" si="0"/>
        <v>263</v>
      </c>
      <c r="O9" s="9">
        <f>100+120+43+E9</f>
        <v>263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'2108'!O10</f>
        <v>356</v>
      </c>
      <c r="E10" s="10">
        <v>130</v>
      </c>
      <c r="F10" s="11">
        <v>10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426</v>
      </c>
      <c r="O10" s="9">
        <f>296+E10</f>
        <v>426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'2108'!O11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'2108'!O12</f>
        <v>303</v>
      </c>
      <c r="E12" s="14">
        <v>161</v>
      </c>
      <c r="F12" s="11"/>
      <c r="G12" s="11">
        <v>80</v>
      </c>
      <c r="H12" s="11"/>
      <c r="I12" s="11"/>
      <c r="J12" s="11"/>
      <c r="K12" s="11"/>
      <c r="L12" s="11"/>
      <c r="M12" s="11"/>
      <c r="N12" s="9">
        <f t="shared" si="0"/>
        <v>384</v>
      </c>
      <c r="O12" s="9">
        <f>140+82+E12</f>
        <v>383</v>
      </c>
      <c r="P12" s="9">
        <f t="shared" si="1"/>
        <v>-1</v>
      </c>
    </row>
    <row r="13" spans="1:16" ht="18.75">
      <c r="A13" s="6">
        <v>6</v>
      </c>
      <c r="B13" s="16" t="s">
        <v>19</v>
      </c>
      <c r="C13" s="17" t="s">
        <v>17</v>
      </c>
      <c r="D13" s="9">
        <f>'2108'!O13</f>
        <v>288</v>
      </c>
      <c r="E13" s="14">
        <v>150</v>
      </c>
      <c r="F13" s="11">
        <v>10</v>
      </c>
      <c r="G13" s="11">
        <v>56</v>
      </c>
      <c r="H13" s="11"/>
      <c r="I13" s="11"/>
      <c r="J13" s="11"/>
      <c r="K13" s="11"/>
      <c r="L13" s="11"/>
      <c r="M13" s="11"/>
      <c r="N13" s="9">
        <f t="shared" si="0"/>
        <v>372</v>
      </c>
      <c r="O13" s="9">
        <f>140+82+E13</f>
        <v>372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'2108'!O14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'2108'!O15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'2108'!O16</f>
        <v>5</v>
      </c>
      <c r="E16" s="14">
        <v>5</v>
      </c>
      <c r="F16" s="11"/>
      <c r="G16" s="11">
        <v>2</v>
      </c>
      <c r="H16" s="11"/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'2108'!O17</f>
        <v>3</v>
      </c>
      <c r="E17" s="14">
        <v>1</v>
      </c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'2108'!O18</f>
        <v>2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'2108'!O19</f>
        <v>2</v>
      </c>
      <c r="E19" s="14"/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'2108'!O20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'2108'!O21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'2108'!O22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'2108'!O23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'2108'!O24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'2108'!O26</f>
        <v>205</v>
      </c>
      <c r="E26" s="10">
        <f>125</f>
        <v>125</v>
      </c>
      <c r="F26" s="9">
        <v>83</v>
      </c>
      <c r="G26" s="11"/>
      <c r="H26" s="9"/>
      <c r="I26" s="9"/>
      <c r="J26" s="9"/>
      <c r="K26" s="9"/>
      <c r="L26" s="9"/>
      <c r="M26" s="9"/>
      <c r="N26" s="9">
        <f>D26+E26-SUM(F26:M26)</f>
        <v>247</v>
      </c>
      <c r="O26" s="9">
        <v>247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'2108'!O27</f>
        <v>96</v>
      </c>
      <c r="E27" s="9">
        <v>39</v>
      </c>
      <c r="F27" s="9">
        <v>17</v>
      </c>
      <c r="G27" s="11"/>
      <c r="H27" s="9"/>
      <c r="I27" s="9"/>
      <c r="J27" s="9"/>
      <c r="K27" s="9"/>
      <c r="L27" s="9"/>
      <c r="M27" s="9"/>
      <c r="N27" s="9">
        <f>D27+E27-SUM(F27:M27)</f>
        <v>118</v>
      </c>
      <c r="O27" s="9">
        <v>118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'2108'!O28</f>
        <v>337</v>
      </c>
      <c r="E28" s="9">
        <v>74</v>
      </c>
      <c r="F28" s="9">
        <v>149</v>
      </c>
      <c r="G28" s="11"/>
      <c r="H28" s="9"/>
      <c r="I28" s="9"/>
      <c r="J28" s="9"/>
      <c r="K28" s="9"/>
      <c r="L28" s="9"/>
      <c r="M28" s="9"/>
      <c r="N28" s="9">
        <f>D28+E28-SUM(F28:M28)</f>
        <v>262</v>
      </c>
      <c r="O28" s="9">
        <v>262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'2108'!O29</f>
        <v>144</v>
      </c>
      <c r="E29" s="9">
        <v>27</v>
      </c>
      <c r="F29" s="9">
        <v>63</v>
      </c>
      <c r="G29" s="11"/>
      <c r="H29" s="9"/>
      <c r="I29" s="9"/>
      <c r="J29" s="9"/>
      <c r="K29" s="9"/>
      <c r="L29" s="9"/>
      <c r="M29" s="9"/>
      <c r="N29" s="9">
        <f>D29+E29-SUM(F29:M29)</f>
        <v>108</v>
      </c>
      <c r="O29" s="9">
        <v>108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DATE(2015,8,22)</f>
        <v>42238</v>
      </c>
      <c r="E5" s="293">
        <f>D5+1</f>
        <v>42239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42"/>
      <c r="M6" s="142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/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'2208'!O8</f>
        <v>600</v>
      </c>
      <c r="E8" s="10">
        <f>92+91+63</f>
        <v>246</v>
      </c>
      <c r="F8" s="11">
        <v>75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771</v>
      </c>
      <c r="O8" s="9">
        <f>62+360+103+E8</f>
        <v>771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'2208'!O9</f>
        <v>263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263</v>
      </c>
      <c r="O9" s="9">
        <f>143+120+E9</f>
        <v>263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'2208'!O10</f>
        <v>426</v>
      </c>
      <c r="E10" s="10">
        <v>163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579</v>
      </c>
      <c r="O10" s="9">
        <f>220+196+E10</f>
        <v>579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'2208'!O11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'2208'!O12</f>
        <v>383</v>
      </c>
      <c r="E12" s="14">
        <v>176</v>
      </c>
      <c r="F12" s="11">
        <v>39</v>
      </c>
      <c r="G12" s="11"/>
      <c r="H12" s="11"/>
      <c r="I12" s="11"/>
      <c r="J12" s="11"/>
      <c r="K12" s="11"/>
      <c r="L12" s="11"/>
      <c r="M12" s="11"/>
      <c r="N12" s="9">
        <f t="shared" si="0"/>
        <v>520</v>
      </c>
      <c r="O12" s="9">
        <f>183+161+E12</f>
        <v>520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'2208'!O13</f>
        <v>372</v>
      </c>
      <c r="E13" s="14">
        <v>153</v>
      </c>
      <c r="F13" s="11">
        <v>20</v>
      </c>
      <c r="G13" s="11"/>
      <c r="H13" s="11"/>
      <c r="I13" s="11"/>
      <c r="J13" s="11"/>
      <c r="K13" s="11"/>
      <c r="L13" s="11"/>
      <c r="M13" s="11"/>
      <c r="N13" s="9">
        <f t="shared" si="0"/>
        <v>505</v>
      </c>
      <c r="O13" s="9">
        <f>102+100+150+E13</f>
        <v>505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'2208'!O14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'2208'!O15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'2208'!O16</f>
        <v>8</v>
      </c>
      <c r="E16" s="14">
        <v>4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11</v>
      </c>
      <c r="O16" s="9">
        <v>11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'2208'!O17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'2208'!O18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'2208'!O19</f>
        <v>0</v>
      </c>
      <c r="E19" s="14">
        <v>3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'2208'!O20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'2208'!O21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>
        <f t="shared" ref="O21:O30" si="2">D21</f>
        <v>0</v>
      </c>
      <c r="P21" s="9">
        <f t="shared" ref="P21" si="3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'2208'!O22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>
        <f t="shared" si="2"/>
        <v>0</v>
      </c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'2208'!O23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>
        <f t="shared" si="2"/>
        <v>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'2208'!O24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>
        <f t="shared" si="2"/>
        <v>0</v>
      </c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144">
        <f t="shared" si="2"/>
        <v>0</v>
      </c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'2208'!O26</f>
        <v>247</v>
      </c>
      <c r="E26" s="10">
        <v>139</v>
      </c>
      <c r="F26" s="9">
        <v>59</v>
      </c>
      <c r="G26" s="11"/>
      <c r="H26" s="9"/>
      <c r="I26" s="9"/>
      <c r="J26" s="9"/>
      <c r="K26" s="9"/>
      <c r="L26" s="9"/>
      <c r="M26" s="9"/>
      <c r="N26" s="9">
        <f>D26+E26-SUM(F26:M26)</f>
        <v>327</v>
      </c>
      <c r="O26" s="9">
        <v>327</v>
      </c>
      <c r="P26" s="9">
        <f t="shared" ref="P26" si="4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'2208'!O27</f>
        <v>118</v>
      </c>
      <c r="E27" s="9">
        <v>62</v>
      </c>
      <c r="F27" s="9">
        <v>39</v>
      </c>
      <c r="G27" s="11"/>
      <c r="H27" s="9"/>
      <c r="I27" s="9"/>
      <c r="J27" s="9"/>
      <c r="K27" s="9"/>
      <c r="L27" s="9"/>
      <c r="M27" s="9"/>
      <c r="N27" s="9">
        <f>D27+E27-SUM(F27:M27)</f>
        <v>141</v>
      </c>
      <c r="O27" s="9">
        <v>141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'2208'!O28</f>
        <v>262</v>
      </c>
      <c r="E28" s="9">
        <v>153</v>
      </c>
      <c r="F28" s="9">
        <v>74</v>
      </c>
      <c r="G28" s="11"/>
      <c r="H28" s="9"/>
      <c r="I28" s="9"/>
      <c r="J28" s="9"/>
      <c r="K28" s="9"/>
      <c r="L28" s="9"/>
      <c r="M28" s="9"/>
      <c r="N28" s="9">
        <f>D28+E28-SUM(F28:M28)</f>
        <v>341</v>
      </c>
      <c r="O28" s="9">
        <v>341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'2208'!O29</f>
        <v>108</v>
      </c>
      <c r="E29" s="9">
        <v>84</v>
      </c>
      <c r="F29" s="9">
        <v>24</v>
      </c>
      <c r="G29" s="11"/>
      <c r="H29" s="9"/>
      <c r="I29" s="9"/>
      <c r="J29" s="9"/>
      <c r="K29" s="9"/>
      <c r="L29" s="9"/>
      <c r="M29" s="9"/>
      <c r="N29" s="9">
        <f>D29+E29-SUM(F29:M29)</f>
        <v>168</v>
      </c>
      <c r="O29" s="9">
        <v>168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9">
        <f t="shared" si="2"/>
        <v>0</v>
      </c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9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DATE(2015,8,23)</f>
        <v>42239</v>
      </c>
      <c r="E5" s="293">
        <f>D5+1</f>
        <v>42240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42"/>
      <c r="M6" s="142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62</v>
      </c>
      <c r="H7" s="5" t="s">
        <v>54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'2308'!O8</f>
        <v>771</v>
      </c>
      <c r="E8" s="10"/>
      <c r="F8" s="11">
        <v>63</v>
      </c>
      <c r="G8" s="11">
        <v>50</v>
      </c>
      <c r="H8" s="11">
        <v>32</v>
      </c>
      <c r="I8" s="11"/>
      <c r="J8" s="11"/>
      <c r="K8" s="11"/>
      <c r="L8" s="11"/>
      <c r="M8" s="11"/>
      <c r="N8" s="9">
        <f t="shared" ref="N8:N24" si="0">D8+E8-SUM(F8:M8)</f>
        <v>626</v>
      </c>
      <c r="O8" s="9">
        <f>125+220+160+121+E8</f>
        <v>626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'2308'!O9</f>
        <v>263</v>
      </c>
      <c r="E9" s="14">
        <f>87+84+9</f>
        <v>180</v>
      </c>
      <c r="F9" s="11"/>
      <c r="G9" s="11">
        <v>50</v>
      </c>
      <c r="H9" s="11">
        <v>33</v>
      </c>
      <c r="I9" s="11"/>
      <c r="J9" s="11"/>
      <c r="K9" s="11"/>
      <c r="L9" s="11"/>
      <c r="M9" s="11"/>
      <c r="N9" s="9">
        <f t="shared" si="0"/>
        <v>360</v>
      </c>
      <c r="O9" s="9">
        <f>180+E9</f>
        <v>360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'2308'!O10</f>
        <v>579</v>
      </c>
      <c r="E10" s="10">
        <v>246</v>
      </c>
      <c r="F10" s="11">
        <v>10</v>
      </c>
      <c r="G10" s="11">
        <v>60</v>
      </c>
      <c r="H10" s="11">
        <v>30</v>
      </c>
      <c r="I10" s="11"/>
      <c r="J10" s="11"/>
      <c r="K10" s="11"/>
      <c r="L10" s="11"/>
      <c r="M10" s="11"/>
      <c r="N10" s="9">
        <f t="shared" si="0"/>
        <v>725</v>
      </c>
      <c r="O10" s="9">
        <f>146+153+130+50+246</f>
        <v>725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'2308'!O11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'2308'!O12</f>
        <v>520</v>
      </c>
      <c r="E12" s="14">
        <v>162</v>
      </c>
      <c r="F12" s="11"/>
      <c r="G12" s="11">
        <v>70</v>
      </c>
      <c r="H12" s="11">
        <v>40</v>
      </c>
      <c r="I12" s="11"/>
      <c r="J12" s="11"/>
      <c r="K12" s="11"/>
      <c r="L12" s="11"/>
      <c r="M12" s="11"/>
      <c r="N12" s="9">
        <f t="shared" si="0"/>
        <v>572</v>
      </c>
      <c r="O12" s="9">
        <f>133+150+106+E12+21</f>
        <v>572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'2308'!O13</f>
        <v>505</v>
      </c>
      <c r="E13" s="14">
        <v>113</v>
      </c>
      <c r="F13" s="11">
        <v>10</v>
      </c>
      <c r="G13" s="11">
        <v>70</v>
      </c>
      <c r="H13" s="11">
        <v>22</v>
      </c>
      <c r="I13" s="11"/>
      <c r="J13" s="11"/>
      <c r="K13" s="11"/>
      <c r="L13" s="11"/>
      <c r="M13" s="11"/>
      <c r="N13" s="9">
        <f t="shared" si="0"/>
        <v>516</v>
      </c>
      <c r="O13" s="9">
        <f>250+153+E13</f>
        <v>516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'2308'!O14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'2308'!O15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'2308'!O16</f>
        <v>11</v>
      </c>
      <c r="E16" s="14">
        <v>2</v>
      </c>
      <c r="F16" s="11"/>
      <c r="G16" s="11">
        <v>2</v>
      </c>
      <c r="H16" s="11">
        <v>1</v>
      </c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'2308'!O17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'2308'!O18</f>
        <v>1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'2308'!O19</f>
        <v>3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5</v>
      </c>
      <c r="O19" s="9">
        <v>5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'2308'!O20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'2308'!O21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'2308'!O22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'2308'!O23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'2308'!O24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'2308'!O26</f>
        <v>327</v>
      </c>
      <c r="E26" s="10">
        <v>117</v>
      </c>
      <c r="F26" s="9">
        <v>254</v>
      </c>
      <c r="G26" s="11"/>
      <c r="H26" s="9"/>
      <c r="I26" s="9"/>
      <c r="J26" s="9"/>
      <c r="K26" s="9"/>
      <c r="L26" s="9"/>
      <c r="M26" s="9"/>
      <c r="N26" s="9">
        <f>D26+E26-SUM(F26:M26)</f>
        <v>190</v>
      </c>
      <c r="O26" s="9">
        <v>190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'2308'!O27</f>
        <v>141</v>
      </c>
      <c r="E27" s="9"/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111</v>
      </c>
      <c r="O27" s="9">
        <v>111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'2308'!O28</f>
        <v>341</v>
      </c>
      <c r="E28" s="9">
        <v>79</v>
      </c>
      <c r="F28" s="9">
        <v>106</v>
      </c>
      <c r="G28" s="11"/>
      <c r="H28" s="9"/>
      <c r="I28" s="9"/>
      <c r="J28" s="9"/>
      <c r="K28" s="9"/>
      <c r="L28" s="9"/>
      <c r="M28" s="9"/>
      <c r="N28" s="9">
        <f>D28+E28-SUM(F28:M28)</f>
        <v>314</v>
      </c>
      <c r="O28" s="9">
        <v>314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'2308'!O29</f>
        <v>168</v>
      </c>
      <c r="E29" s="9"/>
      <c r="F29" s="9">
        <v>68</v>
      </c>
      <c r="G29" s="11"/>
      <c r="H29" s="9"/>
      <c r="I29" s="9"/>
      <c r="J29" s="9"/>
      <c r="K29" s="9"/>
      <c r="L29" s="9"/>
      <c r="M29" s="9"/>
      <c r="N29" s="9">
        <f>D29+E29-SUM(F29:M29)</f>
        <v>100</v>
      </c>
      <c r="O29" s="9">
        <v>100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2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DATE(2015,8,24)</f>
        <v>42240</v>
      </c>
      <c r="E5" s="293">
        <f>D5+1</f>
        <v>42241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43"/>
      <c r="M6" s="143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77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'2408'!O8</f>
        <v>626</v>
      </c>
      <c r="E8" s="10">
        <f>33+90</f>
        <v>123</v>
      </c>
      <c r="F8" s="11"/>
      <c r="G8" s="11">
        <v>450</v>
      </c>
      <c r="H8" s="11"/>
      <c r="I8" s="11"/>
      <c r="J8" s="11"/>
      <c r="K8" s="11"/>
      <c r="L8" s="11"/>
      <c r="M8" s="11"/>
      <c r="N8" s="9">
        <f t="shared" ref="N8:N24" si="0">D8+E8-SUM(F8:M8)</f>
        <v>299</v>
      </c>
      <c r="O8" s="9">
        <f>125+53+123</f>
        <v>301</v>
      </c>
      <c r="P8" s="9">
        <f t="shared" ref="P8:P19" si="1">O8-N8</f>
        <v>2</v>
      </c>
    </row>
    <row r="9" spans="1:16" ht="18.75">
      <c r="A9" s="6">
        <v>2</v>
      </c>
      <c r="B9" s="12" t="s">
        <v>14</v>
      </c>
      <c r="C9" s="13" t="s">
        <v>13</v>
      </c>
      <c r="D9" s="9">
        <f>'2408'!O9</f>
        <v>360</v>
      </c>
      <c r="E9" s="14"/>
      <c r="F9" s="11"/>
      <c r="G9" s="11">
        <v>200</v>
      </c>
      <c r="H9" s="11"/>
      <c r="I9" s="11"/>
      <c r="J9" s="11"/>
      <c r="K9" s="11"/>
      <c r="L9" s="11"/>
      <c r="M9" s="11"/>
      <c r="N9" s="9">
        <f t="shared" si="0"/>
        <v>160</v>
      </c>
      <c r="O9" s="9">
        <v>160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'2408'!O10</f>
        <v>725</v>
      </c>
      <c r="E10" s="10">
        <f>210+213</f>
        <v>423</v>
      </c>
      <c r="F10" s="11"/>
      <c r="G10" s="11">
        <v>296</v>
      </c>
      <c r="H10" s="11"/>
      <c r="I10" s="11"/>
      <c r="J10" s="11"/>
      <c r="K10" s="11"/>
      <c r="L10" s="11"/>
      <c r="M10" s="11"/>
      <c r="N10" s="9">
        <f t="shared" si="0"/>
        <v>852</v>
      </c>
      <c r="O10" s="9">
        <f>193+246+413</f>
        <v>852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'2408'!O11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'2408'!O12</f>
        <v>572</v>
      </c>
      <c r="E12" s="14">
        <v>130</v>
      </c>
      <c r="F12" s="11">
        <v>20</v>
      </c>
      <c r="G12" s="11">
        <v>396</v>
      </c>
      <c r="H12" s="11"/>
      <c r="I12" s="11"/>
      <c r="J12" s="11"/>
      <c r="K12" s="11"/>
      <c r="L12" s="11"/>
      <c r="M12" s="11"/>
      <c r="N12" s="9">
        <f t="shared" si="0"/>
        <v>286</v>
      </c>
      <c r="O12" s="9">
        <f>156+E12</f>
        <v>286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'2408'!O13</f>
        <v>516</v>
      </c>
      <c r="E13" s="14">
        <v>154</v>
      </c>
      <c r="F13" s="11">
        <v>20</v>
      </c>
      <c r="G13" s="11">
        <v>250</v>
      </c>
      <c r="H13" s="11"/>
      <c r="I13" s="11"/>
      <c r="J13" s="11"/>
      <c r="K13" s="11"/>
      <c r="L13" s="11"/>
      <c r="M13" s="11"/>
      <c r="N13" s="9">
        <f t="shared" si="0"/>
        <v>400</v>
      </c>
      <c r="O13" s="9">
        <f>133+113+E13</f>
        <v>400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'2408'!O14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'2408'!O15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'2408'!O16</f>
        <v>10</v>
      </c>
      <c r="E16" s="14">
        <v>4</v>
      </c>
      <c r="F16" s="11">
        <v>1</v>
      </c>
      <c r="G16" s="11">
        <v>6</v>
      </c>
      <c r="H16" s="11"/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'2408'!O17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'2408'!O18</f>
        <v>3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'2408'!O19</f>
        <v>5</v>
      </c>
      <c r="E19" s="14">
        <v>1</v>
      </c>
      <c r="F19" s="11"/>
      <c r="G19" s="11">
        <v>4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'2408'!O20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'2408'!O21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'2408'!O22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'2408'!O23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'2408'!O24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'2408'!O26</f>
        <v>190</v>
      </c>
      <c r="E26" s="10">
        <v>130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220</v>
      </c>
      <c r="O26" s="9">
        <v>220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'2408'!O27</f>
        <v>111</v>
      </c>
      <c r="E27" s="9"/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81</v>
      </c>
      <c r="O27" s="9">
        <v>81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'2408'!O28</f>
        <v>314</v>
      </c>
      <c r="E28" s="9">
        <v>143</v>
      </c>
      <c r="F28" s="9">
        <v>134</v>
      </c>
      <c r="G28" s="11"/>
      <c r="H28" s="9"/>
      <c r="I28" s="9"/>
      <c r="J28" s="9"/>
      <c r="K28" s="9"/>
      <c r="L28" s="9"/>
      <c r="M28" s="9"/>
      <c r="N28" s="9">
        <f>D28+E28-SUM(F28:M28)</f>
        <v>323</v>
      </c>
      <c r="O28" s="9">
        <v>323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'2408'!O29</f>
        <v>100</v>
      </c>
      <c r="E29" s="9">
        <v>81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126</v>
      </c>
      <c r="O29" s="9">
        <v>126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DATE(2015,8,25)</f>
        <v>42241</v>
      </c>
      <c r="E5" s="293">
        <f>D5+1</f>
        <v>42242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45"/>
      <c r="M6" s="145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40</v>
      </c>
      <c r="H7" s="5" t="s">
        <v>39</v>
      </c>
      <c r="I7" s="5" t="s">
        <v>38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'2508'!O8</f>
        <v>301</v>
      </c>
      <c r="E8" s="10">
        <v>205</v>
      </c>
      <c r="F8" s="11">
        <v>58</v>
      </c>
      <c r="G8" s="11">
        <v>30</v>
      </c>
      <c r="H8" s="11">
        <v>48</v>
      </c>
      <c r="I8" s="11">
        <v>20</v>
      </c>
      <c r="J8" s="11"/>
      <c r="K8" s="11"/>
      <c r="L8" s="11"/>
      <c r="M8" s="11"/>
      <c r="N8" s="9">
        <f t="shared" ref="N8:N24" si="0">D8+E8-SUM(F8:M8)</f>
        <v>350</v>
      </c>
      <c r="O8" s="9">
        <f>145+E8</f>
        <v>350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'2508'!O9</f>
        <v>160</v>
      </c>
      <c r="E9" s="14"/>
      <c r="F9" s="11">
        <v>10</v>
      </c>
      <c r="G9" s="11">
        <v>30</v>
      </c>
      <c r="H9" s="11">
        <v>50</v>
      </c>
      <c r="I9" s="11">
        <v>10</v>
      </c>
      <c r="J9" s="11"/>
      <c r="K9" s="11"/>
      <c r="L9" s="11"/>
      <c r="M9" s="11"/>
      <c r="N9" s="9">
        <f t="shared" si="0"/>
        <v>60</v>
      </c>
      <c r="O9" s="9">
        <v>60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'2508'!O10</f>
        <v>852</v>
      </c>
      <c r="E10" s="10">
        <v>212</v>
      </c>
      <c r="F10" s="11">
        <f>554+21</f>
        <v>575</v>
      </c>
      <c r="G10" s="11">
        <v>40</v>
      </c>
      <c r="H10" s="11">
        <v>80</v>
      </c>
      <c r="I10" s="11">
        <v>23</v>
      </c>
      <c r="J10" s="11"/>
      <c r="K10" s="11"/>
      <c r="L10" s="11"/>
      <c r="M10" s="11"/>
      <c r="N10" s="9">
        <f t="shared" si="0"/>
        <v>346</v>
      </c>
      <c r="O10" s="9">
        <f>134+212</f>
        <v>346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'2508'!O11</f>
        <v>0</v>
      </c>
      <c r="E11" s="10"/>
      <c r="F11" s="11"/>
      <c r="G11" s="11"/>
      <c r="H11" s="11" t="s">
        <v>57</v>
      </c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'2508'!O12</f>
        <v>286</v>
      </c>
      <c r="E12" s="14">
        <f>125+135</f>
        <v>260</v>
      </c>
      <c r="F12" s="11"/>
      <c r="G12" s="11">
        <v>100</v>
      </c>
      <c r="H12" s="11">
        <v>100</v>
      </c>
      <c r="I12" s="11">
        <v>10</v>
      </c>
      <c r="J12" s="11"/>
      <c r="K12" s="11"/>
      <c r="L12" s="11"/>
      <c r="M12" s="11"/>
      <c r="N12" s="9">
        <f t="shared" si="0"/>
        <v>336</v>
      </c>
      <c r="O12" s="9">
        <f>76+E12</f>
        <v>336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'2508'!O13</f>
        <v>400</v>
      </c>
      <c r="E13" s="14">
        <v>116</v>
      </c>
      <c r="F13" s="11">
        <v>14</v>
      </c>
      <c r="G13" s="11">
        <v>60</v>
      </c>
      <c r="H13" s="11">
        <v>70</v>
      </c>
      <c r="I13" s="11">
        <v>13</v>
      </c>
      <c r="J13" s="11"/>
      <c r="K13" s="11"/>
      <c r="L13" s="11"/>
      <c r="M13" s="11"/>
      <c r="N13" s="9">
        <f t="shared" si="0"/>
        <v>359</v>
      </c>
      <c r="O13" s="9">
        <f>140+103+E13</f>
        <v>359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'2508'!O14</f>
        <v>0</v>
      </c>
      <c r="E14" s="14">
        <v>3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'2508'!O15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'2508'!O16</f>
        <v>7</v>
      </c>
      <c r="E16" s="14">
        <v>4</v>
      </c>
      <c r="F16" s="11"/>
      <c r="G16" s="11">
        <v>2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'2508'!O17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'2508'!O18</f>
        <v>3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'2508'!O19</f>
        <v>2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'2508'!O20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'2508'!O21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'2508'!O22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'2508'!O23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'2508'!O24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'2508'!O26</f>
        <v>220</v>
      </c>
      <c r="E26" s="10">
        <v>140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240</v>
      </c>
      <c r="O26" s="9">
        <v>240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'2508'!O27</f>
        <v>81</v>
      </c>
      <c r="E27" s="9">
        <v>61</v>
      </c>
      <c r="F27" s="9">
        <v>20</v>
      </c>
      <c r="G27" s="11"/>
      <c r="H27" s="9"/>
      <c r="I27" s="9"/>
      <c r="J27" s="9"/>
      <c r="K27" s="9"/>
      <c r="L27" s="9"/>
      <c r="M27" s="9"/>
      <c r="N27" s="9">
        <f>D27+E27-SUM(F27:M27)</f>
        <v>122</v>
      </c>
      <c r="O27" s="9">
        <v>122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'2508'!O28</f>
        <v>323</v>
      </c>
      <c r="E28" s="9">
        <v>71</v>
      </c>
      <c r="F28" s="9">
        <v>71</v>
      </c>
      <c r="G28" s="11"/>
      <c r="H28" s="9"/>
      <c r="I28" s="9"/>
      <c r="J28" s="9"/>
      <c r="K28" s="9"/>
      <c r="L28" s="9"/>
      <c r="M28" s="9"/>
      <c r="N28" s="9">
        <f>D28+E28-SUM(F28:M28)</f>
        <v>323</v>
      </c>
      <c r="O28" s="9">
        <v>323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'2508'!O29</f>
        <v>126</v>
      </c>
      <c r="E29" s="9">
        <v>70</v>
      </c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126</v>
      </c>
      <c r="O29" s="9">
        <v>126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DATE(2015,8,26)</f>
        <v>42242</v>
      </c>
      <c r="E5" s="293">
        <f>D5+1</f>
        <v>42243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46"/>
      <c r="M6" s="146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52</v>
      </c>
      <c r="H7" s="5" t="s">
        <v>51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'2608'!O8</f>
        <v>350</v>
      </c>
      <c r="E8" s="10">
        <f>95+103</f>
        <v>198</v>
      </c>
      <c r="F8" s="11">
        <v>65</v>
      </c>
      <c r="G8" s="11">
        <v>150</v>
      </c>
      <c r="H8" s="11">
        <v>95</v>
      </c>
      <c r="I8" s="11"/>
      <c r="J8" s="11"/>
      <c r="K8" s="11"/>
      <c r="L8" s="11"/>
      <c r="M8" s="11"/>
      <c r="N8" s="9">
        <f t="shared" ref="N8:N24" si="0">D8+E8-SUM(F8:M8)</f>
        <v>238</v>
      </c>
      <c r="O8" s="9">
        <f>40+E8</f>
        <v>238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'2608'!O9</f>
        <v>60</v>
      </c>
      <c r="E9" s="14">
        <v>83</v>
      </c>
      <c r="F9" s="11"/>
      <c r="G9" s="11"/>
      <c r="H9" s="11">
        <v>60</v>
      </c>
      <c r="I9" s="11"/>
      <c r="J9" s="11"/>
      <c r="K9" s="11"/>
      <c r="L9" s="11"/>
      <c r="M9" s="11"/>
      <c r="N9" s="9">
        <f t="shared" si="0"/>
        <v>83</v>
      </c>
      <c r="O9" s="9">
        <f>E9</f>
        <v>83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'2608'!O10</f>
        <v>346</v>
      </c>
      <c r="E10" s="10">
        <v>124</v>
      </c>
      <c r="F10" s="11">
        <v>10</v>
      </c>
      <c r="G10" s="11">
        <v>100</v>
      </c>
      <c r="H10" s="11">
        <v>150</v>
      </c>
      <c r="I10" s="11"/>
      <c r="J10" s="11"/>
      <c r="K10" s="11"/>
      <c r="L10" s="11"/>
      <c r="M10" s="11"/>
      <c r="N10" s="9">
        <f t="shared" si="0"/>
        <v>210</v>
      </c>
      <c r="O10" s="9">
        <f>86+E10</f>
        <v>210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'2608'!O11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'2608'!O12</f>
        <v>336</v>
      </c>
      <c r="E12" s="14">
        <f>168+41</f>
        <v>209</v>
      </c>
      <c r="F12" s="11">
        <v>20</v>
      </c>
      <c r="G12" s="11">
        <v>170</v>
      </c>
      <c r="H12" s="11">
        <v>146</v>
      </c>
      <c r="I12" s="11"/>
      <c r="J12" s="11"/>
      <c r="K12" s="11"/>
      <c r="L12" s="11"/>
      <c r="M12" s="11"/>
      <c r="N12" s="9">
        <f t="shared" si="0"/>
        <v>209</v>
      </c>
      <c r="O12" s="9">
        <f>E12</f>
        <v>209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'2608'!O13</f>
        <v>359</v>
      </c>
      <c r="E13" s="14">
        <v>160</v>
      </c>
      <c r="F13" s="11"/>
      <c r="G13" s="11">
        <v>149</v>
      </c>
      <c r="H13" s="11">
        <v>100</v>
      </c>
      <c r="I13" s="11"/>
      <c r="J13" s="11"/>
      <c r="K13" s="11"/>
      <c r="L13" s="11"/>
      <c r="M13" s="11"/>
      <c r="N13" s="9">
        <f t="shared" si="0"/>
        <v>270</v>
      </c>
      <c r="O13" s="9">
        <f>110+E13</f>
        <v>270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'2608'!O14</f>
        <v>3</v>
      </c>
      <c r="E14" s="14">
        <v>2</v>
      </c>
      <c r="F14" s="11"/>
      <c r="G14" s="11"/>
      <c r="H14" s="11">
        <v>3</v>
      </c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'2608'!O15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'2608'!O16</f>
        <v>7</v>
      </c>
      <c r="E16" s="14">
        <v>4</v>
      </c>
      <c r="F16" s="11"/>
      <c r="G16" s="11">
        <v>4</v>
      </c>
      <c r="H16" s="11">
        <v>3</v>
      </c>
      <c r="I16" s="11"/>
      <c r="J16" s="11"/>
      <c r="K16" s="11"/>
      <c r="L16" s="11"/>
      <c r="M16" s="11"/>
      <c r="N16" s="9">
        <f t="shared" si="0"/>
        <v>4</v>
      </c>
      <c r="O16" s="9">
        <f>E16</f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'2608'!O17</f>
        <v>2</v>
      </c>
      <c r="E17" s="14"/>
      <c r="F17" s="11"/>
      <c r="G17" s="11"/>
      <c r="H17" s="11">
        <v>2</v>
      </c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'2608'!O18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'2608'!O19</f>
        <v>1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'2608'!O20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'2608'!O21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'2608'!O22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'2608'!O23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'2608'!O24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'2608'!O26</f>
        <v>240</v>
      </c>
      <c r="E26" s="10">
        <v>142</v>
      </c>
      <c r="F26" s="9">
        <v>101</v>
      </c>
      <c r="G26" s="11"/>
      <c r="H26" s="9"/>
      <c r="I26" s="9"/>
      <c r="J26" s="9"/>
      <c r="K26" s="9"/>
      <c r="L26" s="9"/>
      <c r="M26" s="9"/>
      <c r="N26" s="9">
        <f>D26+E26-SUM(F26:M26)</f>
        <v>281</v>
      </c>
      <c r="O26" s="9">
        <v>281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'2608'!O27</f>
        <v>122</v>
      </c>
      <c r="E27" s="9">
        <v>62</v>
      </c>
      <c r="F27" s="9">
        <v>48</v>
      </c>
      <c r="G27" s="11"/>
      <c r="H27" s="9"/>
      <c r="I27" s="9"/>
      <c r="J27" s="9"/>
      <c r="K27" s="9"/>
      <c r="L27" s="9"/>
      <c r="M27" s="9"/>
      <c r="N27" s="9">
        <f>D27+E27-SUM(F27:M27)</f>
        <v>136</v>
      </c>
      <c r="O27" s="9">
        <v>136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'2608'!O28</f>
        <v>323</v>
      </c>
      <c r="E28" s="9">
        <v>150</v>
      </c>
      <c r="F28" s="9">
        <v>112</v>
      </c>
      <c r="G28" s="11"/>
      <c r="H28" s="9"/>
      <c r="I28" s="9"/>
      <c r="J28" s="9"/>
      <c r="K28" s="9"/>
      <c r="L28" s="9"/>
      <c r="M28" s="9"/>
      <c r="N28" s="9">
        <f>D28+E28-SUM(F28:M28)</f>
        <v>361</v>
      </c>
      <c r="O28" s="9">
        <v>361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'2608'!O29</f>
        <v>126</v>
      </c>
      <c r="E29" s="9">
        <v>28</v>
      </c>
      <c r="F29" s="9">
        <v>56</v>
      </c>
      <c r="G29" s="11"/>
      <c r="H29" s="9"/>
      <c r="I29" s="9"/>
      <c r="J29" s="9"/>
      <c r="K29" s="9"/>
      <c r="L29" s="9"/>
      <c r="M29" s="9"/>
      <c r="N29" s="9">
        <f>D29+E29-SUM(F29:M29)</f>
        <v>98</v>
      </c>
      <c r="O29" s="9">
        <v>98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4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DATE(2015,4,14)</f>
        <v>42108</v>
      </c>
      <c r="E5" s="293">
        <f>D5+1</f>
        <v>42109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36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39</v>
      </c>
      <c r="H7" s="5" t="s">
        <v>38</v>
      </c>
      <c r="I7" s="5" t="s">
        <v>40</v>
      </c>
      <c r="J7" s="5" t="s">
        <v>51</v>
      </c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VLOOKUP($B8,'1404'!$B8:$M22,11,0)</f>
        <v>116</v>
      </c>
      <c r="E8" s="10">
        <f>119+74</f>
        <v>193</v>
      </c>
      <c r="F8" s="11"/>
      <c r="G8" s="11">
        <v>40</v>
      </c>
      <c r="H8" s="11"/>
      <c r="I8" s="11">
        <v>40</v>
      </c>
      <c r="J8" s="11"/>
      <c r="K8" s="9">
        <f>D8+E8-SUM(F8:J8)</f>
        <v>229</v>
      </c>
      <c r="L8" s="9">
        <v>229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VLOOKUP($B9,'1404'!$B9:$M23,11,0)</f>
        <v>76</v>
      </c>
      <c r="E9" s="14"/>
      <c r="F9" s="11"/>
      <c r="G9" s="11">
        <v>30</v>
      </c>
      <c r="H9" s="11"/>
      <c r="I9" s="11">
        <v>40</v>
      </c>
      <c r="J9" s="11"/>
      <c r="K9" s="9">
        <f t="shared" ref="K9:K19" si="1">D9+E9-SUM(F9:J9)</f>
        <v>6</v>
      </c>
      <c r="L9" s="9">
        <v>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VLOOKUP($B10,'1404'!$B10:$M24,11,0)</f>
        <v>80</v>
      </c>
      <c r="E10" s="10"/>
      <c r="F10" s="11"/>
      <c r="G10" s="11">
        <v>40</v>
      </c>
      <c r="H10" s="11"/>
      <c r="I10" s="11">
        <v>40</v>
      </c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VLOOKUP($B11,'1404'!$B11:$M25,11,0)</f>
        <v>408</v>
      </c>
      <c r="E11" s="10">
        <v>285</v>
      </c>
      <c r="F11" s="11"/>
      <c r="G11" s="11">
        <v>160</v>
      </c>
      <c r="H11" s="11">
        <v>200</v>
      </c>
      <c r="I11" s="11"/>
      <c r="J11" s="11"/>
      <c r="K11" s="9">
        <f t="shared" si="1"/>
        <v>333</v>
      </c>
      <c r="L11" s="9">
        <f>48+285</f>
        <v>333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VLOOKUP($B12,'1404'!$B12:$M26,11,0)</f>
        <v>228</v>
      </c>
      <c r="E12" s="14">
        <v>78</v>
      </c>
      <c r="F12" s="11"/>
      <c r="G12" s="11">
        <v>40</v>
      </c>
      <c r="H12" s="11"/>
      <c r="I12" s="11">
        <v>60</v>
      </c>
      <c r="J12" s="11"/>
      <c r="K12" s="9">
        <f t="shared" si="1"/>
        <v>206</v>
      </c>
      <c r="L12" s="9">
        <f>127+79</f>
        <v>206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VLOOKUP($B13,'1404'!$B13:$M27,11,0)</f>
        <v>0</v>
      </c>
      <c r="E13" s="14">
        <v>114</v>
      </c>
      <c r="F13" s="11"/>
      <c r="G13" s="11"/>
      <c r="H13" s="11"/>
      <c r="I13" s="11"/>
      <c r="J13" s="11"/>
      <c r="K13" s="9">
        <f t="shared" si="1"/>
        <v>114</v>
      </c>
      <c r="L13" s="9">
        <v>114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VLOOKUP($B14,'1404'!$B14:$M28,11,0)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VLOOKUP($B15,'1404'!$B15:$M29,11,0)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VLOOKUP($B16,'1404'!$B16:$M30,11,0)</f>
        <v>4</v>
      </c>
      <c r="E16" s="14">
        <v>2</v>
      </c>
      <c r="F16" s="11"/>
      <c r="G16" s="11">
        <v>1</v>
      </c>
      <c r="H16" s="11"/>
      <c r="I16" s="11">
        <v>1</v>
      </c>
      <c r="J16" s="11">
        <v>1</v>
      </c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VLOOKUP($B17,'1404'!$B17:$M31,11,0)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VLOOKUP($B18,'1404'!$B18:$M32,11,0)</f>
        <v>3</v>
      </c>
      <c r="E18" s="14"/>
      <c r="F18" s="11"/>
      <c r="G18" s="11">
        <v>1</v>
      </c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VLOOKUP($B19,'1404'!$B19:$M33,11,0)</f>
        <v>2</v>
      </c>
      <c r="E19" s="14"/>
      <c r="F19" s="11"/>
      <c r="G19" s="11"/>
      <c r="H19" s="11"/>
      <c r="I19" s="11">
        <v>1</v>
      </c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VLOOKUP($B20,'1404'!$B20:$M34,11,0)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VLOOKUP($B21,'1404'!$B21:$M35,11,0)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VLOOKUP($B22,'1404'!$B22:$M36,11,0)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674</v>
      </c>
      <c r="F24" s="9"/>
      <c r="G24" s="9"/>
      <c r="H24" s="9"/>
      <c r="I24" s="9">
        <f t="shared" si="3"/>
        <v>182</v>
      </c>
      <c r="J24" s="9"/>
      <c r="K24" s="9">
        <f t="shared" si="3"/>
        <v>898</v>
      </c>
      <c r="L24" s="9">
        <f t="shared" si="3"/>
        <v>898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VLOOKUP($B26,'1404'!$B26:$M29,11,0)</f>
        <v>239</v>
      </c>
      <c r="E26" s="10">
        <v>138</v>
      </c>
      <c r="F26" s="9">
        <v>135</v>
      </c>
      <c r="G26" s="11"/>
      <c r="H26" s="9"/>
      <c r="I26" s="9"/>
      <c r="J26" s="9"/>
      <c r="K26" s="9">
        <f t="shared" ref="K26" si="4">D26+E26-F26</f>
        <v>242</v>
      </c>
      <c r="L26" s="9">
        <v>242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VLOOKUP($B27,'1404'!$B27:$M30,11,0)</f>
        <v>106</v>
      </c>
      <c r="E27" s="9">
        <v>59</v>
      </c>
      <c r="F27" s="9">
        <v>106</v>
      </c>
      <c r="G27" s="11"/>
      <c r="H27" s="9"/>
      <c r="I27" s="9"/>
      <c r="J27" s="9"/>
      <c r="K27" s="9">
        <f>D27+E27-F27</f>
        <v>59</v>
      </c>
      <c r="L27" s="9">
        <v>59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VLOOKUP($B28,'1404'!$B28:$M31,11,0)</f>
        <v>308</v>
      </c>
      <c r="E28" s="9">
        <v>218</v>
      </c>
      <c r="F28" s="9">
        <v>210</v>
      </c>
      <c r="G28" s="11"/>
      <c r="H28" s="9"/>
      <c r="I28" s="9"/>
      <c r="J28" s="9"/>
      <c r="K28" s="9">
        <f>D28+E28-F28</f>
        <v>316</v>
      </c>
      <c r="L28" s="9">
        <v>316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VLOOKUP($B29,'1404'!$B29:$M32,11,0)</f>
        <v>98</v>
      </c>
      <c r="E29" s="9">
        <v>91</v>
      </c>
      <c r="F29" s="9">
        <v>98</v>
      </c>
      <c r="G29" s="11"/>
      <c r="H29" s="9"/>
      <c r="I29" s="9"/>
      <c r="J29" s="9"/>
      <c r="K29" s="9">
        <f>D29+E29-F29</f>
        <v>91</v>
      </c>
      <c r="L29" s="9">
        <v>91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DATE(2015,8,27)</f>
        <v>42243</v>
      </c>
      <c r="E5" s="293">
        <f>D5+1</f>
        <v>42244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47"/>
      <c r="M6" s="147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49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'2708'!O8</f>
        <v>238</v>
      </c>
      <c r="E8" s="10">
        <f>95+110</f>
        <v>205</v>
      </c>
      <c r="F8" s="11">
        <v>58</v>
      </c>
      <c r="G8" s="11">
        <v>90</v>
      </c>
      <c r="H8" s="11"/>
      <c r="I8" s="11"/>
      <c r="J8" s="11"/>
      <c r="K8" s="11"/>
      <c r="L8" s="11"/>
      <c r="M8" s="11"/>
      <c r="N8" s="9">
        <f t="shared" ref="N8:N24" si="0">D8+E8-SUM(F8:M8)</f>
        <v>295</v>
      </c>
      <c r="O8" s="9">
        <f>90+E8</f>
        <v>295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'2708'!O9</f>
        <v>83</v>
      </c>
      <c r="E9" s="14">
        <f>41+84</f>
        <v>125</v>
      </c>
      <c r="F9" s="11"/>
      <c r="G9" s="11">
        <v>83</v>
      </c>
      <c r="H9" s="11"/>
      <c r="I9" s="11"/>
      <c r="J9" s="11"/>
      <c r="K9" s="11"/>
      <c r="L9" s="11"/>
      <c r="M9" s="11"/>
      <c r="N9" s="9">
        <f t="shared" si="0"/>
        <v>125</v>
      </c>
      <c r="O9" s="9">
        <f>E9</f>
        <v>125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'2708'!O10</f>
        <v>210</v>
      </c>
      <c r="E10" s="10">
        <v>128</v>
      </c>
      <c r="F10" s="11">
        <v>30</v>
      </c>
      <c r="G10" s="11">
        <v>80</v>
      </c>
      <c r="H10" s="11"/>
      <c r="I10" s="11"/>
      <c r="J10" s="11"/>
      <c r="K10" s="11"/>
      <c r="L10" s="11"/>
      <c r="M10" s="11"/>
      <c r="N10" s="9">
        <f t="shared" si="0"/>
        <v>228</v>
      </c>
      <c r="O10" s="9">
        <f>100+E10</f>
        <v>228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'2708'!O11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'2708'!O12</f>
        <v>209</v>
      </c>
      <c r="E12" s="14">
        <f>127+135</f>
        <v>262</v>
      </c>
      <c r="F12" s="11">
        <v>21</v>
      </c>
      <c r="G12" s="11">
        <v>100</v>
      </c>
      <c r="H12" s="11"/>
      <c r="I12" s="11"/>
      <c r="J12" s="11"/>
      <c r="K12" s="11"/>
      <c r="L12" s="11"/>
      <c r="M12" s="11"/>
      <c r="N12" s="9">
        <f t="shared" si="0"/>
        <v>350</v>
      </c>
      <c r="O12" s="9">
        <f>88+E12</f>
        <v>350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'2708'!O13</f>
        <v>270</v>
      </c>
      <c r="E13" s="14">
        <v>73</v>
      </c>
      <c r="F13" s="11">
        <v>15</v>
      </c>
      <c r="G13" s="11">
        <v>100</v>
      </c>
      <c r="H13" s="11"/>
      <c r="I13" s="11"/>
      <c r="J13" s="11"/>
      <c r="K13" s="11"/>
      <c r="L13" s="11"/>
      <c r="M13" s="11"/>
      <c r="N13" s="9">
        <f t="shared" si="0"/>
        <v>228</v>
      </c>
      <c r="O13" s="9">
        <f>155+E13</f>
        <v>228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'2708'!O14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'2708'!O15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'2708'!O16</f>
        <v>4</v>
      </c>
      <c r="E16" s="14">
        <v>4</v>
      </c>
      <c r="F16" s="11"/>
      <c r="G16" s="11">
        <v>3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'2708'!O17</f>
        <v>0</v>
      </c>
      <c r="E17" s="14">
        <v>4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4</v>
      </c>
      <c r="O17" s="9">
        <v>4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'2708'!O18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'2708'!O19</f>
        <v>0</v>
      </c>
      <c r="E19" s="14">
        <v>3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'2708'!O20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'2708'!O21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'2708'!O22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'2708'!O23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'2708'!O24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'2708'!O26</f>
        <v>281</v>
      </c>
      <c r="E26" s="10">
        <v>65</v>
      </c>
      <c r="F26" s="9">
        <v>125</v>
      </c>
      <c r="G26" s="11"/>
      <c r="H26" s="9"/>
      <c r="I26" s="9"/>
      <c r="J26" s="9"/>
      <c r="K26" s="9"/>
      <c r="L26" s="9"/>
      <c r="M26" s="9"/>
      <c r="N26" s="9">
        <f>D26+E26-SUM(F26:M26)</f>
        <v>221</v>
      </c>
      <c r="O26" s="9">
        <v>221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'2708'!O27</f>
        <v>136</v>
      </c>
      <c r="E27" s="9"/>
      <c r="F27" s="9">
        <v>36</v>
      </c>
      <c r="G27" s="11"/>
      <c r="H27" s="9"/>
      <c r="I27" s="9"/>
      <c r="J27" s="9"/>
      <c r="K27" s="9"/>
      <c r="L27" s="9"/>
      <c r="M27" s="9"/>
      <c r="N27" s="9">
        <f>D27+E27-SUM(F27:M27)</f>
        <v>100</v>
      </c>
      <c r="O27" s="9">
        <v>100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'2708'!O28</f>
        <v>361</v>
      </c>
      <c r="E28" s="9">
        <v>77</v>
      </c>
      <c r="F28" s="9">
        <v>91</v>
      </c>
      <c r="G28" s="11"/>
      <c r="H28" s="9"/>
      <c r="I28" s="9"/>
      <c r="J28" s="9"/>
      <c r="K28" s="9"/>
      <c r="L28" s="9"/>
      <c r="M28" s="9"/>
      <c r="N28" s="9">
        <f>D28+E28-SUM(F28:M28)</f>
        <v>347</v>
      </c>
      <c r="O28" s="9">
        <v>347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'2708'!O29</f>
        <v>98</v>
      </c>
      <c r="E29" s="9">
        <v>74</v>
      </c>
      <c r="F29" s="9">
        <v>40</v>
      </c>
      <c r="G29" s="11"/>
      <c r="H29" s="9"/>
      <c r="I29" s="9"/>
      <c r="J29" s="9"/>
      <c r="K29" s="9"/>
      <c r="L29" s="9"/>
      <c r="M29" s="9"/>
      <c r="N29" s="9">
        <f>D29+E29-SUM(F29:M29)</f>
        <v>132</v>
      </c>
      <c r="O29" s="9">
        <v>132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2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DATE(2015,8,28)</f>
        <v>42244</v>
      </c>
      <c r="E5" s="293">
        <f>D5+1</f>
        <v>42245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48"/>
      <c r="M6" s="148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43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'2808'!O8</f>
        <v>295</v>
      </c>
      <c r="E8" s="10">
        <f>78+45+40</f>
        <v>163</v>
      </c>
      <c r="F8" s="11">
        <v>65</v>
      </c>
      <c r="G8" s="11">
        <v>60</v>
      </c>
      <c r="H8" s="11"/>
      <c r="I8" s="11"/>
      <c r="J8" s="11"/>
      <c r="K8" s="11"/>
      <c r="L8" s="11"/>
      <c r="M8" s="11"/>
      <c r="N8" s="9">
        <f t="shared" ref="N8:N24" si="0">D8+E8-SUM(F8:M8)</f>
        <v>333</v>
      </c>
      <c r="O8" s="9">
        <f>170+E8</f>
        <v>333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'2808'!O9</f>
        <v>125</v>
      </c>
      <c r="E9" s="14">
        <v>83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208</v>
      </c>
      <c r="O9" s="9">
        <f>110+15+83</f>
        <v>208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'2808'!O10</f>
        <v>228</v>
      </c>
      <c r="E10" s="10">
        <v>160</v>
      </c>
      <c r="F10" s="11">
        <v>20</v>
      </c>
      <c r="G10" s="11">
        <v>30</v>
      </c>
      <c r="H10" s="11"/>
      <c r="I10" s="11"/>
      <c r="J10" s="11"/>
      <c r="K10" s="11"/>
      <c r="L10" s="11"/>
      <c r="M10" s="11"/>
      <c r="N10" s="9">
        <f t="shared" si="0"/>
        <v>338</v>
      </c>
      <c r="O10" s="9">
        <f>168+E10+10</f>
        <v>338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'2808'!O11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'2808'!O12</f>
        <v>350</v>
      </c>
      <c r="E12" s="14">
        <v>125</v>
      </c>
      <c r="F12" s="11">
        <v>27</v>
      </c>
      <c r="G12" s="11">
        <v>50</v>
      </c>
      <c r="H12" s="11"/>
      <c r="I12" s="11"/>
      <c r="J12" s="11"/>
      <c r="K12" s="11"/>
      <c r="L12" s="11"/>
      <c r="M12" s="11"/>
      <c r="N12" s="9">
        <f t="shared" si="0"/>
        <v>398</v>
      </c>
      <c r="O12" s="9">
        <f>153+120+E12</f>
        <v>398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'2808'!O13</f>
        <v>228</v>
      </c>
      <c r="E13" s="14">
        <v>111</v>
      </c>
      <c r="F13" s="11">
        <v>33</v>
      </c>
      <c r="G13" s="11"/>
      <c r="H13" s="11"/>
      <c r="I13" s="11"/>
      <c r="J13" s="11"/>
      <c r="K13" s="11"/>
      <c r="L13" s="11"/>
      <c r="M13" s="11"/>
      <c r="N13" s="9">
        <f t="shared" si="0"/>
        <v>306</v>
      </c>
      <c r="O13" s="9">
        <f>195+E13</f>
        <v>306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'2808'!O14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'2808'!O15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'2808'!O16</f>
        <v>5</v>
      </c>
      <c r="E16" s="14">
        <v>4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'2808'!O17</f>
        <v>4</v>
      </c>
      <c r="E17" s="14">
        <v>2</v>
      </c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5</v>
      </c>
      <c r="O17" s="9">
        <v>5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'2808'!O18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'2808'!O19</f>
        <v>3</v>
      </c>
      <c r="E19" s="14">
        <v>2</v>
      </c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'2808'!O20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'2808'!O21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'2808'!O22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'2808'!O23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'2808'!O24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'2808'!O26</f>
        <v>221</v>
      </c>
      <c r="E26" s="10">
        <v>134</v>
      </c>
      <c r="F26" s="9">
        <v>145</v>
      </c>
      <c r="G26" s="11"/>
      <c r="H26" s="9"/>
      <c r="I26" s="9"/>
      <c r="J26" s="9"/>
      <c r="K26" s="9"/>
      <c r="L26" s="9"/>
      <c r="M26" s="9"/>
      <c r="N26" s="9">
        <f>D26+E26-SUM(F26:M26)</f>
        <v>210</v>
      </c>
      <c r="O26" s="9">
        <v>210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'2808'!O27</f>
        <v>100</v>
      </c>
      <c r="E27" s="9">
        <v>31</v>
      </c>
      <c r="F27" s="9">
        <v>64</v>
      </c>
      <c r="G27" s="11"/>
      <c r="H27" s="9"/>
      <c r="I27" s="9"/>
      <c r="J27" s="9"/>
      <c r="K27" s="9"/>
      <c r="L27" s="9"/>
      <c r="M27" s="9"/>
      <c r="N27" s="9">
        <f>D27+E27-SUM(F27:M27)</f>
        <v>67</v>
      </c>
      <c r="O27" s="9">
        <v>67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'2808'!O28</f>
        <v>347</v>
      </c>
      <c r="E28" s="9">
        <v>144</v>
      </c>
      <c r="F28" s="9">
        <v>174</v>
      </c>
      <c r="G28" s="11"/>
      <c r="H28" s="9"/>
      <c r="I28" s="9"/>
      <c r="J28" s="9"/>
      <c r="K28" s="9"/>
      <c r="L28" s="9"/>
      <c r="M28" s="9"/>
      <c r="N28" s="9">
        <f>D28+E28-SUM(F28:M28)</f>
        <v>317</v>
      </c>
      <c r="O28" s="9">
        <v>317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'2808'!O29</f>
        <v>132</v>
      </c>
      <c r="E29" s="9">
        <v>75</v>
      </c>
      <c r="F29" s="9">
        <v>110</v>
      </c>
      <c r="G29" s="11"/>
      <c r="H29" s="9"/>
      <c r="I29" s="9"/>
      <c r="J29" s="9"/>
      <c r="K29" s="9"/>
      <c r="L29" s="9"/>
      <c r="M29" s="9"/>
      <c r="N29" s="9">
        <f>D29+E29-SUM(F29:M29)</f>
        <v>97</v>
      </c>
      <c r="O29" s="9">
        <v>97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DATE(2015,8,29)</f>
        <v>42245</v>
      </c>
      <c r="E5" s="293">
        <f>D5+1</f>
        <v>42246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49"/>
      <c r="M6" s="149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/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'2908'!O8</f>
        <v>333</v>
      </c>
      <c r="E8" s="10">
        <f>81+68+86</f>
        <v>235</v>
      </c>
      <c r="F8" s="11">
        <v>63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505</v>
      </c>
      <c r="O8" s="9">
        <f>240+30+E8</f>
        <v>505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'2908'!O9</f>
        <v>208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208</v>
      </c>
      <c r="O9" s="9">
        <f>125+83+E9</f>
        <v>208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'2908'!O10</f>
        <v>338</v>
      </c>
      <c r="E10" s="10">
        <v>83</v>
      </c>
      <c r="F10" s="11"/>
      <c r="G10" s="11"/>
      <c r="H10" s="11"/>
      <c r="I10" s="11"/>
      <c r="J10" s="11"/>
      <c r="K10" s="11"/>
      <c r="L10" s="11"/>
      <c r="M10" s="11"/>
      <c r="N10" s="9">
        <f t="shared" si="0"/>
        <v>421</v>
      </c>
      <c r="O10" s="9">
        <f>188+150+E10</f>
        <v>421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'2908'!O11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'2908'!O12</f>
        <v>398</v>
      </c>
      <c r="E12" s="14">
        <v>86</v>
      </c>
      <c r="F12" s="11">
        <v>20</v>
      </c>
      <c r="G12" s="11"/>
      <c r="H12" s="11"/>
      <c r="I12" s="11"/>
      <c r="J12" s="11"/>
      <c r="K12" s="11"/>
      <c r="L12" s="11"/>
      <c r="M12" s="11"/>
      <c r="N12" s="9">
        <f t="shared" si="0"/>
        <v>464</v>
      </c>
      <c r="O12" s="9">
        <f>120+123+135+E12</f>
        <v>464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'2908'!O13</f>
        <v>306</v>
      </c>
      <c r="E13" s="14">
        <v>75</v>
      </c>
      <c r="F13" s="11">
        <v>11</v>
      </c>
      <c r="G13" s="11"/>
      <c r="H13" s="11"/>
      <c r="I13" s="11"/>
      <c r="J13" s="11"/>
      <c r="K13" s="11"/>
      <c r="L13" s="11"/>
      <c r="M13" s="11"/>
      <c r="N13" s="9">
        <f t="shared" si="0"/>
        <v>370</v>
      </c>
      <c r="O13" s="9">
        <f>195+100+E13</f>
        <v>370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'2908'!O14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'2908'!O15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'2908'!O16</f>
        <v>9</v>
      </c>
      <c r="E16" s="14">
        <v>4</v>
      </c>
      <c r="F16" s="11">
        <v>2</v>
      </c>
      <c r="G16" s="11"/>
      <c r="H16" s="11"/>
      <c r="I16" s="11"/>
      <c r="J16" s="11"/>
      <c r="K16" s="11"/>
      <c r="L16" s="11"/>
      <c r="M16" s="11"/>
      <c r="N16" s="9">
        <f t="shared" si="0"/>
        <v>11</v>
      </c>
      <c r="O16" s="9">
        <v>11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'2908'!O17</f>
        <v>5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5</v>
      </c>
      <c r="O17" s="9">
        <v>5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'2908'!O18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'2908'!O19</f>
        <v>4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'2908'!O20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'2908'!O21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'2908'!O22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'2908'!O23</f>
        <v>0</v>
      </c>
      <c r="E23" s="14">
        <v>10</v>
      </c>
      <c r="F23" s="9">
        <v>10</v>
      </c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'2908'!O24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'2908'!O26</f>
        <v>210</v>
      </c>
      <c r="E26" s="10">
        <v>139</v>
      </c>
      <c r="F26" s="9">
        <v>116</v>
      </c>
      <c r="G26" s="11"/>
      <c r="H26" s="9"/>
      <c r="I26" s="9"/>
      <c r="J26" s="9"/>
      <c r="K26" s="9"/>
      <c r="L26" s="9"/>
      <c r="M26" s="9"/>
      <c r="N26" s="9">
        <f>D26+E26-SUM(F26:M26)</f>
        <v>233</v>
      </c>
      <c r="O26" s="9">
        <v>233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'2908'!O27</f>
        <v>67</v>
      </c>
      <c r="E27" s="9">
        <v>62</v>
      </c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114</v>
      </c>
      <c r="O27" s="9">
        <v>114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'2908'!O28</f>
        <v>317</v>
      </c>
      <c r="E28" s="9">
        <v>148</v>
      </c>
      <c r="F28" s="9">
        <v>111</v>
      </c>
      <c r="G28" s="11"/>
      <c r="H28" s="9"/>
      <c r="I28" s="9"/>
      <c r="J28" s="9"/>
      <c r="K28" s="9"/>
      <c r="L28" s="9"/>
      <c r="M28" s="9"/>
      <c r="N28" s="9">
        <f>D28+E28-SUM(F28:M28)</f>
        <v>354</v>
      </c>
      <c r="O28" s="9">
        <v>354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'2908'!O29</f>
        <v>97</v>
      </c>
      <c r="E29" s="9">
        <v>85</v>
      </c>
      <c r="F29" s="9">
        <v>80</v>
      </c>
      <c r="G29" s="11"/>
      <c r="H29" s="9"/>
      <c r="I29" s="9"/>
      <c r="J29" s="9"/>
      <c r="K29" s="9"/>
      <c r="L29" s="9"/>
      <c r="M29" s="9"/>
      <c r="N29" s="9">
        <f>D29+E29-SUM(F29:M29)</f>
        <v>102</v>
      </c>
      <c r="O29" s="9">
        <v>102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C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DATE(2015,8,30)</f>
        <v>42246</v>
      </c>
      <c r="E5" s="293">
        <f>D5+1</f>
        <v>42247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49"/>
      <c r="M6" s="149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54</v>
      </c>
      <c r="H7" s="5" t="s">
        <v>78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'3008'!O8</f>
        <v>505</v>
      </c>
      <c r="E8" s="10">
        <f>97+60</f>
        <v>157</v>
      </c>
      <c r="F8" s="11">
        <v>88</v>
      </c>
      <c r="G8" s="11">
        <v>60</v>
      </c>
      <c r="H8" s="11">
        <v>160</v>
      </c>
      <c r="I8" s="11"/>
      <c r="J8" s="11"/>
      <c r="K8" s="11"/>
      <c r="L8" s="11"/>
      <c r="M8" s="11"/>
      <c r="N8" s="9">
        <f t="shared" ref="N8:N24" si="0">D8+E8-SUM(F8:M8)</f>
        <v>354</v>
      </c>
      <c r="O8" s="9">
        <f>87+80+30+E8</f>
        <v>354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'3008'!O9</f>
        <v>208</v>
      </c>
      <c r="E9" s="14">
        <v>81</v>
      </c>
      <c r="F9" s="11"/>
      <c r="G9" s="11">
        <v>50</v>
      </c>
      <c r="H9" s="11">
        <v>155</v>
      </c>
      <c r="I9" s="11"/>
      <c r="J9" s="11"/>
      <c r="K9" s="11"/>
      <c r="L9" s="11"/>
      <c r="M9" s="11"/>
      <c r="N9" s="9">
        <f t="shared" si="0"/>
        <v>84</v>
      </c>
      <c r="O9" s="9">
        <f>3+81</f>
        <v>84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'3008'!O10</f>
        <v>421</v>
      </c>
      <c r="E10" s="10">
        <v>79</v>
      </c>
      <c r="F10" s="11">
        <v>60</v>
      </c>
      <c r="G10" s="11">
        <v>58</v>
      </c>
      <c r="H10" s="11">
        <v>180</v>
      </c>
      <c r="I10" s="11"/>
      <c r="J10" s="11"/>
      <c r="K10" s="11"/>
      <c r="L10" s="11"/>
      <c r="M10" s="11"/>
      <c r="N10" s="9">
        <f t="shared" si="0"/>
        <v>202</v>
      </c>
      <c r="O10" s="9">
        <f>40+83+E10</f>
        <v>202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'3008'!O11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'3008'!O12</f>
        <v>464</v>
      </c>
      <c r="E12" s="14">
        <v>123</v>
      </c>
      <c r="F12" s="11">
        <v>20</v>
      </c>
      <c r="G12" s="11">
        <v>50</v>
      </c>
      <c r="H12" s="11">
        <v>240</v>
      </c>
      <c r="I12" s="11"/>
      <c r="J12" s="11"/>
      <c r="K12" s="11"/>
      <c r="L12" s="11"/>
      <c r="M12" s="11"/>
      <c r="N12" s="9">
        <f t="shared" si="0"/>
        <v>277</v>
      </c>
      <c r="O12" s="9">
        <f>88+66+E12</f>
        <v>277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'3008'!O13</f>
        <v>370</v>
      </c>
      <c r="E13" s="14">
        <v>114</v>
      </c>
      <c r="F13" s="11">
        <v>20</v>
      </c>
      <c r="G13" s="11">
        <v>50</v>
      </c>
      <c r="H13" s="11">
        <v>175</v>
      </c>
      <c r="I13" s="11"/>
      <c r="J13" s="11"/>
      <c r="K13" s="11"/>
      <c r="L13" s="11"/>
      <c r="M13" s="11"/>
      <c r="N13" s="9">
        <f t="shared" si="0"/>
        <v>239</v>
      </c>
      <c r="O13" s="9">
        <f>45+80+E13</f>
        <v>239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'3008'!O14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'3008'!O15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'3008'!O16</f>
        <v>11</v>
      </c>
      <c r="E16" s="14">
        <v>2</v>
      </c>
      <c r="F16" s="11">
        <v>1</v>
      </c>
      <c r="G16" s="11">
        <v>2</v>
      </c>
      <c r="H16" s="11">
        <v>4</v>
      </c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'3008'!O17</f>
        <v>5</v>
      </c>
      <c r="E17" s="14"/>
      <c r="F17" s="11"/>
      <c r="G17" s="11"/>
      <c r="H17" s="11">
        <v>3</v>
      </c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'3008'!O18</f>
        <v>2</v>
      </c>
      <c r="E18" s="14">
        <v>2</v>
      </c>
      <c r="F18" s="11"/>
      <c r="G18" s="11"/>
      <c r="H18" s="11">
        <v>2</v>
      </c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'3008'!O19</f>
        <v>4</v>
      </c>
      <c r="E19" s="14"/>
      <c r="F19" s="11"/>
      <c r="G19" s="11"/>
      <c r="H19" s="11">
        <v>2</v>
      </c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'3008'!O20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'3008'!O21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'3008'!O22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'3008'!O23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'3008'!O24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'3008'!O26</f>
        <v>233</v>
      </c>
      <c r="E26" s="10">
        <v>136</v>
      </c>
      <c r="F26" s="9">
        <v>150</v>
      </c>
      <c r="G26" s="11"/>
      <c r="H26" s="9"/>
      <c r="I26" s="9"/>
      <c r="J26" s="9"/>
      <c r="K26" s="9"/>
      <c r="L26" s="9"/>
      <c r="M26" s="9"/>
      <c r="N26" s="9">
        <f>D26+E26-SUM(F26:M26)</f>
        <v>219</v>
      </c>
      <c r="O26" s="9">
        <v>219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'3008'!O27</f>
        <v>114</v>
      </c>
      <c r="E27" s="9">
        <v>60</v>
      </c>
      <c r="F27" s="9">
        <v>6</v>
      </c>
      <c r="G27" s="11"/>
      <c r="H27" s="9"/>
      <c r="I27" s="9"/>
      <c r="J27" s="9"/>
      <c r="K27" s="9"/>
      <c r="L27" s="9"/>
      <c r="M27" s="9"/>
      <c r="N27" s="9">
        <f>D27+E27-SUM(F27:M27)</f>
        <v>168</v>
      </c>
      <c r="O27" s="9">
        <v>168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'3008'!O28</f>
        <v>354</v>
      </c>
      <c r="E28" s="9"/>
      <c r="F28" s="9">
        <v>108</v>
      </c>
      <c r="G28" s="11"/>
      <c r="H28" s="9"/>
      <c r="I28" s="9"/>
      <c r="J28" s="9"/>
      <c r="K28" s="9"/>
      <c r="L28" s="9"/>
      <c r="M28" s="9"/>
      <c r="N28" s="9">
        <f>D28+E28-SUM(F28:M28)</f>
        <v>246</v>
      </c>
      <c r="O28" s="9">
        <v>246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'3008'!O29</f>
        <v>102</v>
      </c>
      <c r="E29" s="9">
        <v>84</v>
      </c>
      <c r="F29" s="9">
        <v>80</v>
      </c>
      <c r="G29" s="11"/>
      <c r="H29" s="9"/>
      <c r="I29" s="9"/>
      <c r="J29" s="9"/>
      <c r="K29" s="9"/>
      <c r="L29" s="9"/>
      <c r="M29" s="9"/>
      <c r="N29" s="9">
        <f>D29+E29-SUM(F29:M29)</f>
        <v>106</v>
      </c>
      <c r="O29" s="9">
        <v>106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DATE(2015,8,31)</f>
        <v>42247</v>
      </c>
      <c r="E5" s="293">
        <f>D5+1</f>
        <v>42248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50"/>
      <c r="M6" s="150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62</v>
      </c>
      <c r="H7" s="5" t="s">
        <v>79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'3108'!O8</f>
        <v>354</v>
      </c>
      <c r="E8" s="10">
        <f>101+14</f>
        <v>115</v>
      </c>
      <c r="F8" s="11">
        <v>55</v>
      </c>
      <c r="G8" s="11">
        <v>60</v>
      </c>
      <c r="H8" s="11">
        <v>30</v>
      </c>
      <c r="I8" s="11"/>
      <c r="J8" s="11"/>
      <c r="K8" s="11"/>
      <c r="L8" s="11"/>
      <c r="M8" s="11"/>
      <c r="N8" s="9">
        <f t="shared" ref="N8:N24" si="0">D8+E8-SUM(F8:M8)</f>
        <v>324</v>
      </c>
      <c r="O8" s="9">
        <f>120+54+E8+35</f>
        <v>324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'3108'!O9</f>
        <v>84</v>
      </c>
      <c r="E9" s="14">
        <f>42+75</f>
        <v>117</v>
      </c>
      <c r="F9" s="11"/>
      <c r="G9" s="11">
        <v>73</v>
      </c>
      <c r="H9" s="11">
        <v>10</v>
      </c>
      <c r="I9" s="11"/>
      <c r="J9" s="11"/>
      <c r="K9" s="11"/>
      <c r="L9" s="11"/>
      <c r="M9" s="11"/>
      <c r="N9" s="9">
        <f t="shared" si="0"/>
        <v>118</v>
      </c>
      <c r="O9" s="9">
        <v>118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'3108'!O10</f>
        <v>202</v>
      </c>
      <c r="E10" s="10">
        <v>170</v>
      </c>
      <c r="F10" s="11">
        <v>9</v>
      </c>
      <c r="G10" s="11">
        <v>73</v>
      </c>
      <c r="H10" s="11">
        <v>30</v>
      </c>
      <c r="I10" s="11"/>
      <c r="J10" s="11"/>
      <c r="K10" s="11"/>
      <c r="L10" s="11"/>
      <c r="M10" s="11"/>
      <c r="N10" s="9">
        <f t="shared" si="0"/>
        <v>260</v>
      </c>
      <c r="O10" s="9">
        <f>90+E10</f>
        <v>260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'3108'!O11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'3108'!O12</f>
        <v>277</v>
      </c>
      <c r="E12" s="14">
        <v>162</v>
      </c>
      <c r="F12" s="11">
        <v>20</v>
      </c>
      <c r="G12" s="11">
        <v>84</v>
      </c>
      <c r="H12" s="11">
        <v>30</v>
      </c>
      <c r="I12" s="11"/>
      <c r="J12" s="11"/>
      <c r="K12" s="11"/>
      <c r="L12" s="11"/>
      <c r="M12" s="11"/>
      <c r="N12" s="9">
        <f t="shared" si="0"/>
        <v>305</v>
      </c>
      <c r="O12" s="9">
        <f>143+E12</f>
        <v>305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'3108'!O13</f>
        <v>239</v>
      </c>
      <c r="E13" s="14">
        <v>157</v>
      </c>
      <c r="F13" s="11">
        <v>10</v>
      </c>
      <c r="G13" s="11">
        <v>65</v>
      </c>
      <c r="H13" s="11">
        <v>30</v>
      </c>
      <c r="I13" s="11"/>
      <c r="J13" s="11"/>
      <c r="K13" s="11"/>
      <c r="L13" s="11"/>
      <c r="M13" s="11"/>
      <c r="N13" s="9">
        <f t="shared" si="0"/>
        <v>291</v>
      </c>
      <c r="O13" s="9">
        <f>134+E13</f>
        <v>291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'3108'!O14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'3108'!O15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'3108'!O16</f>
        <v>6</v>
      </c>
      <c r="E16" s="14">
        <v>4</v>
      </c>
      <c r="F16" s="11">
        <v>1</v>
      </c>
      <c r="G16" s="11">
        <v>3</v>
      </c>
      <c r="H16" s="11">
        <v>2</v>
      </c>
      <c r="I16" s="11"/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'3108'!O17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'3108'!O18</f>
        <v>2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'3108'!O19</f>
        <v>2</v>
      </c>
      <c r="E19" s="14"/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'3108'!O20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'3108'!O21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'3108'!O22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'3108'!O23</f>
        <v>0</v>
      </c>
      <c r="E23" s="14">
        <f>45+20</f>
        <v>65</v>
      </c>
      <c r="F23" s="9">
        <v>20</v>
      </c>
      <c r="G23" s="9"/>
      <c r="H23" s="9"/>
      <c r="I23" s="9"/>
      <c r="J23" s="9"/>
      <c r="K23" s="9"/>
      <c r="L23" s="9"/>
      <c r="M23" s="9"/>
      <c r="N23" s="9">
        <f t="shared" si="0"/>
        <v>45</v>
      </c>
      <c r="O23" s="9">
        <v>45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'3108'!O24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'3108'!O26</f>
        <v>219</v>
      </c>
      <c r="E26" s="10">
        <v>147</v>
      </c>
      <c r="F26" s="9">
        <v>113</v>
      </c>
      <c r="G26" s="11"/>
      <c r="H26" s="9"/>
      <c r="I26" s="9"/>
      <c r="J26" s="9"/>
      <c r="K26" s="9"/>
      <c r="L26" s="9"/>
      <c r="M26" s="9"/>
      <c r="N26" s="9">
        <f>D26+E26-SUM(F26:M26)</f>
        <v>253</v>
      </c>
      <c r="O26" s="9">
        <v>253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'3108'!O27</f>
        <v>168</v>
      </c>
      <c r="E27" s="9">
        <v>25</v>
      </c>
      <c r="F27" s="9">
        <v>80</v>
      </c>
      <c r="G27" s="11"/>
      <c r="H27" s="9"/>
      <c r="I27" s="9"/>
      <c r="J27" s="9"/>
      <c r="K27" s="9"/>
      <c r="L27" s="9"/>
      <c r="M27" s="9"/>
      <c r="N27" s="9">
        <f>D27+E27-SUM(F27:M27)</f>
        <v>113</v>
      </c>
      <c r="O27" s="9">
        <v>113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'3108'!O28</f>
        <v>246</v>
      </c>
      <c r="E28" s="9">
        <v>210</v>
      </c>
      <c r="F28" s="9">
        <v>165</v>
      </c>
      <c r="G28" s="11"/>
      <c r="H28" s="9"/>
      <c r="I28" s="9"/>
      <c r="J28" s="9"/>
      <c r="K28" s="9"/>
      <c r="L28" s="9"/>
      <c r="M28" s="9"/>
      <c r="N28" s="9">
        <f>D28+E28-SUM(F28:M28)</f>
        <v>291</v>
      </c>
      <c r="O28" s="9">
        <v>291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'3108'!O29</f>
        <v>106</v>
      </c>
      <c r="E29" s="9">
        <v>46</v>
      </c>
      <c r="F29" s="9">
        <v>25</v>
      </c>
      <c r="G29" s="11"/>
      <c r="H29" s="9"/>
      <c r="I29" s="9"/>
      <c r="J29" s="9"/>
      <c r="K29" s="9"/>
      <c r="L29" s="9"/>
      <c r="M29" s="9"/>
      <c r="N29" s="9">
        <f>D29+E29-SUM(F29:M29)</f>
        <v>127</v>
      </c>
      <c r="O29" s="9">
        <v>127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0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DATE(2015,9,1)</f>
        <v>42248</v>
      </c>
      <c r="E5" s="293">
        <f>D5+1</f>
        <v>42249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51"/>
      <c r="M6" s="151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39</v>
      </c>
      <c r="H7" s="5" t="s">
        <v>38</v>
      </c>
      <c r="I7" s="5" t="s">
        <v>40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'0109'!O8</f>
        <v>324</v>
      </c>
      <c r="E8" s="10">
        <f>90+94+31+111</f>
        <v>326</v>
      </c>
      <c r="F8" s="11">
        <v>64</v>
      </c>
      <c r="G8" s="11">
        <v>47</v>
      </c>
      <c r="H8" s="11">
        <v>47</v>
      </c>
      <c r="I8" s="11">
        <v>20</v>
      </c>
      <c r="J8" s="11"/>
      <c r="K8" s="11"/>
      <c r="L8" s="11"/>
      <c r="M8" s="11"/>
      <c r="N8" s="9">
        <f t="shared" ref="N8:N24" si="0">D8+E8-SUM(F8:M8)</f>
        <v>472</v>
      </c>
      <c r="O8" s="9">
        <v>469</v>
      </c>
      <c r="P8" s="9">
        <f t="shared" ref="P8:P19" si="1">O8-N8</f>
        <v>-3</v>
      </c>
    </row>
    <row r="9" spans="1:16" ht="18.75">
      <c r="A9" s="6">
        <v>2</v>
      </c>
      <c r="B9" s="12" t="s">
        <v>14</v>
      </c>
      <c r="C9" s="13" t="s">
        <v>13</v>
      </c>
      <c r="D9" s="9">
        <f>'0109'!O9</f>
        <v>118</v>
      </c>
      <c r="E9" s="14">
        <f>76+53</f>
        <v>129</v>
      </c>
      <c r="F9" s="11"/>
      <c r="G9" s="11">
        <v>40</v>
      </c>
      <c r="H9" s="11">
        <v>30</v>
      </c>
      <c r="I9" s="11">
        <v>20</v>
      </c>
      <c r="J9" s="11"/>
      <c r="K9" s="11"/>
      <c r="L9" s="11"/>
      <c r="M9" s="11"/>
      <c r="N9" s="9">
        <f t="shared" si="0"/>
        <v>157</v>
      </c>
      <c r="O9" s="9">
        <v>157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'0109'!O10</f>
        <v>260</v>
      </c>
      <c r="E10" s="10"/>
      <c r="F10" s="11">
        <v>8</v>
      </c>
      <c r="G10" s="11">
        <v>50</v>
      </c>
      <c r="H10" s="11">
        <v>50</v>
      </c>
      <c r="I10" s="11">
        <v>40</v>
      </c>
      <c r="J10" s="11"/>
      <c r="K10" s="11"/>
      <c r="L10" s="11"/>
      <c r="M10" s="11"/>
      <c r="N10" s="9">
        <f t="shared" si="0"/>
        <v>112</v>
      </c>
      <c r="O10" s="9">
        <f>112+E10</f>
        <v>112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'0109'!O11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'0109'!O12</f>
        <v>305</v>
      </c>
      <c r="E12" s="14">
        <f>173+42</f>
        <v>215</v>
      </c>
      <c r="F12" s="11"/>
      <c r="G12" s="11">
        <v>30</v>
      </c>
      <c r="H12" s="11">
        <v>50</v>
      </c>
      <c r="I12" s="11">
        <v>93</v>
      </c>
      <c r="J12" s="11"/>
      <c r="K12" s="11"/>
      <c r="L12" s="11"/>
      <c r="M12" s="11"/>
      <c r="N12" s="9">
        <f t="shared" si="0"/>
        <v>347</v>
      </c>
      <c r="O12" s="9">
        <v>347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'0109'!O13</f>
        <v>291</v>
      </c>
      <c r="E13" s="14">
        <v>152</v>
      </c>
      <c r="F13" s="11"/>
      <c r="G13" s="11">
        <v>70</v>
      </c>
      <c r="H13" s="11">
        <v>50</v>
      </c>
      <c r="I13" s="11">
        <v>30</v>
      </c>
      <c r="J13" s="11"/>
      <c r="K13" s="11"/>
      <c r="L13" s="11"/>
      <c r="M13" s="11"/>
      <c r="N13" s="9">
        <f t="shared" si="0"/>
        <v>293</v>
      </c>
      <c r="O13" s="9">
        <f>141+E13</f>
        <v>293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'0109'!O14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'0109'!O15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'0109'!O16</f>
        <v>4</v>
      </c>
      <c r="E16" s="14">
        <v>4</v>
      </c>
      <c r="F16" s="11">
        <v>1</v>
      </c>
      <c r="G16" s="11">
        <v>2</v>
      </c>
      <c r="H16" s="11"/>
      <c r="I16" s="11">
        <v>1</v>
      </c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'0109'!O17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'0109'!O18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'0109'!O19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'0109'!O20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'0109'!O21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'0109'!O22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'0109'!O23</f>
        <v>45</v>
      </c>
      <c r="E23" s="14">
        <v>64</v>
      </c>
      <c r="F23" s="9"/>
      <c r="G23" s="9"/>
      <c r="H23" s="9"/>
      <c r="I23" s="9">
        <v>109</v>
      </c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'0109'!O24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'0109'!O26</f>
        <v>253</v>
      </c>
      <c r="E26" s="10">
        <v>75</v>
      </c>
      <c r="F26" s="9">
        <v>73</v>
      </c>
      <c r="G26" s="11"/>
      <c r="H26" s="9"/>
      <c r="I26" s="9"/>
      <c r="J26" s="9"/>
      <c r="K26" s="9"/>
      <c r="L26" s="9"/>
      <c r="M26" s="9"/>
      <c r="N26" s="9">
        <f>D26+E26-SUM(F26:M26)</f>
        <v>255</v>
      </c>
      <c r="O26" s="9">
        <v>255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'0109'!O27</f>
        <v>113</v>
      </c>
      <c r="E27" s="9">
        <v>30</v>
      </c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113</v>
      </c>
      <c r="O27" s="9">
        <v>113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'0109'!O28</f>
        <v>291</v>
      </c>
      <c r="E28" s="9">
        <v>140</v>
      </c>
      <c r="F28" s="9">
        <v>85</v>
      </c>
      <c r="G28" s="11"/>
      <c r="H28" s="9"/>
      <c r="I28" s="9"/>
      <c r="J28" s="9"/>
      <c r="K28" s="9"/>
      <c r="L28" s="9"/>
      <c r="M28" s="9"/>
      <c r="N28" s="9">
        <f>D28+E28-SUM(F28:M28)</f>
        <v>346</v>
      </c>
      <c r="O28" s="9">
        <v>346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'0109'!O29</f>
        <v>127</v>
      </c>
      <c r="E29" s="9">
        <v>39</v>
      </c>
      <c r="F29" s="9">
        <v>45</v>
      </c>
      <c r="G29" s="11"/>
      <c r="H29" s="9"/>
      <c r="I29" s="9"/>
      <c r="J29" s="9"/>
      <c r="K29" s="9"/>
      <c r="L29" s="9"/>
      <c r="M29" s="9"/>
      <c r="N29" s="9">
        <f>D29+E29-SUM(F29:M29)</f>
        <v>121</v>
      </c>
      <c r="O29" s="9">
        <v>121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20" workbookViewId="0">
      <pane xSplit="1" topLeftCell="C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DATE(2015,9,2)</f>
        <v>42249</v>
      </c>
      <c r="E5" s="293">
        <f>D5+1</f>
        <v>42250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52"/>
      <c r="M6" s="152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52</v>
      </c>
      <c r="H7" s="5" t="s">
        <v>51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'0209'!O8</f>
        <v>469</v>
      </c>
      <c r="E8" s="10">
        <f>75+82+56+12</f>
        <v>225</v>
      </c>
      <c r="F8" s="11">
        <v>60</v>
      </c>
      <c r="G8" s="11">
        <v>249</v>
      </c>
      <c r="H8" s="11">
        <v>150</v>
      </c>
      <c r="I8" s="11"/>
      <c r="J8" s="11"/>
      <c r="K8" s="11"/>
      <c r="L8" s="11"/>
      <c r="M8" s="11"/>
      <c r="N8" s="9">
        <f t="shared" ref="N8:N24" si="0">D8+E8-SUM(F8:M8)</f>
        <v>235</v>
      </c>
      <c r="O8" s="9">
        <f>10+E8</f>
        <v>235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'0209'!O9</f>
        <v>157</v>
      </c>
      <c r="E9" s="14">
        <v>37</v>
      </c>
      <c r="F9" s="11"/>
      <c r="G9" s="11">
        <v>78</v>
      </c>
      <c r="H9" s="11">
        <v>30</v>
      </c>
      <c r="I9" s="11"/>
      <c r="J9" s="11"/>
      <c r="K9" s="11"/>
      <c r="L9" s="11"/>
      <c r="M9" s="11"/>
      <c r="N9" s="9">
        <f t="shared" si="0"/>
        <v>86</v>
      </c>
      <c r="O9" s="9">
        <v>86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'0209'!O10</f>
        <v>112</v>
      </c>
      <c r="E10" s="10"/>
      <c r="F10" s="11">
        <v>10</v>
      </c>
      <c r="G10" s="11">
        <v>50</v>
      </c>
      <c r="H10" s="11">
        <v>30</v>
      </c>
      <c r="I10" s="11"/>
      <c r="J10" s="11"/>
      <c r="K10" s="11"/>
      <c r="L10" s="11"/>
      <c r="M10" s="11"/>
      <c r="N10" s="9">
        <f t="shared" si="0"/>
        <v>22</v>
      </c>
      <c r="O10" s="9">
        <v>22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'0209'!O11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'0209'!O12</f>
        <v>347</v>
      </c>
      <c r="E12" s="14">
        <v>164</v>
      </c>
      <c r="F12" s="11">
        <v>21</v>
      </c>
      <c r="G12" s="11">
        <v>200</v>
      </c>
      <c r="H12" s="11">
        <v>40</v>
      </c>
      <c r="I12" s="11"/>
      <c r="J12" s="11"/>
      <c r="K12" s="11"/>
      <c r="L12" s="11"/>
      <c r="M12" s="11"/>
      <c r="N12" s="9">
        <f t="shared" si="0"/>
        <v>250</v>
      </c>
      <c r="O12" s="9">
        <f>66+E12+20</f>
        <v>250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'0209'!O13</f>
        <v>293</v>
      </c>
      <c r="E13" s="14">
        <v>113</v>
      </c>
      <c r="F13" s="11">
        <v>24</v>
      </c>
      <c r="G13" s="11">
        <v>137</v>
      </c>
      <c r="H13" s="11"/>
      <c r="I13" s="11"/>
      <c r="J13" s="11"/>
      <c r="K13" s="11"/>
      <c r="L13" s="11"/>
      <c r="M13" s="11"/>
      <c r="N13" s="9">
        <f t="shared" si="0"/>
        <v>245</v>
      </c>
      <c r="O13" s="9">
        <f>132+E13</f>
        <v>245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'0209'!O14</f>
        <v>2</v>
      </c>
      <c r="E14" s="14">
        <v>1</v>
      </c>
      <c r="F14" s="11"/>
      <c r="G14" s="11"/>
      <c r="H14" s="11">
        <v>1</v>
      </c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'0209'!O15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'0209'!O16</f>
        <v>4</v>
      </c>
      <c r="E16" s="14">
        <v>4</v>
      </c>
      <c r="F16" s="11"/>
      <c r="G16" s="11">
        <v>3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'0209'!O17</f>
        <v>2</v>
      </c>
      <c r="E17" s="14">
        <v>1</v>
      </c>
      <c r="F17" s="11"/>
      <c r="G17" s="11"/>
      <c r="H17" s="11">
        <v>2</v>
      </c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'0209'!O18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'0209'!O19</f>
        <v>2</v>
      </c>
      <c r="E19" s="14">
        <v>2</v>
      </c>
      <c r="F19" s="11"/>
      <c r="G19" s="11"/>
      <c r="H19" s="11">
        <v>2</v>
      </c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'0209'!O20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'0209'!O21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'0209'!O22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'0209'!O23</f>
        <v>0</v>
      </c>
      <c r="E23" s="14">
        <v>64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'0209'!O24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'0209'!O26</f>
        <v>255</v>
      </c>
      <c r="E26" s="10">
        <v>75</v>
      </c>
      <c r="F26" s="9">
        <v>70</v>
      </c>
      <c r="G26" s="11"/>
      <c r="H26" s="9"/>
      <c r="I26" s="9"/>
      <c r="J26" s="9"/>
      <c r="K26" s="9"/>
      <c r="L26" s="9"/>
      <c r="M26" s="9"/>
      <c r="N26" s="9">
        <f>D26+E26-SUM(F26:M26)</f>
        <v>260</v>
      </c>
      <c r="O26" s="9">
        <v>260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'0209'!O27</f>
        <v>113</v>
      </c>
      <c r="E27" s="9">
        <v>30</v>
      </c>
      <c r="F27" s="9">
        <v>19</v>
      </c>
      <c r="G27" s="11"/>
      <c r="H27" s="9"/>
      <c r="I27" s="9"/>
      <c r="J27" s="9"/>
      <c r="K27" s="9"/>
      <c r="L27" s="9"/>
      <c r="M27" s="9"/>
      <c r="N27" s="9">
        <f>D27+E27-SUM(F27:M27)</f>
        <v>124</v>
      </c>
      <c r="O27" s="9">
        <v>124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'0209'!O28</f>
        <v>346</v>
      </c>
      <c r="E28" s="9">
        <v>140</v>
      </c>
      <c r="F28" s="9">
        <v>123</v>
      </c>
      <c r="G28" s="11"/>
      <c r="H28" s="9"/>
      <c r="I28" s="9"/>
      <c r="J28" s="9"/>
      <c r="K28" s="9"/>
      <c r="L28" s="9"/>
      <c r="M28" s="9"/>
      <c r="N28" s="9">
        <f>D28+E28-SUM(F28:M28)</f>
        <v>363</v>
      </c>
      <c r="O28" s="9">
        <v>363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'0209'!O29</f>
        <v>121</v>
      </c>
      <c r="E29" s="9">
        <v>75</v>
      </c>
      <c r="F29" s="9">
        <v>82</v>
      </c>
      <c r="G29" s="11"/>
      <c r="H29" s="9"/>
      <c r="I29" s="9"/>
      <c r="J29" s="9"/>
      <c r="K29" s="9"/>
      <c r="L29" s="9"/>
      <c r="M29" s="9"/>
      <c r="N29" s="9">
        <f>D29+E29-SUM(F29:M29)</f>
        <v>114</v>
      </c>
      <c r="O29" s="9">
        <v>114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DATE(2015,9,3)</f>
        <v>42250</v>
      </c>
      <c r="E5" s="293">
        <f>D5+1</f>
        <v>42251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53"/>
      <c r="M6" s="153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49</v>
      </c>
      <c r="H7" s="5" t="s">
        <v>77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'0309'!O8</f>
        <v>235</v>
      </c>
      <c r="E8" s="10">
        <f>81+101+62</f>
        <v>244</v>
      </c>
      <c r="F8" s="11">
        <v>55</v>
      </c>
      <c r="G8" s="11">
        <v>80</v>
      </c>
      <c r="H8" s="11">
        <v>100</v>
      </c>
      <c r="I8" s="11"/>
      <c r="J8" s="11"/>
      <c r="K8" s="11"/>
      <c r="L8" s="11"/>
      <c r="M8" s="11"/>
      <c r="N8" s="9">
        <f t="shared" ref="N8:N24" si="0">D8+E8-SUM(F8:M8)</f>
        <v>244</v>
      </c>
      <c r="O8" s="9">
        <f>E8</f>
        <v>244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'0309'!O9</f>
        <v>86</v>
      </c>
      <c r="E9" s="14"/>
      <c r="F9" s="11"/>
      <c r="G9" s="11">
        <v>26</v>
      </c>
      <c r="H9" s="11">
        <v>60</v>
      </c>
      <c r="I9" s="11"/>
      <c r="J9" s="11"/>
      <c r="K9" s="11"/>
      <c r="L9" s="11"/>
      <c r="M9" s="11"/>
      <c r="N9" s="9">
        <f t="shared" si="0"/>
        <v>0</v>
      </c>
      <c r="O9" s="9">
        <f>E9</f>
        <v>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'0309'!O10</f>
        <v>22</v>
      </c>
      <c r="E10" s="10">
        <v>249</v>
      </c>
      <c r="F10" s="11"/>
      <c r="G10" s="11">
        <v>122</v>
      </c>
      <c r="H10" s="11">
        <v>30</v>
      </c>
      <c r="I10" s="11"/>
      <c r="J10" s="11"/>
      <c r="K10" s="11"/>
      <c r="L10" s="11"/>
      <c r="M10" s="11"/>
      <c r="N10" s="9">
        <f t="shared" si="0"/>
        <v>119</v>
      </c>
      <c r="O10" s="9">
        <v>119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'0309'!O11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'0309'!O12</f>
        <v>250</v>
      </c>
      <c r="E12" s="14">
        <v>127</v>
      </c>
      <c r="F12" s="11">
        <v>21</v>
      </c>
      <c r="G12" s="11">
        <v>129</v>
      </c>
      <c r="H12" s="11">
        <v>100</v>
      </c>
      <c r="I12" s="11"/>
      <c r="J12" s="11"/>
      <c r="K12" s="11"/>
      <c r="L12" s="11"/>
      <c r="M12" s="11"/>
      <c r="N12" s="9">
        <f t="shared" si="0"/>
        <v>127</v>
      </c>
      <c r="O12" s="9">
        <f>E12</f>
        <v>127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'0309'!O13</f>
        <v>245</v>
      </c>
      <c r="E13" s="14">
        <v>131</v>
      </c>
      <c r="F13" s="11">
        <v>10</v>
      </c>
      <c r="G13" s="11">
        <v>93</v>
      </c>
      <c r="H13" s="11">
        <v>200</v>
      </c>
      <c r="I13" s="11"/>
      <c r="J13" s="11"/>
      <c r="K13" s="11"/>
      <c r="L13" s="11"/>
      <c r="M13" s="11"/>
      <c r="N13" s="9">
        <f t="shared" si="0"/>
        <v>73</v>
      </c>
      <c r="O13" s="9">
        <v>73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'0309'!O14</f>
        <v>2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4</v>
      </c>
      <c r="O14" s="9">
        <v>3</v>
      </c>
      <c r="P14" s="9">
        <f t="shared" si="1"/>
        <v>-1</v>
      </c>
    </row>
    <row r="15" spans="1:16" ht="18.75">
      <c r="A15" s="6">
        <v>8</v>
      </c>
      <c r="B15" s="12" t="s">
        <v>22</v>
      </c>
      <c r="C15" s="18" t="s">
        <v>21</v>
      </c>
      <c r="D15" s="9">
        <f>'0309'!O15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'0309'!O16</f>
        <v>5</v>
      </c>
      <c r="E16" s="14">
        <v>2</v>
      </c>
      <c r="F16" s="11"/>
      <c r="G16" s="11">
        <v>2</v>
      </c>
      <c r="H16" s="11">
        <v>2</v>
      </c>
      <c r="I16" s="11"/>
      <c r="J16" s="11"/>
      <c r="K16" s="11"/>
      <c r="L16" s="11"/>
      <c r="M16" s="11"/>
      <c r="N16" s="9">
        <f t="shared" si="0"/>
        <v>3</v>
      </c>
      <c r="O16" s="9">
        <v>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'0309'!O17</f>
        <v>1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3</v>
      </c>
      <c r="O17" s="9"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'0309'!O18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'0309'!O19</f>
        <v>2</v>
      </c>
      <c r="E19" s="14"/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'0309'!O20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'0309'!O21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'0309'!O22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'0309'!O23</f>
        <v>64</v>
      </c>
      <c r="E23" s="14">
        <f>48+10</f>
        <v>58</v>
      </c>
      <c r="F23" s="9">
        <v>10</v>
      </c>
      <c r="G23" s="9"/>
      <c r="H23" s="9"/>
      <c r="I23" s="9"/>
      <c r="J23" s="9"/>
      <c r="K23" s="9"/>
      <c r="L23" s="9"/>
      <c r="M23" s="9"/>
      <c r="N23" s="9">
        <f t="shared" si="0"/>
        <v>112</v>
      </c>
      <c r="O23" s="9">
        <v>112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'0309'!O24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'0309'!O26</f>
        <v>260</v>
      </c>
      <c r="E26" s="10">
        <v>139</v>
      </c>
      <c r="F26" s="9">
        <v>155</v>
      </c>
      <c r="G26" s="11"/>
      <c r="H26" s="9"/>
      <c r="I26" s="9"/>
      <c r="J26" s="9"/>
      <c r="K26" s="9"/>
      <c r="L26" s="9"/>
      <c r="M26" s="9"/>
      <c r="N26" s="9">
        <f>D26+E26-SUM(F26:M26)</f>
        <v>244</v>
      </c>
      <c r="O26" s="9">
        <v>244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'0309'!O27</f>
        <v>124</v>
      </c>
      <c r="E27" s="9">
        <v>30</v>
      </c>
      <c r="F27" s="9">
        <v>59</v>
      </c>
      <c r="G27" s="11"/>
      <c r="H27" s="9"/>
      <c r="I27" s="9"/>
      <c r="J27" s="9"/>
      <c r="K27" s="9"/>
      <c r="L27" s="9"/>
      <c r="M27" s="9"/>
      <c r="N27" s="9">
        <f>D27+E27-SUM(F27:M27)</f>
        <v>95</v>
      </c>
      <c r="O27" s="9">
        <v>95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'0309'!O28</f>
        <v>363</v>
      </c>
      <c r="E28" s="9">
        <v>140</v>
      </c>
      <c r="F28" s="9">
        <v>165</v>
      </c>
      <c r="G28" s="11"/>
      <c r="H28" s="9"/>
      <c r="I28" s="9"/>
      <c r="J28" s="9"/>
      <c r="K28" s="9"/>
      <c r="L28" s="9"/>
      <c r="M28" s="9"/>
      <c r="N28" s="9">
        <f>D28+E28-SUM(F28:M28)</f>
        <v>338</v>
      </c>
      <c r="O28" s="9">
        <v>338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'0309'!O29</f>
        <v>114</v>
      </c>
      <c r="E29" s="9">
        <v>39</v>
      </c>
      <c r="F29" s="9">
        <v>34</v>
      </c>
      <c r="G29" s="11"/>
      <c r="H29" s="9"/>
      <c r="I29" s="9"/>
      <c r="J29" s="9"/>
      <c r="K29" s="9"/>
      <c r="L29" s="9"/>
      <c r="M29" s="9"/>
      <c r="N29" s="9">
        <f>D29+E29-SUM(F29:M29)</f>
        <v>119</v>
      </c>
      <c r="O29" s="9">
        <v>119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E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DATE(2015,9,4)</f>
        <v>42251</v>
      </c>
      <c r="E5" s="293">
        <f>D5+1</f>
        <v>42252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54"/>
      <c r="M6" s="154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43</v>
      </c>
      <c r="H7" s="5" t="s">
        <v>71</v>
      </c>
      <c r="I7" s="5" t="s">
        <v>52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'0409'!O8</f>
        <v>244</v>
      </c>
      <c r="E8" s="10">
        <f>97+93+105</f>
        <v>295</v>
      </c>
      <c r="F8" s="11">
        <v>67</v>
      </c>
      <c r="G8" s="11">
        <v>150</v>
      </c>
      <c r="H8" s="11"/>
      <c r="I8" s="11"/>
      <c r="J8" s="11"/>
      <c r="K8" s="11"/>
      <c r="L8" s="11"/>
      <c r="M8" s="11"/>
      <c r="N8" s="9">
        <f t="shared" ref="N8:N24" si="0">D8+E8-SUM(F8:M8)</f>
        <v>322</v>
      </c>
      <c r="O8" s="9">
        <f>27+E8</f>
        <v>322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'0409'!O9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'0409'!O10</f>
        <v>119</v>
      </c>
      <c r="E10" s="10">
        <v>173</v>
      </c>
      <c r="F10" s="11">
        <v>10</v>
      </c>
      <c r="G10" s="11">
        <v>69</v>
      </c>
      <c r="H10" s="11"/>
      <c r="I10" s="11"/>
      <c r="J10" s="11"/>
      <c r="K10" s="11"/>
      <c r="L10" s="11"/>
      <c r="M10" s="11"/>
      <c r="N10" s="9">
        <f t="shared" si="0"/>
        <v>213</v>
      </c>
      <c r="O10" s="9">
        <f>40+E10</f>
        <v>213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'0409'!O11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'0409'!O12</f>
        <v>127</v>
      </c>
      <c r="E12" s="14">
        <f>120+128</f>
        <v>248</v>
      </c>
      <c r="F12" s="11">
        <v>23</v>
      </c>
      <c r="G12" s="11">
        <v>54</v>
      </c>
      <c r="H12" s="11"/>
      <c r="I12" s="11"/>
      <c r="J12" s="11"/>
      <c r="K12" s="11"/>
      <c r="L12" s="11"/>
      <c r="M12" s="11"/>
      <c r="N12" s="9">
        <f t="shared" si="0"/>
        <v>298</v>
      </c>
      <c r="O12" s="9">
        <f>50+E12</f>
        <v>298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'0409'!O13</f>
        <v>73</v>
      </c>
      <c r="E13" s="14">
        <v>147</v>
      </c>
      <c r="F13" s="11">
        <v>12</v>
      </c>
      <c r="G13" s="11"/>
      <c r="H13" s="11"/>
      <c r="I13" s="11"/>
      <c r="J13" s="11"/>
      <c r="K13" s="11"/>
      <c r="L13" s="11"/>
      <c r="M13" s="11"/>
      <c r="N13" s="9">
        <f t="shared" si="0"/>
        <v>208</v>
      </c>
      <c r="O13" s="9">
        <f>61+E13</f>
        <v>208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'0409'!O14</f>
        <v>3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'0409'!O15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'0409'!O16</f>
        <v>3</v>
      </c>
      <c r="E16" s="14">
        <v>4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'0409'!O17</f>
        <v>3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'0409'!O18</f>
        <v>0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'0409'!O19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'0409'!O20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'0409'!O21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'0409'!O22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'0409'!O23</f>
        <v>112</v>
      </c>
      <c r="E23" s="14">
        <v>32</v>
      </c>
      <c r="F23" s="9">
        <v>10</v>
      </c>
      <c r="G23" s="9">
        <v>16</v>
      </c>
      <c r="H23" s="9">
        <v>32</v>
      </c>
      <c r="I23" s="9">
        <v>16</v>
      </c>
      <c r="J23" s="9"/>
      <c r="K23" s="9"/>
      <c r="L23" s="9"/>
      <c r="M23" s="9"/>
      <c r="N23" s="9">
        <f t="shared" si="0"/>
        <v>70</v>
      </c>
      <c r="O23" s="9">
        <v>70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'0409'!O24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'0409'!O26</f>
        <v>244</v>
      </c>
      <c r="E26" s="10">
        <v>69</v>
      </c>
      <c r="F26" s="9">
        <v>95</v>
      </c>
      <c r="G26" s="11"/>
      <c r="H26" s="9"/>
      <c r="I26" s="9"/>
      <c r="J26" s="9"/>
      <c r="K26" s="9"/>
      <c r="L26" s="9"/>
      <c r="M26" s="9"/>
      <c r="N26" s="9">
        <f>D26+E26-SUM(F26:M26)</f>
        <v>218</v>
      </c>
      <c r="O26" s="9">
        <v>218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'0409'!O27</f>
        <v>95</v>
      </c>
      <c r="E27" s="9">
        <v>30</v>
      </c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115</v>
      </c>
      <c r="O27" s="9">
        <v>115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'0409'!O28</f>
        <v>338</v>
      </c>
      <c r="E28" s="9">
        <v>74</v>
      </c>
      <c r="F28" s="9">
        <v>87</v>
      </c>
      <c r="G28" s="11"/>
      <c r="H28" s="9"/>
      <c r="I28" s="9"/>
      <c r="J28" s="9"/>
      <c r="K28" s="9"/>
      <c r="L28" s="9"/>
      <c r="M28" s="9"/>
      <c r="N28" s="9">
        <f>D28+E28-SUM(F28:M28)</f>
        <v>325</v>
      </c>
      <c r="O28" s="9">
        <v>325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'0409'!O29</f>
        <v>119</v>
      </c>
      <c r="E29" s="9">
        <v>39</v>
      </c>
      <c r="F29" s="9">
        <v>50</v>
      </c>
      <c r="G29" s="11"/>
      <c r="H29" s="9"/>
      <c r="I29" s="9"/>
      <c r="J29" s="9"/>
      <c r="K29" s="9"/>
      <c r="L29" s="9"/>
      <c r="M29" s="9"/>
      <c r="N29" s="9">
        <f>D29+E29-SUM(F29:M29)</f>
        <v>108</v>
      </c>
      <c r="O29" s="9">
        <v>108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DATE(2015,9,5)</f>
        <v>42252</v>
      </c>
      <c r="E5" s="293">
        <f>D5+1</f>
        <v>42253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55"/>
      <c r="M6" s="155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/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'0509'!O8</f>
        <v>322</v>
      </c>
      <c r="E8" s="10"/>
      <c r="F8" s="11">
        <v>50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272</v>
      </c>
      <c r="O8" s="9">
        <f>57+130+E8+85</f>
        <v>272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'0509'!O9</f>
        <v>0</v>
      </c>
      <c r="E9" s="14">
        <f>88+77+84</f>
        <v>249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249</v>
      </c>
      <c r="O9" s="9">
        <f>E9</f>
        <v>249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'0509'!O10</f>
        <v>213</v>
      </c>
      <c r="E10" s="10">
        <v>134</v>
      </c>
      <c r="F10" s="11">
        <v>12</v>
      </c>
      <c r="G10" s="11"/>
      <c r="H10" s="11"/>
      <c r="I10" s="11"/>
      <c r="J10" s="11"/>
      <c r="K10" s="11"/>
      <c r="L10" s="11"/>
      <c r="M10" s="11"/>
      <c r="N10" s="9">
        <f t="shared" si="0"/>
        <v>335</v>
      </c>
      <c r="O10" s="9">
        <f>161+40+E10</f>
        <v>335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'0509'!O11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'0509'!O12</f>
        <v>298</v>
      </c>
      <c r="E12" s="14">
        <v>120</v>
      </c>
      <c r="F12" s="11">
        <v>20</v>
      </c>
      <c r="G12" s="11"/>
      <c r="H12" s="11"/>
      <c r="I12" s="11"/>
      <c r="J12" s="11"/>
      <c r="K12" s="11"/>
      <c r="L12" s="11"/>
      <c r="M12" s="11"/>
      <c r="N12" s="9">
        <f t="shared" si="0"/>
        <v>398</v>
      </c>
      <c r="O12" s="9">
        <f>148+99+E12+31</f>
        <v>398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'0509'!O13</f>
        <v>208</v>
      </c>
      <c r="E13" s="14">
        <v>117</v>
      </c>
      <c r="F13" s="11">
        <v>22</v>
      </c>
      <c r="G13" s="11"/>
      <c r="H13" s="11"/>
      <c r="I13" s="11"/>
      <c r="J13" s="11"/>
      <c r="K13" s="11"/>
      <c r="L13" s="11"/>
      <c r="M13" s="11"/>
      <c r="N13" s="9">
        <f t="shared" si="0"/>
        <v>303</v>
      </c>
      <c r="O13" s="9">
        <f>51+135+E13</f>
        <v>303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'0509'!O14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'0509'!O15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'0509'!O16</f>
        <v>6</v>
      </c>
      <c r="E16" s="14">
        <v>2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'0509'!O17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'0509'!O18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'0509'!O19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'0509'!O20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'0509'!O21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'0509'!O22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'0509'!O23</f>
        <v>70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70</v>
      </c>
      <c r="O23" s="9">
        <v>70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'0509'!O24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'0509'!O26</f>
        <v>218</v>
      </c>
      <c r="E26" s="10">
        <v>62</v>
      </c>
      <c r="F26" s="9">
        <v>96</v>
      </c>
      <c r="G26" s="11"/>
      <c r="H26" s="9"/>
      <c r="I26" s="9"/>
      <c r="J26" s="9"/>
      <c r="K26" s="9"/>
      <c r="L26" s="9"/>
      <c r="M26" s="9"/>
      <c r="N26" s="9">
        <f>D26+E26-SUM(F26:M26)</f>
        <v>184</v>
      </c>
      <c r="O26" s="9">
        <v>184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'0509'!O27</f>
        <v>115</v>
      </c>
      <c r="E27" s="9"/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100</v>
      </c>
      <c r="O27" s="9">
        <v>100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'0509'!O28</f>
        <v>325</v>
      </c>
      <c r="E28" s="9">
        <v>79</v>
      </c>
      <c r="F28" s="9">
        <v>93</v>
      </c>
      <c r="G28" s="11"/>
      <c r="H28" s="9"/>
      <c r="I28" s="9"/>
      <c r="J28" s="9"/>
      <c r="K28" s="9"/>
      <c r="L28" s="9"/>
      <c r="M28" s="9"/>
      <c r="N28" s="9">
        <f>D28+E28-SUM(F28:M28)</f>
        <v>311</v>
      </c>
      <c r="O28" s="9">
        <v>311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'0509'!O29</f>
        <v>108</v>
      </c>
      <c r="E29" s="9">
        <v>80</v>
      </c>
      <c r="F29" s="9">
        <v>37</v>
      </c>
      <c r="G29" s="11"/>
      <c r="H29" s="9"/>
      <c r="I29" s="9"/>
      <c r="J29" s="9"/>
      <c r="K29" s="9"/>
      <c r="L29" s="9"/>
      <c r="M29" s="9"/>
      <c r="N29" s="9">
        <f>D29+E29-SUM(F29:M29)</f>
        <v>151</v>
      </c>
      <c r="O29" s="9">
        <v>151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xSplit="3" ySplit="7" topLeftCell="D20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DATE(2015,4,15)</f>
        <v>42109</v>
      </c>
      <c r="E5" s="293">
        <f>D5+1</f>
        <v>42110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39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51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VLOOKUP($B8,'1504'!$B8:$M22,11,0)</f>
        <v>229</v>
      </c>
      <c r="E8" s="10">
        <v>205</v>
      </c>
      <c r="F8" s="11">
        <v>6</v>
      </c>
      <c r="G8" s="11">
        <v>145</v>
      </c>
      <c r="H8" s="11"/>
      <c r="I8" s="11"/>
      <c r="J8" s="11"/>
      <c r="K8" s="9">
        <f>D8+E8-SUM(F8:J8)</f>
        <v>283</v>
      </c>
      <c r="L8" s="9">
        <v>283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VLOOKUP($B9,'1504'!$B9:$M23,11,0)</f>
        <v>6</v>
      </c>
      <c r="E9" s="14"/>
      <c r="F9" s="11"/>
      <c r="G9" s="11">
        <v>6</v>
      </c>
      <c r="H9" s="11"/>
      <c r="I9" s="11"/>
      <c r="J9" s="11"/>
      <c r="K9" s="9">
        <f t="shared" ref="K9:K19" si="1">D9+E9-SUM(F9:J9)</f>
        <v>0</v>
      </c>
      <c r="L9" s="9">
        <v>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VLOOKUP($B10,'1504'!$B10:$M24,11,0)</f>
        <v>0</v>
      </c>
      <c r="E10" s="10">
        <v>117</v>
      </c>
      <c r="F10" s="11"/>
      <c r="G10" s="11"/>
      <c r="H10" s="11"/>
      <c r="I10" s="11"/>
      <c r="J10" s="11"/>
      <c r="K10" s="9">
        <f t="shared" si="1"/>
        <v>117</v>
      </c>
      <c r="L10" s="9">
        <v>117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VLOOKUP($B11,'1504'!$B11:$M25,11,0)</f>
        <v>333</v>
      </c>
      <c r="E11" s="10">
        <v>280</v>
      </c>
      <c r="F11" s="11"/>
      <c r="G11" s="11">
        <v>288</v>
      </c>
      <c r="H11" s="11"/>
      <c r="I11" s="11"/>
      <c r="J11" s="11"/>
      <c r="K11" s="9">
        <f t="shared" si="1"/>
        <v>325</v>
      </c>
      <c r="L11" s="9">
        <v>320</v>
      </c>
      <c r="M11" s="9">
        <f t="shared" si="0"/>
        <v>-5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VLOOKUP($B12,'1504'!$B12:$M26,11,0)</f>
        <v>206</v>
      </c>
      <c r="E12" s="14">
        <v>168</v>
      </c>
      <c r="F12" s="11"/>
      <c r="G12" s="11">
        <v>147</v>
      </c>
      <c r="H12" s="11"/>
      <c r="I12" s="11"/>
      <c r="J12" s="11"/>
      <c r="K12" s="9">
        <f t="shared" si="1"/>
        <v>227</v>
      </c>
      <c r="L12" s="9">
        <f>60+168</f>
        <v>228</v>
      </c>
      <c r="M12" s="9">
        <f t="shared" si="0"/>
        <v>1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VLOOKUP($B13,'1504'!$B13:$M27,11,0)</f>
        <v>114</v>
      </c>
      <c r="E13" s="14">
        <v>72</v>
      </c>
      <c r="F13" s="11"/>
      <c r="G13" s="11">
        <v>114</v>
      </c>
      <c r="H13" s="11"/>
      <c r="I13" s="11"/>
      <c r="J13" s="11"/>
      <c r="K13" s="9">
        <f t="shared" si="1"/>
        <v>72</v>
      </c>
      <c r="L13" s="9">
        <v>72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VLOOKUP($B14,'1504'!$B14:$M28,11,0)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>
        <v>0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VLOOKUP($B15,'1504'!$B15:$M29,11,0)</f>
        <v>0</v>
      </c>
      <c r="E15" s="14">
        <v>2</v>
      </c>
      <c r="F15" s="11"/>
      <c r="G15" s="11"/>
      <c r="H15" s="11"/>
      <c r="I15" s="11"/>
      <c r="J15" s="11"/>
      <c r="K15" s="9">
        <f t="shared" si="1"/>
        <v>2</v>
      </c>
      <c r="L15" s="9">
        <v>2</v>
      </c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VLOOKUP($B16,'1504'!$B16:$M30,11,0)</f>
        <v>3</v>
      </c>
      <c r="E16" s="14">
        <v>4</v>
      </c>
      <c r="F16" s="11">
        <v>1</v>
      </c>
      <c r="G16" s="11">
        <v>2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VLOOKUP($B17,'1504'!$B17:$M31,11,0)</f>
        <v>2</v>
      </c>
      <c r="E17" s="14"/>
      <c r="F17" s="11"/>
      <c r="G17" s="11">
        <v>2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VLOOKUP($B18,'1504'!$B18:$M32,11,0)</f>
        <v>2</v>
      </c>
      <c r="E18" s="14">
        <v>2</v>
      </c>
      <c r="F18" s="11"/>
      <c r="G18" s="11">
        <v>1</v>
      </c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VLOOKUP($B19,'1504'!$B19:$M33,11,0)</f>
        <v>1</v>
      </c>
      <c r="E19" s="14">
        <v>2</v>
      </c>
      <c r="F19" s="11"/>
      <c r="G19" s="11">
        <v>1</v>
      </c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VLOOKUP($B20,'1504'!$B20:$M34,11,0)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VLOOKUP($B21,'1504'!$B21:$M35,11,0)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VLOOKUP($B22,'1504'!$B22:$M36,11,0)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852</v>
      </c>
      <c r="F24" s="9"/>
      <c r="G24" s="9"/>
      <c r="H24" s="9"/>
      <c r="I24" s="9">
        <f t="shared" si="3"/>
        <v>0</v>
      </c>
      <c r="J24" s="9"/>
      <c r="K24" s="9">
        <f t="shared" si="3"/>
        <v>1035</v>
      </c>
      <c r="L24" s="9">
        <f t="shared" si="3"/>
        <v>1031</v>
      </c>
      <c r="M24" s="9">
        <f>L24-K24</f>
        <v>-4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VLOOKUP($B26,'1504'!$B26:$M29,11,0)</f>
        <v>242</v>
      </c>
      <c r="E26" s="10">
        <v>150</v>
      </c>
      <c r="F26" s="9">
        <v>165</v>
      </c>
      <c r="G26" s="11"/>
      <c r="H26" s="9"/>
      <c r="I26" s="9"/>
      <c r="J26" s="9"/>
      <c r="K26" s="9">
        <f t="shared" ref="K26" si="4">D26+E26-F26</f>
        <v>227</v>
      </c>
      <c r="L26" s="9">
        <v>227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VLOOKUP($B27,'1504'!$B27:$M30,11,0)</f>
        <v>59</v>
      </c>
      <c r="E27" s="9">
        <v>65</v>
      </c>
      <c r="F27" s="9">
        <v>59</v>
      </c>
      <c r="G27" s="11"/>
      <c r="H27" s="9"/>
      <c r="I27" s="9"/>
      <c r="J27" s="9"/>
      <c r="K27" s="9">
        <f>D27+E27-F27</f>
        <v>65</v>
      </c>
      <c r="L27" s="9">
        <v>65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VLOOKUP($B28,'1504'!$B28:$M31,11,0)</f>
        <v>316</v>
      </c>
      <c r="E28" s="9">
        <v>285</v>
      </c>
      <c r="F28" s="9">
        <v>261</v>
      </c>
      <c r="G28" s="11"/>
      <c r="H28" s="9"/>
      <c r="I28" s="9"/>
      <c r="J28" s="9"/>
      <c r="K28" s="9">
        <f>D28+E28-F28</f>
        <v>340</v>
      </c>
      <c r="L28" s="9">
        <v>340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VLOOKUP($B29,'1504'!$B29:$M32,11,0)</f>
        <v>91</v>
      </c>
      <c r="E29" s="9">
        <v>89</v>
      </c>
      <c r="F29" s="9">
        <v>91</v>
      </c>
      <c r="G29" s="11"/>
      <c r="H29" s="9"/>
      <c r="I29" s="9"/>
      <c r="J29" s="9"/>
      <c r="K29" s="9">
        <f>D29+E29-F29</f>
        <v>89</v>
      </c>
      <c r="L29" s="9">
        <v>89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4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DATE(2015,9,6)</f>
        <v>42253</v>
      </c>
      <c r="E5" s="293">
        <f>D5+1</f>
        <v>42254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56"/>
      <c r="M6" s="156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5" t="s">
        <v>54</v>
      </c>
      <c r="H7" s="5" t="s">
        <v>74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'0609'!O8</f>
        <v>272</v>
      </c>
      <c r="E8" s="10">
        <f>60+94+93</f>
        <v>247</v>
      </c>
      <c r="F8" s="11">
        <v>25</v>
      </c>
      <c r="G8" s="11">
        <v>37</v>
      </c>
      <c r="H8" s="11"/>
      <c r="I8" s="11"/>
      <c r="J8" s="11"/>
      <c r="K8" s="11"/>
      <c r="L8" s="11"/>
      <c r="M8" s="11"/>
      <c r="N8" s="9">
        <f t="shared" ref="N8:N24" si="0">D8+E8-SUM(F8:M8)</f>
        <v>457</v>
      </c>
      <c r="O8" s="9">
        <f>120+30+E8+60</f>
        <v>457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'0609'!O9</f>
        <v>249</v>
      </c>
      <c r="E9" s="14"/>
      <c r="F9" s="11"/>
      <c r="G9" s="11">
        <v>50</v>
      </c>
      <c r="H9" s="11"/>
      <c r="I9" s="11"/>
      <c r="J9" s="11"/>
      <c r="K9" s="11"/>
      <c r="L9" s="11"/>
      <c r="M9" s="11"/>
      <c r="N9" s="9">
        <f t="shared" si="0"/>
        <v>199</v>
      </c>
      <c r="O9" s="9">
        <f>70+130</f>
        <v>200</v>
      </c>
      <c r="P9" s="9">
        <f t="shared" si="1"/>
        <v>1</v>
      </c>
    </row>
    <row r="10" spans="1:16" ht="18.75">
      <c r="A10" s="6">
        <v>3</v>
      </c>
      <c r="B10" s="12" t="s">
        <v>15</v>
      </c>
      <c r="C10" s="8" t="s">
        <v>13</v>
      </c>
      <c r="D10" s="9">
        <f>'0609'!O10</f>
        <v>335</v>
      </c>
      <c r="E10" s="10">
        <v>80</v>
      </c>
      <c r="F10" s="11">
        <v>10</v>
      </c>
      <c r="G10" s="11">
        <v>30</v>
      </c>
      <c r="H10" s="11"/>
      <c r="I10" s="11"/>
      <c r="J10" s="11"/>
      <c r="K10" s="11"/>
      <c r="L10" s="11"/>
      <c r="M10" s="11"/>
      <c r="N10" s="9">
        <f t="shared" si="0"/>
        <v>375</v>
      </c>
      <c r="O10" s="9">
        <f>134+161+E10</f>
        <v>375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'0609'!O11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'0609'!O12</f>
        <v>398</v>
      </c>
      <c r="E12" s="14">
        <v>165</v>
      </c>
      <c r="F12" s="11">
        <v>20</v>
      </c>
      <c r="G12" s="11">
        <v>40</v>
      </c>
      <c r="H12" s="11"/>
      <c r="I12" s="11"/>
      <c r="J12" s="11"/>
      <c r="K12" s="11"/>
      <c r="L12" s="11"/>
      <c r="M12" s="11"/>
      <c r="N12" s="9">
        <f t="shared" si="0"/>
        <v>503</v>
      </c>
      <c r="O12" s="9">
        <f>128+69+120+E12+21</f>
        <v>503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'0609'!O13</f>
        <v>303</v>
      </c>
      <c r="E13" s="14">
        <v>115</v>
      </c>
      <c r="F13" s="11">
        <v>11</v>
      </c>
      <c r="G13" s="11">
        <v>21</v>
      </c>
      <c r="H13" s="11"/>
      <c r="I13" s="11"/>
      <c r="J13" s="11"/>
      <c r="K13" s="11"/>
      <c r="L13" s="11"/>
      <c r="M13" s="11"/>
      <c r="N13" s="9">
        <f t="shared" si="0"/>
        <v>386</v>
      </c>
      <c r="O13" s="9">
        <f>146+125+E13</f>
        <v>386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'0609'!O14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'0609'!O15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'0609'!O16</f>
        <v>7</v>
      </c>
      <c r="E16" s="14">
        <v>2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'0609'!O17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'0609'!O18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'0609'!O19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'0609'!O20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'0609'!O21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'0609'!O22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'0609'!O23</f>
        <v>70</v>
      </c>
      <c r="E23" s="14">
        <f>32+20</f>
        <v>52</v>
      </c>
      <c r="F23" s="9">
        <v>20</v>
      </c>
      <c r="G23" s="9"/>
      <c r="H23" s="9">
        <v>38</v>
      </c>
      <c r="I23" s="9"/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'0609'!O24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'0609'!O26</f>
        <v>184</v>
      </c>
      <c r="E26" s="10">
        <v>146</v>
      </c>
      <c r="F26" s="9">
        <v>105</v>
      </c>
      <c r="G26" s="11"/>
      <c r="H26" s="9"/>
      <c r="I26" s="9"/>
      <c r="J26" s="9"/>
      <c r="K26" s="9"/>
      <c r="L26" s="9"/>
      <c r="M26" s="9"/>
      <c r="N26" s="9">
        <f>D26+E26-SUM(F26:M26)</f>
        <v>225</v>
      </c>
      <c r="O26" s="9">
        <v>225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'0609'!O27</f>
        <v>100</v>
      </c>
      <c r="E27" s="9"/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70</v>
      </c>
      <c r="O27" s="9">
        <v>70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'0609'!O28</f>
        <v>311</v>
      </c>
      <c r="E28" s="9">
        <v>147</v>
      </c>
      <c r="F28" s="9">
        <v>133</v>
      </c>
      <c r="G28" s="11"/>
      <c r="H28" s="9"/>
      <c r="I28" s="9"/>
      <c r="J28" s="9"/>
      <c r="K28" s="9"/>
      <c r="L28" s="9"/>
      <c r="M28" s="9"/>
      <c r="N28" s="9">
        <f>D28+E28-SUM(F28:M28)</f>
        <v>325</v>
      </c>
      <c r="O28" s="9">
        <v>325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'0609'!O29</f>
        <v>151</v>
      </c>
      <c r="E29" s="9">
        <v>80</v>
      </c>
      <c r="F29" s="9">
        <v>60</v>
      </c>
      <c r="G29" s="11"/>
      <c r="H29" s="9"/>
      <c r="I29" s="9"/>
      <c r="J29" s="9"/>
      <c r="K29" s="9"/>
      <c r="L29" s="9"/>
      <c r="M29" s="9"/>
      <c r="N29" s="9">
        <f>D29+E29-SUM(F29:M29)</f>
        <v>171</v>
      </c>
      <c r="O29" s="9">
        <v>171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DATE(2015,9,7)</f>
        <v>42254</v>
      </c>
      <c r="E5" s="293">
        <f>D5+1</f>
        <v>42255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56"/>
      <c r="M6" s="156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62</v>
      </c>
      <c r="H7" s="5" t="s">
        <v>78</v>
      </c>
      <c r="I7" s="5" t="s">
        <v>71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'0709'!O8</f>
        <v>457</v>
      </c>
      <c r="E8" s="10"/>
      <c r="F8" s="11">
        <v>18</v>
      </c>
      <c r="G8" s="11">
        <v>40</v>
      </c>
      <c r="H8" s="11">
        <v>70</v>
      </c>
      <c r="I8" s="11"/>
      <c r="J8" s="11"/>
      <c r="K8" s="11"/>
      <c r="L8" s="11"/>
      <c r="M8" s="11"/>
      <c r="N8" s="9">
        <f t="shared" ref="N8:N24" si="0">D8+E8-SUM(F8:M8)</f>
        <v>329</v>
      </c>
      <c r="O8" s="9">
        <f>57+40+67+108+57</f>
        <v>329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'0709'!O9</f>
        <v>200</v>
      </c>
      <c r="E9" s="14">
        <f>52+84+73+37</f>
        <v>246</v>
      </c>
      <c r="F9" s="11"/>
      <c r="G9" s="11"/>
      <c r="H9" s="11">
        <v>69</v>
      </c>
      <c r="I9" s="11"/>
      <c r="J9" s="11"/>
      <c r="K9" s="11"/>
      <c r="L9" s="11"/>
      <c r="M9" s="11"/>
      <c r="N9" s="9">
        <f t="shared" si="0"/>
        <v>377</v>
      </c>
      <c r="O9" s="9">
        <f>131+E9</f>
        <v>377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'0709'!O10</f>
        <v>375</v>
      </c>
      <c r="E10" s="10">
        <v>41</v>
      </c>
      <c r="F10" s="11">
        <v>11</v>
      </c>
      <c r="G10" s="11"/>
      <c r="H10" s="11">
        <v>130</v>
      </c>
      <c r="I10" s="11"/>
      <c r="J10" s="11"/>
      <c r="K10" s="11"/>
      <c r="L10" s="11"/>
      <c r="M10" s="11"/>
      <c r="N10" s="9">
        <f t="shared" si="0"/>
        <v>275</v>
      </c>
      <c r="O10" s="9">
        <f>154+80+E10</f>
        <v>275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'0709'!O11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'0709'!O12</f>
        <v>503</v>
      </c>
      <c r="E12" s="14">
        <v>170</v>
      </c>
      <c r="F12" s="11">
        <v>20</v>
      </c>
      <c r="G12" s="11">
        <v>40</v>
      </c>
      <c r="H12" s="11">
        <v>50</v>
      </c>
      <c r="I12" s="11"/>
      <c r="J12" s="11"/>
      <c r="K12" s="11"/>
      <c r="L12" s="11"/>
      <c r="M12" s="11"/>
      <c r="N12" s="9">
        <f t="shared" si="0"/>
        <v>563</v>
      </c>
      <c r="O12" s="9">
        <f>170+127+75+E12+21</f>
        <v>563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'0709'!O13</f>
        <v>386</v>
      </c>
      <c r="E13" s="14">
        <v>154</v>
      </c>
      <c r="F13" s="11"/>
      <c r="G13" s="11">
        <v>40</v>
      </c>
      <c r="H13" s="11"/>
      <c r="I13" s="11"/>
      <c r="J13" s="11"/>
      <c r="K13" s="11"/>
      <c r="L13" s="11"/>
      <c r="M13" s="11"/>
      <c r="N13" s="9">
        <f t="shared" si="0"/>
        <v>500</v>
      </c>
      <c r="O13" s="9">
        <f>115+75+156+E13</f>
        <v>500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'0709'!O14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'0709'!O15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'0709'!O16</f>
        <v>8</v>
      </c>
      <c r="E16" s="14">
        <v>4</v>
      </c>
      <c r="F16" s="11">
        <v>1</v>
      </c>
      <c r="G16" s="11">
        <v>2</v>
      </c>
      <c r="H16" s="11">
        <v>2</v>
      </c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'0709'!O17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'0709'!O18</f>
        <v>2</v>
      </c>
      <c r="E18" s="14">
        <v>2</v>
      </c>
      <c r="F18" s="11"/>
      <c r="G18" s="11">
        <v>1</v>
      </c>
      <c r="H18" s="11">
        <v>1</v>
      </c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'0709'!O19</f>
        <v>2</v>
      </c>
      <c r="E19" s="14">
        <v>2</v>
      </c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'0709'!O20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'0709'!O21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'0709'!O22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'0709'!O23</f>
        <v>64</v>
      </c>
      <c r="E23" s="14">
        <v>64</v>
      </c>
      <c r="F23" s="9">
        <v>4</v>
      </c>
      <c r="G23" s="9">
        <v>16</v>
      </c>
      <c r="H23" s="9"/>
      <c r="I23" s="9">
        <v>44</v>
      </c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'0709'!O24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'0709'!O26</f>
        <v>225</v>
      </c>
      <c r="E26" s="10">
        <v>66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201</v>
      </c>
      <c r="O26" s="9">
        <v>201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'0709'!O27</f>
        <v>70</v>
      </c>
      <c r="E27" s="9">
        <v>65</v>
      </c>
      <c r="F27" s="9">
        <v>31</v>
      </c>
      <c r="G27" s="11"/>
      <c r="H27" s="9"/>
      <c r="I27" s="9"/>
      <c r="J27" s="9"/>
      <c r="K27" s="9"/>
      <c r="L27" s="9"/>
      <c r="M27" s="9"/>
      <c r="N27" s="9">
        <f>D27+E27-SUM(F27:M27)</f>
        <v>104</v>
      </c>
      <c r="O27" s="9">
        <v>104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'0709'!O28</f>
        <v>325</v>
      </c>
      <c r="E28" s="9">
        <v>85</v>
      </c>
      <c r="F28" s="9">
        <v>63</v>
      </c>
      <c r="G28" s="11"/>
      <c r="H28" s="9"/>
      <c r="I28" s="9"/>
      <c r="J28" s="9"/>
      <c r="K28" s="9"/>
      <c r="L28" s="9"/>
      <c r="M28" s="9"/>
      <c r="N28" s="9">
        <f>D28+E28-SUM(F28:M28)</f>
        <v>347</v>
      </c>
      <c r="O28" s="9">
        <v>347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'0709'!O29</f>
        <v>171</v>
      </c>
      <c r="E29" s="9"/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116</v>
      </c>
      <c r="O29" s="9">
        <v>116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H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DATE(2015,9,8)</f>
        <v>42255</v>
      </c>
      <c r="E5" s="293">
        <f>D5+1</f>
        <v>42256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58"/>
      <c r="M6" s="158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39</v>
      </c>
      <c r="H7" s="5" t="s">
        <v>40</v>
      </c>
      <c r="I7" s="5" t="s">
        <v>38</v>
      </c>
      <c r="J7" s="5" t="s">
        <v>71</v>
      </c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'0809'!O8</f>
        <v>329</v>
      </c>
      <c r="E8" s="10">
        <f>84+84+89</f>
        <v>257</v>
      </c>
      <c r="F8" s="11"/>
      <c r="G8" s="11">
        <v>80</v>
      </c>
      <c r="H8" s="11">
        <v>32</v>
      </c>
      <c r="I8" s="11">
        <v>20</v>
      </c>
      <c r="J8" s="11"/>
      <c r="K8" s="11"/>
      <c r="L8" s="11"/>
      <c r="M8" s="11"/>
      <c r="N8" s="9">
        <f t="shared" ref="N8:N24" si="0">D8+E8-SUM(F8:M8)</f>
        <v>454</v>
      </c>
      <c r="O8" s="9">
        <f>197+E8</f>
        <v>454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'0809'!O9</f>
        <v>377</v>
      </c>
      <c r="E9" s="14"/>
      <c r="F9" s="11"/>
      <c r="G9" s="11">
        <v>50</v>
      </c>
      <c r="H9" s="11">
        <v>30</v>
      </c>
      <c r="I9" s="11">
        <v>40</v>
      </c>
      <c r="J9" s="11"/>
      <c r="K9" s="11"/>
      <c r="L9" s="11"/>
      <c r="M9" s="11"/>
      <c r="N9" s="9">
        <f t="shared" si="0"/>
        <v>257</v>
      </c>
      <c r="O9" s="9">
        <f>130+127+E9</f>
        <v>257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'0809'!O10</f>
        <v>275</v>
      </c>
      <c r="E10" s="10">
        <v>174</v>
      </c>
      <c r="F10" s="11">
        <v>11</v>
      </c>
      <c r="G10" s="11">
        <v>90</v>
      </c>
      <c r="H10" s="11">
        <v>50</v>
      </c>
      <c r="I10" s="11">
        <v>20</v>
      </c>
      <c r="J10" s="11"/>
      <c r="K10" s="11"/>
      <c r="L10" s="11"/>
      <c r="M10" s="11"/>
      <c r="N10" s="9">
        <f t="shared" si="0"/>
        <v>278</v>
      </c>
      <c r="O10" s="9">
        <f>104+E10</f>
        <v>278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'0809'!O11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'0809'!O12</f>
        <v>563</v>
      </c>
      <c r="E12" s="14">
        <v>240</v>
      </c>
      <c r="F12" s="11">
        <v>42</v>
      </c>
      <c r="G12" s="11">
        <v>70</v>
      </c>
      <c r="H12" s="11">
        <v>80</v>
      </c>
      <c r="I12" s="11">
        <v>19</v>
      </c>
      <c r="J12" s="11"/>
      <c r="K12" s="11"/>
      <c r="L12" s="11"/>
      <c r="M12" s="11"/>
      <c r="N12" s="9">
        <f t="shared" si="0"/>
        <v>592</v>
      </c>
      <c r="O12" s="9">
        <f>120+157+75+E12</f>
        <v>592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'0809'!O13</f>
        <v>500</v>
      </c>
      <c r="E13" s="14">
        <v>153</v>
      </c>
      <c r="F13" s="11">
        <v>34</v>
      </c>
      <c r="G13" s="11">
        <v>81</v>
      </c>
      <c r="H13" s="11">
        <v>40</v>
      </c>
      <c r="I13" s="11">
        <v>20</v>
      </c>
      <c r="J13" s="11"/>
      <c r="K13" s="11"/>
      <c r="L13" s="11"/>
      <c r="M13" s="11"/>
      <c r="N13" s="9">
        <f t="shared" si="0"/>
        <v>478</v>
      </c>
      <c r="O13" s="9">
        <f>165+160+E13</f>
        <v>478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'0809'!O14</f>
        <v>1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'0809'!O15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'0809'!O16</f>
        <v>7</v>
      </c>
      <c r="E16" s="14">
        <v>5</v>
      </c>
      <c r="F16" s="11"/>
      <c r="G16" s="11">
        <v>2</v>
      </c>
      <c r="H16" s="11">
        <v>2</v>
      </c>
      <c r="I16" s="11">
        <v>1</v>
      </c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'0809'!O17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'0809'!O18</f>
        <v>2</v>
      </c>
      <c r="E18" s="14"/>
      <c r="F18" s="11"/>
      <c r="G18" s="11">
        <v>1</v>
      </c>
      <c r="H18" s="11">
        <v>1</v>
      </c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'0809'!O19</f>
        <v>2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'0809'!O20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'0809'!O21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'0809'!O22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'0809'!O23</f>
        <v>64</v>
      </c>
      <c r="E23" s="14">
        <f>64+10</f>
        <v>74</v>
      </c>
      <c r="F23" s="9">
        <v>10</v>
      </c>
      <c r="G23" s="9"/>
      <c r="H23" s="9"/>
      <c r="I23" s="9"/>
      <c r="J23" s="9">
        <v>64</v>
      </c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'0809'!O24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'0809'!O26</f>
        <v>201</v>
      </c>
      <c r="E26" s="10">
        <v>143</v>
      </c>
      <c r="F26" s="9">
        <v>106</v>
      </c>
      <c r="G26" s="11"/>
      <c r="H26" s="9"/>
      <c r="I26" s="9"/>
      <c r="J26" s="9"/>
      <c r="K26" s="9"/>
      <c r="L26" s="9"/>
      <c r="M26" s="9"/>
      <c r="N26" s="9">
        <f>D26+E26-SUM(F26:M26)</f>
        <v>238</v>
      </c>
      <c r="O26" s="9">
        <v>238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'0809'!O27</f>
        <v>104</v>
      </c>
      <c r="E27" s="9">
        <v>29</v>
      </c>
      <c r="F27" s="9">
        <v>19</v>
      </c>
      <c r="G27" s="11"/>
      <c r="H27" s="9"/>
      <c r="I27" s="9"/>
      <c r="J27" s="9"/>
      <c r="K27" s="9"/>
      <c r="L27" s="9"/>
      <c r="M27" s="9"/>
      <c r="N27" s="9">
        <f>D27+E27-SUM(F27:M27)</f>
        <v>114</v>
      </c>
      <c r="O27" s="9">
        <v>114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'0809'!O28</f>
        <v>347</v>
      </c>
      <c r="E28" s="9">
        <v>73</v>
      </c>
      <c r="F28" s="9">
        <v>93</v>
      </c>
      <c r="G28" s="11"/>
      <c r="H28" s="9"/>
      <c r="I28" s="9"/>
      <c r="J28" s="9"/>
      <c r="K28" s="9"/>
      <c r="L28" s="9"/>
      <c r="M28" s="9"/>
      <c r="N28" s="9">
        <f>D28+E28-SUM(F28:M28)</f>
        <v>327</v>
      </c>
      <c r="O28" s="9">
        <v>327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'0809'!O29</f>
        <v>116</v>
      </c>
      <c r="E29" s="9">
        <v>44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105</v>
      </c>
      <c r="O29" s="9">
        <v>105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DATE(2015,9,9)</f>
        <v>42256</v>
      </c>
      <c r="E5" s="293">
        <f>D5+1</f>
        <v>42257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59"/>
      <c r="M6" s="159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52</v>
      </c>
      <c r="H7" s="5" t="s">
        <v>51</v>
      </c>
      <c r="I7" s="5" t="s">
        <v>71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'0909'!O8</f>
        <v>454</v>
      </c>
      <c r="E8" s="10">
        <f>92+72+42</f>
        <v>206</v>
      </c>
      <c r="F8" s="11">
        <v>69</v>
      </c>
      <c r="G8" s="11">
        <v>288</v>
      </c>
      <c r="H8" s="11">
        <v>97</v>
      </c>
      <c r="I8" s="11"/>
      <c r="J8" s="11"/>
      <c r="K8" s="11"/>
      <c r="L8" s="11"/>
      <c r="M8" s="11"/>
      <c r="N8" s="9">
        <f t="shared" ref="N8:N24" si="0">D8+E8-SUM(F8:M8)</f>
        <v>206</v>
      </c>
      <c r="O8" s="9">
        <f>E8</f>
        <v>206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'0909'!O9</f>
        <v>257</v>
      </c>
      <c r="E9" s="14">
        <f>53+75</f>
        <v>128</v>
      </c>
      <c r="F9" s="11"/>
      <c r="G9" s="11">
        <v>177</v>
      </c>
      <c r="H9" s="11">
        <v>80</v>
      </c>
      <c r="I9" s="11"/>
      <c r="J9" s="11"/>
      <c r="K9" s="11"/>
      <c r="L9" s="11"/>
      <c r="M9" s="11"/>
      <c r="N9" s="9">
        <f t="shared" si="0"/>
        <v>128</v>
      </c>
      <c r="O9" s="9">
        <f>E9</f>
        <v>128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'0909'!O10</f>
        <v>278</v>
      </c>
      <c r="E10" s="10">
        <v>124</v>
      </c>
      <c r="F10" s="11"/>
      <c r="G10" s="11">
        <v>182</v>
      </c>
      <c r="H10" s="11">
        <v>100</v>
      </c>
      <c r="I10" s="11"/>
      <c r="J10" s="11"/>
      <c r="K10" s="11"/>
      <c r="L10" s="11"/>
      <c r="M10" s="11"/>
      <c r="N10" s="9">
        <f t="shared" si="0"/>
        <v>120</v>
      </c>
      <c r="O10" s="9">
        <f>E10</f>
        <v>124</v>
      </c>
      <c r="P10" s="9">
        <f t="shared" si="1"/>
        <v>4</v>
      </c>
    </row>
    <row r="11" spans="1:16" ht="18.75">
      <c r="A11" s="6">
        <v>4</v>
      </c>
      <c r="B11" s="15" t="s">
        <v>16</v>
      </c>
      <c r="C11" s="6" t="s">
        <v>17</v>
      </c>
      <c r="D11" s="9">
        <f>'0909'!O11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'0909'!O12</f>
        <v>592</v>
      </c>
      <c r="E12" s="14">
        <f>120+151</f>
        <v>271</v>
      </c>
      <c r="F12" s="11">
        <v>27</v>
      </c>
      <c r="G12" s="11">
        <v>364</v>
      </c>
      <c r="H12" s="11">
        <v>100</v>
      </c>
      <c r="I12" s="11"/>
      <c r="J12" s="11"/>
      <c r="K12" s="11"/>
      <c r="L12" s="11"/>
      <c r="M12" s="11"/>
      <c r="N12" s="9">
        <f t="shared" si="0"/>
        <v>372</v>
      </c>
      <c r="O12" s="9">
        <f>101+E12</f>
        <v>372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'0909'!O13</f>
        <v>478</v>
      </c>
      <c r="E13" s="14">
        <v>81</v>
      </c>
      <c r="F13" s="11">
        <v>11</v>
      </c>
      <c r="G13" s="11">
        <v>202</v>
      </c>
      <c r="H13" s="11">
        <v>100</v>
      </c>
      <c r="I13" s="11"/>
      <c r="J13" s="11"/>
      <c r="K13" s="11"/>
      <c r="L13" s="11"/>
      <c r="M13" s="11"/>
      <c r="N13" s="9">
        <f t="shared" si="0"/>
        <v>246</v>
      </c>
      <c r="O13" s="9">
        <f>165+E13</f>
        <v>246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'0909'!O14</f>
        <v>3</v>
      </c>
      <c r="E14" s="14"/>
      <c r="F14" s="11"/>
      <c r="G14" s="11"/>
      <c r="H14" s="11">
        <v>2</v>
      </c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'0909'!O15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'0909'!O16</f>
        <v>7</v>
      </c>
      <c r="E16" s="14">
        <v>4</v>
      </c>
      <c r="F16" s="11">
        <v>1</v>
      </c>
      <c r="G16" s="11">
        <v>4</v>
      </c>
      <c r="H16" s="11">
        <v>3</v>
      </c>
      <c r="I16" s="11"/>
      <c r="J16" s="11"/>
      <c r="K16" s="11"/>
      <c r="L16" s="11"/>
      <c r="M16" s="11"/>
      <c r="N16" s="9">
        <f t="shared" si="0"/>
        <v>3</v>
      </c>
      <c r="O16" s="9">
        <v>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'0909'!O17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'0909'!O18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'0909'!O19</f>
        <v>1</v>
      </c>
      <c r="E19" s="14">
        <v>3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'0909'!O20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'0909'!O21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'0909'!O22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'0909'!O23</f>
        <v>64</v>
      </c>
      <c r="E23" s="14">
        <v>32</v>
      </c>
      <c r="F23" s="9"/>
      <c r="G23" s="9"/>
      <c r="H23" s="9"/>
      <c r="I23" s="9">
        <v>64</v>
      </c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'0909'!O24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'0909'!O26</f>
        <v>238</v>
      </c>
      <c r="E26" s="10">
        <v>67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195</v>
      </c>
      <c r="O26" s="9">
        <v>195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'0909'!O27</f>
        <v>114</v>
      </c>
      <c r="E27" s="9">
        <v>30</v>
      </c>
      <c r="F27" s="9">
        <v>39</v>
      </c>
      <c r="G27" s="11"/>
      <c r="H27" s="9"/>
      <c r="I27" s="9"/>
      <c r="J27" s="9"/>
      <c r="K27" s="9"/>
      <c r="L27" s="9"/>
      <c r="M27" s="9"/>
      <c r="N27" s="9">
        <f>D27+E27-SUM(F27:M27)</f>
        <v>105</v>
      </c>
      <c r="O27" s="9">
        <v>105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'0909'!O28</f>
        <v>327</v>
      </c>
      <c r="E28" s="9">
        <v>74</v>
      </c>
      <c r="F28" s="9">
        <v>139</v>
      </c>
      <c r="G28" s="11"/>
      <c r="H28" s="9"/>
      <c r="I28" s="9"/>
      <c r="J28" s="9"/>
      <c r="K28" s="9"/>
      <c r="L28" s="9"/>
      <c r="M28" s="9"/>
      <c r="N28" s="9">
        <f>D28+E28-SUM(F28:M28)</f>
        <v>262</v>
      </c>
      <c r="O28" s="9">
        <v>262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'0909'!O29</f>
        <v>105</v>
      </c>
      <c r="E29" s="9">
        <v>45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85</v>
      </c>
      <c r="O29" s="9">
        <v>85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DATE(2015,9,10)</f>
        <v>42257</v>
      </c>
      <c r="E5" s="293">
        <f>D5+1</f>
        <v>42258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60"/>
      <c r="M6" s="160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49</v>
      </c>
      <c r="H7" s="5" t="s">
        <v>77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'1009'!O8</f>
        <v>206</v>
      </c>
      <c r="E8" s="10">
        <f>91+93+24</f>
        <v>208</v>
      </c>
      <c r="F8" s="11">
        <v>66</v>
      </c>
      <c r="G8" s="11">
        <v>100</v>
      </c>
      <c r="H8" s="11"/>
      <c r="I8" s="11"/>
      <c r="J8" s="11"/>
      <c r="K8" s="11"/>
      <c r="L8" s="11"/>
      <c r="M8" s="11"/>
      <c r="N8" s="9">
        <f t="shared" ref="N8:N24" si="0">D8+E8-SUM(F8:M8)</f>
        <v>248</v>
      </c>
      <c r="O8" s="9">
        <f>40+E8</f>
        <v>248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'1009'!O9</f>
        <v>128</v>
      </c>
      <c r="E9" s="14"/>
      <c r="F9" s="11"/>
      <c r="G9" s="11">
        <v>38</v>
      </c>
      <c r="H9" s="11">
        <v>90</v>
      </c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'1009'!O10</f>
        <v>124</v>
      </c>
      <c r="E10" s="10">
        <v>125</v>
      </c>
      <c r="F10" s="11">
        <v>10</v>
      </c>
      <c r="G10" s="11">
        <v>64</v>
      </c>
      <c r="H10" s="11">
        <v>50</v>
      </c>
      <c r="I10" s="11"/>
      <c r="J10" s="11"/>
      <c r="K10" s="11"/>
      <c r="L10" s="11"/>
      <c r="M10" s="11"/>
      <c r="N10" s="9">
        <f t="shared" si="0"/>
        <v>125</v>
      </c>
      <c r="O10" s="9">
        <f>E10</f>
        <v>125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'1009'!O11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'1009'!O12</f>
        <v>372</v>
      </c>
      <c r="E12" s="14">
        <v>85</v>
      </c>
      <c r="F12" s="11"/>
      <c r="G12" s="11">
        <v>80</v>
      </c>
      <c r="H12" s="11">
        <v>221</v>
      </c>
      <c r="I12" s="11"/>
      <c r="J12" s="11"/>
      <c r="K12" s="11"/>
      <c r="L12" s="11"/>
      <c r="M12" s="11"/>
      <c r="N12" s="9">
        <f t="shared" si="0"/>
        <v>156</v>
      </c>
      <c r="O12" s="9">
        <f>70+E12</f>
        <v>155</v>
      </c>
      <c r="P12" s="9">
        <f t="shared" si="1"/>
        <v>-1</v>
      </c>
    </row>
    <row r="13" spans="1:16" ht="18.75">
      <c r="A13" s="6">
        <v>6</v>
      </c>
      <c r="B13" s="16" t="s">
        <v>19</v>
      </c>
      <c r="C13" s="17" t="s">
        <v>17</v>
      </c>
      <c r="D13" s="9">
        <f>'1009'!O13</f>
        <v>246</v>
      </c>
      <c r="E13" s="14">
        <v>117</v>
      </c>
      <c r="F13" s="11"/>
      <c r="G13" s="11">
        <v>96</v>
      </c>
      <c r="H13" s="11">
        <v>150</v>
      </c>
      <c r="I13" s="11"/>
      <c r="J13" s="11"/>
      <c r="K13" s="11"/>
      <c r="L13" s="11"/>
      <c r="M13" s="11"/>
      <c r="N13" s="9">
        <f t="shared" si="0"/>
        <v>117</v>
      </c>
      <c r="O13" s="9">
        <f>E13</f>
        <v>117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'1009'!O14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'1009'!O15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'1009'!O16</f>
        <v>3</v>
      </c>
      <c r="E16" s="14">
        <v>3</v>
      </c>
      <c r="F16" s="11"/>
      <c r="G16" s="11">
        <v>3</v>
      </c>
      <c r="H16" s="11"/>
      <c r="I16" s="11"/>
      <c r="J16" s="11"/>
      <c r="K16" s="11"/>
      <c r="L16" s="11"/>
      <c r="M16" s="11"/>
      <c r="N16" s="9">
        <f t="shared" si="0"/>
        <v>3</v>
      </c>
      <c r="O16" s="9">
        <v>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'1009'!O17</f>
        <v>2</v>
      </c>
      <c r="E17" s="14"/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'1009'!O18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'1009'!O19</f>
        <v>4</v>
      </c>
      <c r="E19" s="14"/>
      <c r="F19" s="11"/>
      <c r="G19" s="11">
        <v>1</v>
      </c>
      <c r="H19" s="11">
        <v>2</v>
      </c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'1009'!O20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'1009'!O21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'1009'!O22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'1009'!O23</f>
        <v>32</v>
      </c>
      <c r="E23" s="14">
        <v>58</v>
      </c>
      <c r="F23" s="9">
        <v>8</v>
      </c>
      <c r="G23" s="9"/>
      <c r="H23" s="9"/>
      <c r="I23" s="9"/>
      <c r="J23" s="9"/>
      <c r="K23" s="9"/>
      <c r="L23" s="9"/>
      <c r="M23" s="9"/>
      <c r="N23" s="9">
        <f t="shared" si="0"/>
        <v>82</v>
      </c>
      <c r="O23" s="9">
        <v>82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'1009'!O24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'1009'!O26</f>
        <v>195</v>
      </c>
      <c r="E26" s="10">
        <v>143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228</v>
      </c>
      <c r="O26" s="9">
        <v>228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'1009'!O27</f>
        <v>105</v>
      </c>
      <c r="E27" s="9"/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89</v>
      </c>
      <c r="O27" s="9">
        <v>89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'1009'!O28</f>
        <v>262</v>
      </c>
      <c r="E28" s="9">
        <v>210</v>
      </c>
      <c r="F28" s="9">
        <v>84</v>
      </c>
      <c r="G28" s="11"/>
      <c r="H28" s="9"/>
      <c r="I28" s="9"/>
      <c r="J28" s="9"/>
      <c r="K28" s="9"/>
      <c r="L28" s="9"/>
      <c r="M28" s="9"/>
      <c r="N28" s="9">
        <f>D28+E28-SUM(F28:M28)</f>
        <v>388</v>
      </c>
      <c r="O28" s="9">
        <v>388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'1009'!O29</f>
        <v>85</v>
      </c>
      <c r="E29" s="9">
        <v>87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107</v>
      </c>
      <c r="O29" s="9">
        <v>107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C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DATE(2015,9,11)</f>
        <v>42258</v>
      </c>
      <c r="E5" s="293">
        <f>D5+1</f>
        <v>42259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61"/>
      <c r="M6" s="161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43</v>
      </c>
      <c r="H7" s="5" t="s">
        <v>74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'1109'!O8</f>
        <v>248</v>
      </c>
      <c r="E8" s="10"/>
      <c r="F8" s="11">
        <v>60</v>
      </c>
      <c r="G8" s="11">
        <v>80</v>
      </c>
      <c r="H8" s="11"/>
      <c r="I8" s="11"/>
      <c r="J8" s="11"/>
      <c r="K8" s="11"/>
      <c r="L8" s="11"/>
      <c r="M8" s="11"/>
      <c r="N8" s="9">
        <f t="shared" ref="N8:N24" si="0">D8+E8-SUM(F8:M8)</f>
        <v>108</v>
      </c>
      <c r="O8" s="9">
        <f>40+E8+68</f>
        <v>108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'1109'!O9</f>
        <v>0</v>
      </c>
      <c r="E9" s="14">
        <f>79+87+87</f>
        <v>253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253</v>
      </c>
      <c r="O9" s="9">
        <f>E9</f>
        <v>253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'1109'!O10</f>
        <v>125</v>
      </c>
      <c r="E10" s="10">
        <v>182</v>
      </c>
      <c r="F10" s="11">
        <v>10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247</v>
      </c>
      <c r="O10" s="9">
        <f>E10+65</f>
        <v>247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'1109'!O11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'1109'!O12</f>
        <v>155</v>
      </c>
      <c r="E12" s="14">
        <v>176</v>
      </c>
      <c r="F12" s="11">
        <v>40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261</v>
      </c>
      <c r="O12" s="9">
        <f>85+E12</f>
        <v>261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'1109'!O13</f>
        <v>117</v>
      </c>
      <c r="E13" s="14">
        <v>114</v>
      </c>
      <c r="F13" s="11">
        <v>27</v>
      </c>
      <c r="G13" s="11">
        <v>60</v>
      </c>
      <c r="H13" s="11"/>
      <c r="I13" s="11"/>
      <c r="J13" s="11"/>
      <c r="K13" s="11"/>
      <c r="L13" s="11"/>
      <c r="M13" s="11"/>
      <c r="N13" s="9">
        <f t="shared" si="0"/>
        <v>144</v>
      </c>
      <c r="O13" s="9">
        <f>30+E13</f>
        <v>144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'1109'!O14</f>
        <v>1</v>
      </c>
      <c r="E14" s="14"/>
      <c r="F14" s="11"/>
      <c r="G14" s="11">
        <v>1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'1109'!O15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'1109'!O16</f>
        <v>3</v>
      </c>
      <c r="E16" s="14">
        <v>4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'1109'!O17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'1109'!O18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'1109'!O19</f>
        <v>1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'1109'!O20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'1109'!O21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'1109'!O22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'1109'!O23</f>
        <v>82</v>
      </c>
      <c r="E23" s="14">
        <v>32</v>
      </c>
      <c r="F23" s="9"/>
      <c r="G23" s="9"/>
      <c r="H23" s="9">
        <v>32</v>
      </c>
      <c r="I23" s="9"/>
      <c r="J23" s="9"/>
      <c r="K23" s="9"/>
      <c r="L23" s="9"/>
      <c r="M23" s="9"/>
      <c r="N23" s="9">
        <f t="shared" si="0"/>
        <v>82</v>
      </c>
      <c r="O23" s="9">
        <v>82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'1109'!O24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'1109'!O26</f>
        <v>228</v>
      </c>
      <c r="E26" s="10">
        <v>141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259</v>
      </c>
      <c r="O26" s="9">
        <v>259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'1109'!O27</f>
        <v>89</v>
      </c>
      <c r="E27" s="9">
        <v>60</v>
      </c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119</v>
      </c>
      <c r="O27" s="9">
        <v>119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'1109'!O28</f>
        <v>388</v>
      </c>
      <c r="E28" s="9">
        <v>70</v>
      </c>
      <c r="F28" s="9">
        <v>110</v>
      </c>
      <c r="G28" s="11"/>
      <c r="H28" s="9"/>
      <c r="I28" s="9"/>
      <c r="J28" s="9"/>
      <c r="K28" s="9"/>
      <c r="L28" s="9"/>
      <c r="M28" s="9"/>
      <c r="N28" s="9">
        <f>D28+E28-SUM(F28:M28)</f>
        <v>348</v>
      </c>
      <c r="O28" s="9">
        <v>348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'1109'!O29</f>
        <v>107</v>
      </c>
      <c r="E29" s="9">
        <v>88</v>
      </c>
      <c r="F29" s="9">
        <v>81</v>
      </c>
      <c r="G29" s="11"/>
      <c r="H29" s="9"/>
      <c r="I29" s="9"/>
      <c r="J29" s="9"/>
      <c r="K29" s="9"/>
      <c r="L29" s="9"/>
      <c r="M29" s="9"/>
      <c r="N29" s="9">
        <f>D29+E29-SUM(F29:M29)</f>
        <v>114</v>
      </c>
      <c r="O29" s="9">
        <v>114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DATE(2015,9,12)</f>
        <v>42259</v>
      </c>
      <c r="E5" s="293">
        <f>D5+1</f>
        <v>42260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62"/>
      <c r="M6" s="162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/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'1209'!O8</f>
        <v>108</v>
      </c>
      <c r="E8" s="10">
        <f>88+78+84</f>
        <v>250</v>
      </c>
      <c r="F8" s="11">
        <v>60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298</v>
      </c>
      <c r="O8" s="9">
        <v>298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'1209'!O9</f>
        <v>253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253</v>
      </c>
      <c r="O9" s="9">
        <f>123+130</f>
        <v>253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'1209'!O10</f>
        <v>247</v>
      </c>
      <c r="E10" s="10">
        <f>131+83</f>
        <v>214</v>
      </c>
      <c r="F10" s="11">
        <v>11</v>
      </c>
      <c r="G10" s="11"/>
      <c r="H10" s="11"/>
      <c r="I10" s="11"/>
      <c r="J10" s="11"/>
      <c r="K10" s="11"/>
      <c r="L10" s="11"/>
      <c r="M10" s="11"/>
      <c r="N10" s="9">
        <f t="shared" si="0"/>
        <v>450</v>
      </c>
      <c r="O10" s="9">
        <f>53+183+E10</f>
        <v>450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'1209'!O11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'1209'!O12</f>
        <v>261</v>
      </c>
      <c r="E12" s="14">
        <v>130</v>
      </c>
      <c r="F12" s="11"/>
      <c r="G12" s="11"/>
      <c r="H12" s="11"/>
      <c r="I12" s="11"/>
      <c r="J12" s="11"/>
      <c r="K12" s="11"/>
      <c r="L12" s="11"/>
      <c r="M12" s="11"/>
      <c r="N12" s="9">
        <f t="shared" si="0"/>
        <v>391</v>
      </c>
      <c r="O12" s="9">
        <f>85+176+E12</f>
        <v>391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'1209'!O13</f>
        <v>144</v>
      </c>
      <c r="E13" s="14">
        <v>110</v>
      </c>
      <c r="F13" s="11"/>
      <c r="G13" s="11"/>
      <c r="H13" s="11"/>
      <c r="I13" s="11"/>
      <c r="J13" s="11"/>
      <c r="K13" s="11"/>
      <c r="L13" s="11"/>
      <c r="M13" s="11"/>
      <c r="N13" s="9">
        <f t="shared" si="0"/>
        <v>254</v>
      </c>
      <c r="O13" s="9">
        <f>144+E13</f>
        <v>254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'1209'!O14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'1209'!O15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'1209'!O16</f>
        <v>6</v>
      </c>
      <c r="E16" s="14">
        <v>4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'1209'!O17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'1209'!O18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'1209'!O19</f>
        <v>0</v>
      </c>
      <c r="E19" s="14">
        <v>4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'1209'!O20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'1209'!O21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'1209'!O22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'1209'!O23</f>
        <v>82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82</v>
      </c>
      <c r="O23" s="9">
        <v>82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'1209'!O24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'1209'!O26</f>
        <v>259</v>
      </c>
      <c r="E26" s="10">
        <v>66</v>
      </c>
      <c r="F26" s="9">
        <v>101</v>
      </c>
      <c r="G26" s="11"/>
      <c r="H26" s="9"/>
      <c r="I26" s="9"/>
      <c r="J26" s="9"/>
      <c r="K26" s="9"/>
      <c r="L26" s="9"/>
      <c r="M26" s="9"/>
      <c r="N26" s="9">
        <f>D26+E26-SUM(F26:M26)</f>
        <v>224</v>
      </c>
      <c r="O26" s="9">
        <v>224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'1209'!O27</f>
        <v>119</v>
      </c>
      <c r="E27" s="9">
        <v>15</v>
      </c>
      <c r="F27" s="9">
        <v>31</v>
      </c>
      <c r="G27" s="11"/>
      <c r="H27" s="9"/>
      <c r="I27" s="9"/>
      <c r="J27" s="9"/>
      <c r="K27" s="9"/>
      <c r="L27" s="9"/>
      <c r="M27" s="9"/>
      <c r="N27" s="9">
        <f>D27+E27-SUM(F27:M27)</f>
        <v>103</v>
      </c>
      <c r="O27" s="9">
        <v>103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'1209'!O28</f>
        <v>348</v>
      </c>
      <c r="E28" s="9">
        <v>75</v>
      </c>
      <c r="F28" s="9">
        <v>109</v>
      </c>
      <c r="G28" s="11"/>
      <c r="H28" s="9"/>
      <c r="I28" s="9"/>
      <c r="J28" s="9"/>
      <c r="K28" s="9"/>
      <c r="L28" s="9"/>
      <c r="M28" s="9"/>
      <c r="N28" s="9">
        <f>D28+E28-SUM(F28:M28)</f>
        <v>314</v>
      </c>
      <c r="O28" s="9">
        <v>314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'1209'!O29</f>
        <v>114</v>
      </c>
      <c r="E29" s="9">
        <v>69</v>
      </c>
      <c r="F29" s="9">
        <v>66</v>
      </c>
      <c r="G29" s="11"/>
      <c r="H29" s="9"/>
      <c r="I29" s="9"/>
      <c r="J29" s="9"/>
      <c r="K29" s="9"/>
      <c r="L29" s="9"/>
      <c r="M29" s="9"/>
      <c r="N29" s="9">
        <f>D29+E29-SUM(F29:M29)</f>
        <v>117</v>
      </c>
      <c r="O29" s="9">
        <v>117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DATE(2015,9,13)</f>
        <v>42260</v>
      </c>
      <c r="E5" s="293">
        <f>D5+1</f>
        <v>42261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62"/>
      <c r="M6" s="162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54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'1309'!O8</f>
        <v>298</v>
      </c>
      <c r="E8" s="10">
        <f>132+113</f>
        <v>245</v>
      </c>
      <c r="F8" s="11">
        <v>60</v>
      </c>
      <c r="G8" s="11">
        <v>60</v>
      </c>
      <c r="H8" s="11"/>
      <c r="I8" s="11"/>
      <c r="J8" s="11"/>
      <c r="K8" s="11"/>
      <c r="L8" s="11"/>
      <c r="M8" s="11"/>
      <c r="N8" s="9">
        <f t="shared" ref="N8:N24" si="0">D8+E8-SUM(F8:M8)</f>
        <v>423</v>
      </c>
      <c r="O8" s="9">
        <v>423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'1309'!O9</f>
        <v>253</v>
      </c>
      <c r="E9" s="14"/>
      <c r="F9" s="11"/>
      <c r="G9" s="11">
        <v>60</v>
      </c>
      <c r="H9" s="11"/>
      <c r="I9" s="11"/>
      <c r="J9" s="11"/>
      <c r="K9" s="11"/>
      <c r="L9" s="11"/>
      <c r="M9" s="11"/>
      <c r="N9" s="9">
        <f t="shared" si="0"/>
        <v>193</v>
      </c>
      <c r="O9" s="9">
        <f>193+E9</f>
        <v>193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'1309'!O10</f>
        <v>450</v>
      </c>
      <c r="E10" s="10">
        <v>83</v>
      </c>
      <c r="F10" s="11">
        <v>18</v>
      </c>
      <c r="G10" s="11">
        <v>60</v>
      </c>
      <c r="H10" s="11"/>
      <c r="I10" s="11"/>
      <c r="J10" s="11"/>
      <c r="K10" s="11"/>
      <c r="L10" s="11"/>
      <c r="M10" s="11"/>
      <c r="N10" s="9">
        <f t="shared" si="0"/>
        <v>455</v>
      </c>
      <c r="O10" s="9">
        <f>168+204+E10</f>
        <v>455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'1309'!O11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'1309'!O12</f>
        <v>391</v>
      </c>
      <c r="E12" s="14">
        <v>129</v>
      </c>
      <c r="F12" s="11">
        <v>40</v>
      </c>
      <c r="G12" s="11">
        <v>50</v>
      </c>
      <c r="H12" s="11"/>
      <c r="I12" s="11"/>
      <c r="J12" s="11"/>
      <c r="K12" s="11"/>
      <c r="L12" s="11"/>
      <c r="M12" s="11"/>
      <c r="N12" s="9">
        <f t="shared" si="0"/>
        <v>430</v>
      </c>
      <c r="O12" s="9">
        <f>176+15+110+E12</f>
        <v>430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'1309'!O13</f>
        <v>254</v>
      </c>
      <c r="E13" s="14">
        <v>116</v>
      </c>
      <c r="F13" s="11">
        <v>35</v>
      </c>
      <c r="G13" s="11">
        <v>40</v>
      </c>
      <c r="H13" s="11"/>
      <c r="I13" s="11"/>
      <c r="J13" s="11"/>
      <c r="K13" s="11"/>
      <c r="L13" s="11"/>
      <c r="M13" s="11"/>
      <c r="N13" s="9">
        <f t="shared" si="0"/>
        <v>295</v>
      </c>
      <c r="O13" s="9">
        <f>104+75+E13</f>
        <v>295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'1309'!O14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'1309'!O15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'1309'!O16</f>
        <v>9</v>
      </c>
      <c r="E16" s="14">
        <v>4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12</v>
      </c>
      <c r="O16" s="9">
        <v>12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'1309'!O17</f>
        <v>0</v>
      </c>
      <c r="E17" s="14">
        <v>1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'1309'!O18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'1309'!O19</f>
        <v>4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'1309'!O20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'1309'!O21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'1309'!O22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'1309'!O23</f>
        <v>82</v>
      </c>
      <c r="E23" s="14">
        <f>64+10</f>
        <v>74</v>
      </c>
      <c r="F23" s="9">
        <v>10</v>
      </c>
      <c r="G23" s="9"/>
      <c r="H23" s="9"/>
      <c r="I23" s="9"/>
      <c r="J23" s="9"/>
      <c r="K23" s="9"/>
      <c r="L23" s="9"/>
      <c r="M23" s="9"/>
      <c r="N23" s="9">
        <f t="shared" si="0"/>
        <v>146</v>
      </c>
      <c r="O23" s="9">
        <f>82+64</f>
        <v>146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'1309'!O24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'1309'!O26</f>
        <v>224</v>
      </c>
      <c r="E26" s="10">
        <v>139</v>
      </c>
      <c r="F26" s="9">
        <v>105</v>
      </c>
      <c r="G26" s="11"/>
      <c r="H26" s="9"/>
      <c r="I26" s="9"/>
      <c r="J26" s="9"/>
      <c r="K26" s="9"/>
      <c r="L26" s="9"/>
      <c r="M26" s="9"/>
      <c r="N26" s="9">
        <f>D26+E26-SUM(F26:M26)</f>
        <v>258</v>
      </c>
      <c r="O26" s="9">
        <v>258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'1309'!O27</f>
        <v>103</v>
      </c>
      <c r="E27" s="9">
        <v>23</v>
      </c>
      <c r="F27" s="9">
        <v>19</v>
      </c>
      <c r="G27" s="11"/>
      <c r="H27" s="9"/>
      <c r="I27" s="9"/>
      <c r="J27" s="9"/>
      <c r="K27" s="9"/>
      <c r="L27" s="9"/>
      <c r="M27" s="9"/>
      <c r="N27" s="9">
        <f>D27+E27-SUM(F27:M27)</f>
        <v>107</v>
      </c>
      <c r="O27" s="9">
        <v>107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'1309'!O28</f>
        <v>314</v>
      </c>
      <c r="E28" s="9">
        <v>76</v>
      </c>
      <c r="F28" s="9">
        <v>90</v>
      </c>
      <c r="G28" s="11"/>
      <c r="H28" s="9"/>
      <c r="I28" s="9"/>
      <c r="J28" s="9"/>
      <c r="K28" s="9"/>
      <c r="L28" s="9"/>
      <c r="M28" s="9"/>
      <c r="N28" s="9">
        <f>D28+E28-SUM(F28:M28)</f>
        <v>300</v>
      </c>
      <c r="O28" s="9">
        <v>300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'1309'!O29</f>
        <v>117</v>
      </c>
      <c r="E29" s="9">
        <v>53</v>
      </c>
      <c r="F29" s="9">
        <v>44</v>
      </c>
      <c r="G29" s="11"/>
      <c r="H29" s="9"/>
      <c r="I29" s="9"/>
      <c r="J29" s="9"/>
      <c r="K29" s="9"/>
      <c r="L29" s="9"/>
      <c r="M29" s="9"/>
      <c r="N29" s="9">
        <f>D29+E29-SUM(F29:M29)</f>
        <v>126</v>
      </c>
      <c r="O29" s="9">
        <v>126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DATE(2015,9,14)</f>
        <v>42261</v>
      </c>
      <c r="E5" s="293">
        <f>D5+1</f>
        <v>42262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63"/>
      <c r="M6" s="163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70</v>
      </c>
      <c r="H7" s="5" t="s">
        <v>80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'1409'!O8</f>
        <v>423</v>
      </c>
      <c r="E8" s="10">
        <f>95+84+112</f>
        <v>291</v>
      </c>
      <c r="F8" s="11">
        <v>60</v>
      </c>
      <c r="G8" s="11">
        <v>40</v>
      </c>
      <c r="H8" s="11"/>
      <c r="I8" s="11"/>
      <c r="J8" s="11"/>
      <c r="K8" s="11"/>
      <c r="L8" s="11"/>
      <c r="M8" s="11"/>
      <c r="N8" s="9">
        <f t="shared" ref="N8:N24" si="0">D8+E8-SUM(F8:M8)</f>
        <v>614</v>
      </c>
      <c r="O8" s="9">
        <v>614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'1409'!O9</f>
        <v>193</v>
      </c>
      <c r="E9" s="14">
        <f>46+80</f>
        <v>126</v>
      </c>
      <c r="F9" s="11"/>
      <c r="G9" s="11">
        <v>71</v>
      </c>
      <c r="H9" s="11">
        <v>43</v>
      </c>
      <c r="I9" s="11"/>
      <c r="J9" s="11"/>
      <c r="K9" s="11"/>
      <c r="L9" s="11"/>
      <c r="M9" s="11"/>
      <c r="N9" s="9">
        <f t="shared" si="0"/>
        <v>205</v>
      </c>
      <c r="O9" s="9">
        <f>80+E9</f>
        <v>206</v>
      </c>
      <c r="P9" s="9">
        <f t="shared" si="1"/>
        <v>1</v>
      </c>
    </row>
    <row r="10" spans="1:16" ht="18.75">
      <c r="A10" s="6">
        <v>3</v>
      </c>
      <c r="B10" s="12" t="s">
        <v>15</v>
      </c>
      <c r="C10" s="8" t="s">
        <v>13</v>
      </c>
      <c r="D10" s="9">
        <f>'1409'!O10</f>
        <v>455</v>
      </c>
      <c r="E10" s="10">
        <v>83</v>
      </c>
      <c r="F10" s="11">
        <v>14</v>
      </c>
      <c r="G10" s="11">
        <v>80</v>
      </c>
      <c r="H10" s="11"/>
      <c r="I10" s="11"/>
      <c r="J10" s="11"/>
      <c r="K10" s="11"/>
      <c r="L10" s="11"/>
      <c r="M10" s="11"/>
      <c r="N10" s="9">
        <f t="shared" si="0"/>
        <v>444</v>
      </c>
      <c r="O10" s="9">
        <f>170+107+84+E10</f>
        <v>444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'1409'!O11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'1409'!O12</f>
        <v>430</v>
      </c>
      <c r="E12" s="14">
        <v>170</v>
      </c>
      <c r="F12" s="11">
        <v>29</v>
      </c>
      <c r="G12" s="11">
        <v>61</v>
      </c>
      <c r="H12" s="11">
        <v>30</v>
      </c>
      <c r="I12" s="11"/>
      <c r="J12" s="11"/>
      <c r="K12" s="11"/>
      <c r="L12" s="11"/>
      <c r="M12" s="11"/>
      <c r="N12" s="9">
        <f t="shared" si="0"/>
        <v>480</v>
      </c>
      <c r="O12" s="9">
        <f>210+E12+100</f>
        <v>480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'1409'!O13</f>
        <v>295</v>
      </c>
      <c r="E13" s="14">
        <v>157</v>
      </c>
      <c r="F13" s="11">
        <v>10</v>
      </c>
      <c r="G13" s="11">
        <v>60</v>
      </c>
      <c r="H13" s="11">
        <v>49</v>
      </c>
      <c r="I13" s="11"/>
      <c r="J13" s="11"/>
      <c r="K13" s="11"/>
      <c r="L13" s="11"/>
      <c r="M13" s="11"/>
      <c r="N13" s="9">
        <f t="shared" si="0"/>
        <v>333</v>
      </c>
      <c r="O13" s="9">
        <f>60+116+E13</f>
        <v>333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'1409'!O14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'1409'!O15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'1409'!O16</f>
        <v>12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14</v>
      </c>
      <c r="O16" s="9">
        <v>14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'1409'!O17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'1409'!O18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'1409'!O19</f>
        <v>4</v>
      </c>
      <c r="E19" s="14">
        <v>2</v>
      </c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'1409'!O20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'1409'!O21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'1409'!O22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'1409'!O23</f>
        <v>146</v>
      </c>
      <c r="E23" s="14">
        <f>44+20</f>
        <v>64</v>
      </c>
      <c r="F23" s="9">
        <v>20</v>
      </c>
      <c r="G23" s="9"/>
      <c r="H23" s="9"/>
      <c r="I23" s="9"/>
      <c r="J23" s="9"/>
      <c r="K23" s="9"/>
      <c r="L23" s="9"/>
      <c r="M23" s="9"/>
      <c r="N23" s="9">
        <f t="shared" si="0"/>
        <v>190</v>
      </c>
      <c r="O23" s="9">
        <v>190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'1409'!O24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'1409'!O26</f>
        <v>258</v>
      </c>
      <c r="E26" s="10"/>
      <c r="F26" s="9">
        <v>60</v>
      </c>
      <c r="G26" s="11"/>
      <c r="H26" s="9"/>
      <c r="I26" s="9"/>
      <c r="J26" s="9"/>
      <c r="K26" s="9"/>
      <c r="L26" s="9"/>
      <c r="M26" s="9"/>
      <c r="N26" s="9">
        <f>D26+E26-SUM(F26:M26)</f>
        <v>198</v>
      </c>
      <c r="O26" s="9">
        <v>198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'1409'!O27</f>
        <v>107</v>
      </c>
      <c r="E27" s="9">
        <v>25</v>
      </c>
      <c r="F27" s="9">
        <v>26</v>
      </c>
      <c r="G27" s="11"/>
      <c r="H27" s="9"/>
      <c r="I27" s="9"/>
      <c r="J27" s="9"/>
      <c r="K27" s="9"/>
      <c r="L27" s="9"/>
      <c r="M27" s="9"/>
      <c r="N27" s="9">
        <f>D27+E27-SUM(F27:M27)</f>
        <v>106</v>
      </c>
      <c r="O27" s="9">
        <v>106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'1409'!O28</f>
        <v>300</v>
      </c>
      <c r="E28" s="9">
        <v>76</v>
      </c>
      <c r="F28" s="9">
        <v>67</v>
      </c>
      <c r="G28" s="11"/>
      <c r="H28" s="9"/>
      <c r="I28" s="9"/>
      <c r="J28" s="9"/>
      <c r="K28" s="9"/>
      <c r="L28" s="9"/>
      <c r="M28" s="9"/>
      <c r="N28" s="9">
        <f>D28+E28-SUM(F28:M28)</f>
        <v>309</v>
      </c>
      <c r="O28" s="9">
        <v>309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'1409'!O29</f>
        <v>126</v>
      </c>
      <c r="E29" s="9">
        <v>48</v>
      </c>
      <c r="F29" s="9">
        <v>51</v>
      </c>
      <c r="G29" s="11"/>
      <c r="H29" s="9"/>
      <c r="I29" s="9"/>
      <c r="J29" s="9"/>
      <c r="K29" s="9"/>
      <c r="L29" s="9"/>
      <c r="M29" s="9"/>
      <c r="N29" s="9">
        <f>D29+E29-SUM(F29:M29)</f>
        <v>123</v>
      </c>
      <c r="O29" s="9">
        <v>123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DATE(2015,9,15)</f>
        <v>42262</v>
      </c>
      <c r="E5" s="293">
        <f>D5+1</f>
        <v>42263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64"/>
      <c r="M6" s="164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39</v>
      </c>
      <c r="H7" s="5" t="s">
        <v>40</v>
      </c>
      <c r="I7" s="5" t="s">
        <v>38</v>
      </c>
      <c r="J7" s="5" t="s">
        <v>74</v>
      </c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'1509'!O8</f>
        <v>614</v>
      </c>
      <c r="E8" s="10">
        <f>91+89+39</f>
        <v>219</v>
      </c>
      <c r="F8" s="11">
        <v>60</v>
      </c>
      <c r="G8" s="11">
        <v>70</v>
      </c>
      <c r="H8" s="11">
        <v>30</v>
      </c>
      <c r="I8" s="11">
        <v>40</v>
      </c>
      <c r="J8" s="11"/>
      <c r="K8" s="11"/>
      <c r="L8" s="11"/>
      <c r="M8" s="11"/>
      <c r="N8" s="9">
        <f t="shared" ref="N8:N24" si="0">D8+E8-SUM(F8:M8)</f>
        <v>633</v>
      </c>
      <c r="O8" s="9">
        <v>633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'1509'!O9</f>
        <v>206</v>
      </c>
      <c r="E9" s="14">
        <f>94+87</f>
        <v>181</v>
      </c>
      <c r="F9" s="11"/>
      <c r="G9" s="11">
        <v>30</v>
      </c>
      <c r="H9" s="11">
        <v>30</v>
      </c>
      <c r="I9" s="11">
        <v>40</v>
      </c>
      <c r="J9" s="11"/>
      <c r="K9" s="11"/>
      <c r="L9" s="11"/>
      <c r="M9" s="11"/>
      <c r="N9" s="9">
        <f t="shared" si="0"/>
        <v>287</v>
      </c>
      <c r="O9" s="9">
        <f>106+E9</f>
        <v>287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'1509'!O10</f>
        <v>444</v>
      </c>
      <c r="E10" s="10"/>
      <c r="F10" s="11">
        <v>20</v>
      </c>
      <c r="G10" s="11">
        <v>50</v>
      </c>
      <c r="H10" s="11">
        <v>30</v>
      </c>
      <c r="I10" s="11">
        <v>37</v>
      </c>
      <c r="J10" s="11"/>
      <c r="K10" s="11"/>
      <c r="L10" s="11"/>
      <c r="M10" s="11"/>
      <c r="N10" s="9">
        <f t="shared" si="0"/>
        <v>307</v>
      </c>
      <c r="O10" s="9">
        <f>140+167+E10</f>
        <v>307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'1509'!O11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'1509'!O12</f>
        <v>480</v>
      </c>
      <c r="E12" s="14">
        <f>120+84</f>
        <v>204</v>
      </c>
      <c r="F12" s="11">
        <v>20</v>
      </c>
      <c r="G12" s="11">
        <v>70</v>
      </c>
      <c r="H12" s="11">
        <v>60</v>
      </c>
      <c r="I12" s="11">
        <v>40</v>
      </c>
      <c r="J12" s="11"/>
      <c r="K12" s="11"/>
      <c r="L12" s="11"/>
      <c r="M12" s="11"/>
      <c r="N12" s="9">
        <f t="shared" si="0"/>
        <v>494</v>
      </c>
      <c r="O12" s="9">
        <f>170+120+E12</f>
        <v>494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'1509'!O13</f>
        <v>333</v>
      </c>
      <c r="E13" s="14">
        <v>148</v>
      </c>
      <c r="F13" s="11">
        <v>16</v>
      </c>
      <c r="G13" s="11">
        <v>50</v>
      </c>
      <c r="H13" s="11">
        <v>30</v>
      </c>
      <c r="I13" s="11">
        <v>40</v>
      </c>
      <c r="J13" s="11"/>
      <c r="K13" s="11"/>
      <c r="L13" s="11"/>
      <c r="M13" s="11"/>
      <c r="N13" s="9">
        <f t="shared" si="0"/>
        <v>345</v>
      </c>
      <c r="O13" s="9">
        <f>157+40+E13</f>
        <v>345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'1509'!O14</f>
        <v>0</v>
      </c>
      <c r="E14" s="14">
        <v>4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4</v>
      </c>
      <c r="O14" s="9">
        <v>4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'1509'!O15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'1509'!O16</f>
        <v>14</v>
      </c>
      <c r="E16" s="14"/>
      <c r="F16" s="11"/>
      <c r="G16" s="11">
        <v>1</v>
      </c>
      <c r="H16" s="11">
        <v>2</v>
      </c>
      <c r="I16" s="11"/>
      <c r="J16" s="11"/>
      <c r="K16" s="11"/>
      <c r="L16" s="11"/>
      <c r="M16" s="11"/>
      <c r="N16" s="9">
        <f t="shared" si="0"/>
        <v>11</v>
      </c>
      <c r="O16" s="9">
        <v>11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'1509'!O17</f>
        <v>1</v>
      </c>
      <c r="E17" s="14">
        <v>4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5</v>
      </c>
      <c r="O17" s="9">
        <v>5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'1509'!O18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'1509'!O19</f>
        <v>4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'1509'!O20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'1509'!O21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'1509'!O22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'1509'!O23</f>
        <v>190</v>
      </c>
      <c r="E23" s="14">
        <f>96+20</f>
        <v>116</v>
      </c>
      <c r="F23" s="9">
        <v>20</v>
      </c>
      <c r="G23" s="9"/>
      <c r="H23" s="9"/>
      <c r="I23" s="9"/>
      <c r="J23" s="9">
        <v>64</v>
      </c>
      <c r="K23" s="9"/>
      <c r="L23" s="9"/>
      <c r="M23" s="9"/>
      <c r="N23" s="9">
        <f t="shared" si="0"/>
        <v>222</v>
      </c>
      <c r="O23" s="9">
        <v>222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'1509'!O24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'1509'!O26</f>
        <v>198</v>
      </c>
      <c r="E26" s="10">
        <v>138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216</v>
      </c>
      <c r="O26" s="9">
        <v>216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'1509'!O27</f>
        <v>106</v>
      </c>
      <c r="E27" s="9">
        <v>31</v>
      </c>
      <c r="F27" s="9">
        <v>25</v>
      </c>
      <c r="G27" s="11"/>
      <c r="H27" s="9"/>
      <c r="I27" s="9"/>
      <c r="J27" s="9"/>
      <c r="K27" s="9"/>
      <c r="L27" s="9"/>
      <c r="M27" s="9"/>
      <c r="N27" s="9">
        <f>D27+E27-SUM(F27:M27)</f>
        <v>112</v>
      </c>
      <c r="O27" s="9">
        <v>112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'1509'!O28</f>
        <v>309</v>
      </c>
      <c r="E28" s="9">
        <v>147</v>
      </c>
      <c r="F28" s="9">
        <v>119</v>
      </c>
      <c r="G28" s="11"/>
      <c r="H28" s="9"/>
      <c r="I28" s="9"/>
      <c r="J28" s="9"/>
      <c r="K28" s="9"/>
      <c r="L28" s="9"/>
      <c r="M28" s="9"/>
      <c r="N28" s="9">
        <f>D28+E28-SUM(F28:M28)</f>
        <v>337</v>
      </c>
      <c r="O28" s="9">
        <v>337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'1509'!O29</f>
        <v>123</v>
      </c>
      <c r="E29" s="9">
        <v>42</v>
      </c>
      <c r="F29" s="9">
        <v>49</v>
      </c>
      <c r="G29" s="11"/>
      <c r="H29" s="9"/>
      <c r="I29" s="9"/>
      <c r="J29" s="9"/>
      <c r="K29" s="9"/>
      <c r="L29" s="9"/>
      <c r="M29" s="9"/>
      <c r="N29" s="9">
        <f>D29+E29-SUM(F29:M29)</f>
        <v>116</v>
      </c>
      <c r="O29" s="9">
        <v>116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C12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DATE(2015,4,16)</f>
        <v>42110</v>
      </c>
      <c r="E5" s="293">
        <f>D5+1</f>
        <v>42111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40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42</v>
      </c>
      <c r="H7" s="5" t="s">
        <v>52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VLOOKUP($B8,'1604'!$B8:$M22,11,0)</f>
        <v>283</v>
      </c>
      <c r="E8" s="10">
        <f>93+101</f>
        <v>194</v>
      </c>
      <c r="F8" s="11">
        <v>40</v>
      </c>
      <c r="G8" s="11">
        <v>120</v>
      </c>
      <c r="H8" s="11">
        <v>150</v>
      </c>
      <c r="I8" s="11"/>
      <c r="J8" s="11"/>
      <c r="K8" s="9">
        <f>D8+E8-SUM(F8:J8)</f>
        <v>167</v>
      </c>
      <c r="L8" s="9">
        <v>167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VLOOKUP($B9,'1604'!$B9:$M23,11,0)</f>
        <v>0</v>
      </c>
      <c r="E9" s="14">
        <f>84+40</f>
        <v>124</v>
      </c>
      <c r="F9" s="11"/>
      <c r="G9" s="11"/>
      <c r="H9" s="11"/>
      <c r="I9" s="11"/>
      <c r="J9" s="11"/>
      <c r="K9" s="9">
        <f t="shared" ref="K9:K19" si="1">D9+E9-SUM(F9:J9)</f>
        <v>124</v>
      </c>
      <c r="L9" s="9">
        <v>124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VLOOKUP($B10,'1604'!$B10:$M24,11,0)</f>
        <v>117</v>
      </c>
      <c r="E10" s="10">
        <v>80</v>
      </c>
      <c r="F10" s="11"/>
      <c r="G10" s="11">
        <v>30</v>
      </c>
      <c r="H10" s="11">
        <v>87</v>
      </c>
      <c r="I10" s="11"/>
      <c r="J10" s="11"/>
      <c r="K10" s="9">
        <f t="shared" si="1"/>
        <v>80</v>
      </c>
      <c r="L10" s="9">
        <v>80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VLOOKUP($B11,'1604'!$B11:$M25,11,0)</f>
        <v>320</v>
      </c>
      <c r="E11" s="10"/>
      <c r="F11" s="11"/>
      <c r="G11" s="11">
        <v>280</v>
      </c>
      <c r="H11" s="11">
        <v>40</v>
      </c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VLOOKUP($B12,'1604'!$B12:$M26,11,0)</f>
        <v>228</v>
      </c>
      <c r="E12" s="14">
        <v>168</v>
      </c>
      <c r="F12" s="11"/>
      <c r="G12" s="11">
        <v>100</v>
      </c>
      <c r="H12" s="11">
        <v>130</v>
      </c>
      <c r="I12" s="11"/>
      <c r="J12" s="11"/>
      <c r="K12" s="9">
        <f t="shared" si="1"/>
        <v>166</v>
      </c>
      <c r="L12" s="9">
        <v>166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VLOOKUP($B13,'1604'!$B13:$M27,11,0)</f>
        <v>72</v>
      </c>
      <c r="E13" s="14"/>
      <c r="F13" s="11"/>
      <c r="G13" s="11">
        <v>32</v>
      </c>
      <c r="H13" s="11">
        <v>40</v>
      </c>
      <c r="I13" s="11"/>
      <c r="J13" s="11"/>
      <c r="K13" s="9">
        <f t="shared" si="1"/>
        <v>0</v>
      </c>
      <c r="L13" s="9"/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VLOOKUP($B14,'1604'!$B14:$M28,11,0)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VLOOKUP($B15,'1604'!$B15:$M29,11,0)</f>
        <v>2</v>
      </c>
      <c r="E15" s="14"/>
      <c r="F15" s="11"/>
      <c r="G15" s="11">
        <v>2</v>
      </c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VLOOKUP($B16,'1604'!$B16:$M30,11,0)</f>
        <v>4</v>
      </c>
      <c r="E16" s="14">
        <v>3</v>
      </c>
      <c r="F16" s="11"/>
      <c r="G16" s="11">
        <v>2</v>
      </c>
      <c r="H16" s="11">
        <v>2</v>
      </c>
      <c r="I16" s="11"/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VLOOKUP($B17,'1604'!$B17:$M31,11,0)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VLOOKUP($B18,'1604'!$B18:$M32,11,0)</f>
        <v>3</v>
      </c>
      <c r="E18" s="14"/>
      <c r="F18" s="11"/>
      <c r="G18" s="11">
        <v>1</v>
      </c>
      <c r="H18" s="11">
        <v>1</v>
      </c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VLOOKUP($B19,'1604'!$B19:$M33,11,0)</f>
        <v>2</v>
      </c>
      <c r="E19" s="14"/>
      <c r="F19" s="11"/>
      <c r="G19" s="11">
        <v>2</v>
      </c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VLOOKUP($B20,'1604'!$B20:$M34,11,0)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VLOOKUP($B21,'1604'!$B21:$M35,11,0)</f>
        <v>0</v>
      </c>
      <c r="E21" s="14">
        <v>18</v>
      </c>
      <c r="F21" s="11"/>
      <c r="G21" s="11"/>
      <c r="H21" s="11"/>
      <c r="I21" s="11"/>
      <c r="J21" s="11"/>
      <c r="K21" s="9">
        <f>D21+E21-SUM(F21:I21)</f>
        <v>18</v>
      </c>
      <c r="L21" s="9">
        <v>18</v>
      </c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VLOOKUP($B22,'1604'!$B22:$M36,11,0)</f>
        <v>0</v>
      </c>
      <c r="E22" s="14">
        <v>17</v>
      </c>
      <c r="F22" s="11"/>
      <c r="G22" s="11"/>
      <c r="H22" s="11"/>
      <c r="I22" s="11"/>
      <c r="J22" s="11"/>
      <c r="K22" s="9">
        <f>D22+E22-SUM(F22:I22)</f>
        <v>17</v>
      </c>
      <c r="L22" s="9">
        <v>17</v>
      </c>
      <c r="M22" s="9">
        <f>L22-K22</f>
        <v>0</v>
      </c>
    </row>
    <row r="23" spans="1:13" ht="18.75">
      <c r="A23" s="6"/>
      <c r="B23" s="20"/>
      <c r="C23" s="6"/>
      <c r="D23" s="9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608</v>
      </c>
      <c r="F24" s="9"/>
      <c r="G24" s="9"/>
      <c r="H24" s="9"/>
      <c r="I24" s="9">
        <f t="shared" si="3"/>
        <v>0</v>
      </c>
      <c r="J24" s="9"/>
      <c r="K24" s="9">
        <f t="shared" si="3"/>
        <v>580</v>
      </c>
      <c r="L24" s="9">
        <f t="shared" si="3"/>
        <v>580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VLOOKUP($B26,'1604'!$B26:$M29,11,0)</f>
        <v>227</v>
      </c>
      <c r="E26" s="10">
        <v>67</v>
      </c>
      <c r="F26" s="9">
        <v>116</v>
      </c>
      <c r="G26" s="11"/>
      <c r="H26" s="9"/>
      <c r="I26" s="9"/>
      <c r="J26" s="9"/>
      <c r="K26" s="9">
        <f t="shared" ref="K26" si="4">D26+E26-F26</f>
        <v>178</v>
      </c>
      <c r="L26" s="9">
        <v>178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VLOOKUP($B27,'1604'!$B27:$M30,11,0)</f>
        <v>65</v>
      </c>
      <c r="E27" s="9">
        <v>58</v>
      </c>
      <c r="F27" s="9">
        <v>27</v>
      </c>
      <c r="G27" s="11"/>
      <c r="H27" s="9"/>
      <c r="I27" s="9"/>
      <c r="J27" s="9"/>
      <c r="K27" s="9">
        <f>D27+E27-F27</f>
        <v>96</v>
      </c>
      <c r="L27" s="9">
        <v>96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VLOOKUP($B28,'1604'!$B28:$M31,11,0)</f>
        <v>340</v>
      </c>
      <c r="E28" s="9">
        <v>312</v>
      </c>
      <c r="F28" s="9">
        <v>264</v>
      </c>
      <c r="G28" s="11"/>
      <c r="H28" s="9"/>
      <c r="I28" s="9"/>
      <c r="J28" s="9"/>
      <c r="K28" s="9">
        <f>D28+E28-F28</f>
        <v>388</v>
      </c>
      <c r="L28" s="9">
        <v>388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VLOOKUP($B29,'1604'!$B29:$M32,11,0)</f>
        <v>89</v>
      </c>
      <c r="E29" s="9">
        <v>96</v>
      </c>
      <c r="F29" s="9">
        <v>89</v>
      </c>
      <c r="G29" s="11"/>
      <c r="H29" s="9"/>
      <c r="I29" s="9"/>
      <c r="J29" s="9"/>
      <c r="K29" s="9">
        <f>D29+E29-F29</f>
        <v>96</v>
      </c>
      <c r="L29" s="9">
        <v>96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DATE(2015,9,16)</f>
        <v>42263</v>
      </c>
      <c r="E5" s="293">
        <f>D5+1</f>
        <v>42264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65"/>
      <c r="M6" s="165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52</v>
      </c>
      <c r="H7" s="5" t="s">
        <v>51</v>
      </c>
      <c r="I7" s="5" t="s">
        <v>71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'1609'!O8</f>
        <v>633</v>
      </c>
      <c r="E8" s="10">
        <f>84+88</f>
        <v>172</v>
      </c>
      <c r="F8" s="11">
        <v>65</v>
      </c>
      <c r="G8" s="11">
        <v>197</v>
      </c>
      <c r="H8" s="11">
        <v>140</v>
      </c>
      <c r="I8" s="11"/>
      <c r="J8" s="11"/>
      <c r="K8" s="11"/>
      <c r="L8" s="11"/>
      <c r="M8" s="11"/>
      <c r="N8" s="9">
        <f t="shared" ref="N8:N24" si="0">D8+E8-SUM(F8:M8)</f>
        <v>403</v>
      </c>
      <c r="O8" s="9">
        <v>403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'1609'!O9</f>
        <v>287</v>
      </c>
      <c r="E9" s="14">
        <f>81+74</f>
        <v>155</v>
      </c>
      <c r="F9" s="11"/>
      <c r="G9" s="11">
        <v>80</v>
      </c>
      <c r="H9" s="11">
        <v>96</v>
      </c>
      <c r="I9" s="11"/>
      <c r="J9" s="11"/>
      <c r="K9" s="11"/>
      <c r="L9" s="11"/>
      <c r="M9" s="11"/>
      <c r="N9" s="9">
        <f t="shared" si="0"/>
        <v>266</v>
      </c>
      <c r="O9" s="9">
        <f>101+E9</f>
        <v>256</v>
      </c>
      <c r="P9" s="9">
        <f t="shared" si="1"/>
        <v>-10</v>
      </c>
    </row>
    <row r="10" spans="1:16" ht="18.75">
      <c r="A10" s="6">
        <v>3</v>
      </c>
      <c r="B10" s="12" t="s">
        <v>15</v>
      </c>
      <c r="C10" s="8" t="s">
        <v>13</v>
      </c>
      <c r="D10" s="9">
        <f>'1609'!O10</f>
        <v>307</v>
      </c>
      <c r="E10" s="10">
        <v>139</v>
      </c>
      <c r="F10" s="11">
        <v>8</v>
      </c>
      <c r="G10" s="11">
        <v>150</v>
      </c>
      <c r="H10" s="11"/>
      <c r="I10" s="11"/>
      <c r="J10" s="11"/>
      <c r="K10" s="11"/>
      <c r="L10" s="11"/>
      <c r="M10" s="11"/>
      <c r="N10" s="9">
        <f t="shared" si="0"/>
        <v>288</v>
      </c>
      <c r="O10" s="9">
        <f>149+E10</f>
        <v>288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'1609'!O11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'1609'!O12</f>
        <v>494</v>
      </c>
      <c r="E12" s="14">
        <v>125</v>
      </c>
      <c r="F12" s="11">
        <v>21</v>
      </c>
      <c r="G12" s="11">
        <v>150</v>
      </c>
      <c r="H12" s="11">
        <v>40</v>
      </c>
      <c r="I12" s="11"/>
      <c r="J12" s="11"/>
      <c r="K12" s="11"/>
      <c r="L12" s="11"/>
      <c r="M12" s="11"/>
      <c r="N12" s="9">
        <f t="shared" si="0"/>
        <v>408</v>
      </c>
      <c r="O12" s="9">
        <f>139+144+E12</f>
        <v>408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'1609'!O13</f>
        <v>345</v>
      </c>
      <c r="E13" s="14">
        <v>114</v>
      </c>
      <c r="F13" s="11">
        <v>18</v>
      </c>
      <c r="G13" s="11">
        <v>97</v>
      </c>
      <c r="H13" s="11">
        <v>60</v>
      </c>
      <c r="I13" s="11"/>
      <c r="J13" s="11"/>
      <c r="K13" s="11"/>
      <c r="L13" s="11"/>
      <c r="M13" s="11"/>
      <c r="N13" s="9">
        <f t="shared" si="0"/>
        <v>284</v>
      </c>
      <c r="O13" s="9">
        <f>30+140+E13</f>
        <v>284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'1609'!O14</f>
        <v>4</v>
      </c>
      <c r="E14" s="14"/>
      <c r="F14" s="11"/>
      <c r="G14" s="11"/>
      <c r="H14" s="11">
        <v>2</v>
      </c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'1609'!O15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'1609'!O16</f>
        <v>11</v>
      </c>
      <c r="E16" s="14">
        <v>2</v>
      </c>
      <c r="F16" s="11">
        <v>1</v>
      </c>
      <c r="G16" s="11">
        <v>1</v>
      </c>
      <c r="H16" s="11">
        <v>2</v>
      </c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'1609'!O17</f>
        <v>5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5</v>
      </c>
      <c r="O17" s="9">
        <v>5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'1609'!O18</f>
        <v>0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'1609'!O19</f>
        <v>3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'1609'!O20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'1609'!O21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'1609'!O22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'1609'!O23</f>
        <v>222</v>
      </c>
      <c r="E23" s="14"/>
      <c r="F23" s="9"/>
      <c r="G23" s="9"/>
      <c r="H23" s="9"/>
      <c r="I23" s="9">
        <v>222</v>
      </c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'1609'!O24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'1609'!O26</f>
        <v>216</v>
      </c>
      <c r="E26" s="10">
        <v>72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188</v>
      </c>
      <c r="O26" s="9">
        <v>188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'1609'!O27</f>
        <v>112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102</v>
      </c>
      <c r="O27" s="9">
        <v>102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'1609'!O28</f>
        <v>337</v>
      </c>
      <c r="E28" s="9">
        <v>159</v>
      </c>
      <c r="F28" s="9">
        <v>161</v>
      </c>
      <c r="G28" s="11"/>
      <c r="H28" s="9"/>
      <c r="I28" s="9"/>
      <c r="J28" s="9"/>
      <c r="K28" s="9"/>
      <c r="L28" s="9"/>
      <c r="M28" s="9"/>
      <c r="N28" s="9">
        <f>D28+E28-SUM(F28:M28)</f>
        <v>335</v>
      </c>
      <c r="O28" s="9">
        <v>335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'1609'!O29</f>
        <v>116</v>
      </c>
      <c r="E29" s="9">
        <f>85+90</f>
        <v>175</v>
      </c>
      <c r="F29" s="9">
        <v>60</v>
      </c>
      <c r="G29" s="11"/>
      <c r="H29" s="9"/>
      <c r="I29" s="9"/>
      <c r="J29" s="9"/>
      <c r="K29" s="9"/>
      <c r="L29" s="9"/>
      <c r="M29" s="9"/>
      <c r="N29" s="9">
        <f>D29+E29-SUM(F29:M29)</f>
        <v>231</v>
      </c>
      <c r="O29" s="9">
        <v>231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DATE(2015,9,17)</f>
        <v>42264</v>
      </c>
      <c r="E5" s="293">
        <f>D5+1</f>
        <v>42265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66"/>
      <c r="M6" s="166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49</v>
      </c>
      <c r="H7" s="5" t="s">
        <v>77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'1709'!O8</f>
        <v>403</v>
      </c>
      <c r="E8" s="10">
        <f>95+68</f>
        <v>163</v>
      </c>
      <c r="F8" s="11">
        <v>80</v>
      </c>
      <c r="G8" s="11">
        <v>100</v>
      </c>
      <c r="H8" s="11">
        <v>200</v>
      </c>
      <c r="I8" s="11"/>
      <c r="J8" s="11"/>
      <c r="K8" s="11"/>
      <c r="L8" s="11"/>
      <c r="M8" s="11"/>
      <c r="N8" s="9">
        <f t="shared" ref="N8:N24" si="0">D8+E8-SUM(F8:M8)</f>
        <v>186</v>
      </c>
      <c r="O8" s="9">
        <f>23+E8</f>
        <v>186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'1709'!O9</f>
        <v>256</v>
      </c>
      <c r="E9" s="14"/>
      <c r="F9" s="11"/>
      <c r="G9" s="11">
        <v>76</v>
      </c>
      <c r="H9" s="11">
        <v>100</v>
      </c>
      <c r="I9" s="11"/>
      <c r="J9" s="11"/>
      <c r="K9" s="11"/>
      <c r="L9" s="11"/>
      <c r="M9" s="11"/>
      <c r="N9" s="9">
        <f t="shared" si="0"/>
        <v>80</v>
      </c>
      <c r="O9" s="9">
        <v>80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'1709'!O10</f>
        <v>288</v>
      </c>
      <c r="E10" s="10">
        <v>597</v>
      </c>
      <c r="F10" s="11">
        <f>555</f>
        <v>555</v>
      </c>
      <c r="G10" s="11">
        <v>80</v>
      </c>
      <c r="H10" s="11">
        <v>129</v>
      </c>
      <c r="I10" s="11"/>
      <c r="J10" s="11"/>
      <c r="K10" s="11"/>
      <c r="L10" s="11"/>
      <c r="M10" s="11"/>
      <c r="N10" s="9">
        <f t="shared" si="0"/>
        <v>121</v>
      </c>
      <c r="O10" s="9">
        <v>121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'1709'!O11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'1709'!O12</f>
        <v>408</v>
      </c>
      <c r="E12" s="14"/>
      <c r="F12" s="11">
        <v>8</v>
      </c>
      <c r="G12" s="11">
        <v>80</v>
      </c>
      <c r="H12" s="11">
        <v>160</v>
      </c>
      <c r="I12" s="11"/>
      <c r="J12" s="11"/>
      <c r="K12" s="11"/>
      <c r="L12" s="11"/>
      <c r="M12" s="11"/>
      <c r="N12" s="9">
        <f t="shared" si="0"/>
        <v>160</v>
      </c>
      <c r="O12" s="9">
        <f>106+54+E12</f>
        <v>160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'1709'!O13</f>
        <v>284</v>
      </c>
      <c r="E13" s="14"/>
      <c r="F13" s="11">
        <v>10</v>
      </c>
      <c r="G13" s="11">
        <v>80</v>
      </c>
      <c r="H13" s="11"/>
      <c r="I13" s="11"/>
      <c r="J13" s="11"/>
      <c r="K13" s="11"/>
      <c r="L13" s="11"/>
      <c r="M13" s="11"/>
      <c r="N13" s="9">
        <f t="shared" si="0"/>
        <v>194</v>
      </c>
      <c r="O13" s="9">
        <f>130+64+E13</f>
        <v>194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'1709'!O14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'1709'!O15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'1709'!O16</f>
        <v>9</v>
      </c>
      <c r="E16" s="14"/>
      <c r="F16" s="11"/>
      <c r="G16" s="11">
        <v>2</v>
      </c>
      <c r="H16" s="11">
        <v>4</v>
      </c>
      <c r="I16" s="11"/>
      <c r="J16" s="11"/>
      <c r="K16" s="11"/>
      <c r="L16" s="11"/>
      <c r="M16" s="11"/>
      <c r="N16" s="9">
        <f t="shared" si="0"/>
        <v>3</v>
      </c>
      <c r="O16" s="9">
        <v>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'1709'!O17</f>
        <v>5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4</v>
      </c>
      <c r="O17" s="9">
        <v>4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'1709'!O18</f>
        <v>2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'1709'!O19</f>
        <v>3</v>
      </c>
      <c r="E19" s="14"/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'1709'!O20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'1709'!O21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'1709'!O22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'1709'!O23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'1709'!O24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'1709'!O26</f>
        <v>188</v>
      </c>
      <c r="E26" s="10">
        <v>131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229</v>
      </c>
      <c r="O26" s="9">
        <v>229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'1709'!O27</f>
        <v>102</v>
      </c>
      <c r="E27" s="9"/>
      <c r="F27" s="9">
        <v>20</v>
      </c>
      <c r="G27" s="11"/>
      <c r="H27" s="9"/>
      <c r="I27" s="9"/>
      <c r="J27" s="9"/>
      <c r="K27" s="9"/>
      <c r="L27" s="9"/>
      <c r="M27" s="9"/>
      <c r="N27" s="9">
        <f>D27+E27-SUM(F27:M27)</f>
        <v>82</v>
      </c>
      <c r="O27" s="9">
        <v>82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'1709'!O28</f>
        <v>335</v>
      </c>
      <c r="E28" s="9"/>
      <c r="F28" s="9">
        <v>97</v>
      </c>
      <c r="G28" s="11"/>
      <c r="H28" s="9"/>
      <c r="I28" s="9"/>
      <c r="J28" s="9"/>
      <c r="K28" s="9"/>
      <c r="L28" s="9"/>
      <c r="M28" s="9"/>
      <c r="N28" s="9">
        <f>D28+E28-SUM(F28:M28)</f>
        <v>238</v>
      </c>
      <c r="O28" s="9">
        <v>238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'1709'!O29</f>
        <v>231</v>
      </c>
      <c r="E29" s="9"/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161</v>
      </c>
      <c r="O29" s="9">
        <v>161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DATE(2015,9,18)</f>
        <v>42265</v>
      </c>
      <c r="E5" s="293">
        <f>D5+1</f>
        <v>42266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67"/>
      <c r="M6" s="167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81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'1809'!O8</f>
        <v>186</v>
      </c>
      <c r="E8" s="10">
        <f>83+89</f>
        <v>172</v>
      </c>
      <c r="F8" s="11">
        <v>60</v>
      </c>
      <c r="G8" s="11">
        <v>80</v>
      </c>
      <c r="H8" s="11"/>
      <c r="I8" s="11"/>
      <c r="J8" s="11"/>
      <c r="K8" s="11"/>
      <c r="L8" s="11"/>
      <c r="M8" s="11"/>
      <c r="N8" s="9">
        <f t="shared" ref="N8:N24" si="0">D8+E8-SUM(F8:M8)</f>
        <v>218</v>
      </c>
      <c r="O8" s="9">
        <f>46+E8</f>
        <v>218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'1809'!O9</f>
        <v>80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80</v>
      </c>
      <c r="O9" s="9">
        <v>80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'1809'!O10</f>
        <v>121</v>
      </c>
      <c r="E10" s="10">
        <v>140</v>
      </c>
      <c r="F10" s="11"/>
      <c r="G10" s="11">
        <v>64</v>
      </c>
      <c r="H10" s="11"/>
      <c r="I10" s="11"/>
      <c r="J10" s="11"/>
      <c r="K10" s="11"/>
      <c r="L10" s="11"/>
      <c r="M10" s="11"/>
      <c r="N10" s="9">
        <f t="shared" si="0"/>
        <v>197</v>
      </c>
      <c r="O10" s="9">
        <f>81+116</f>
        <v>197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'1809'!O11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'1809'!O12</f>
        <v>160</v>
      </c>
      <c r="E12" s="14">
        <v>173</v>
      </c>
      <c r="F12" s="11">
        <v>20</v>
      </c>
      <c r="G12" s="11">
        <v>54</v>
      </c>
      <c r="H12" s="11"/>
      <c r="I12" s="11"/>
      <c r="J12" s="11"/>
      <c r="K12" s="11"/>
      <c r="L12" s="11"/>
      <c r="M12" s="11"/>
      <c r="N12" s="9">
        <f t="shared" si="0"/>
        <v>259</v>
      </c>
      <c r="O12" s="9">
        <f>86+E12</f>
        <v>259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'1809'!O13</f>
        <v>194</v>
      </c>
      <c r="E13" s="14"/>
      <c r="F13" s="11">
        <v>20</v>
      </c>
      <c r="G13" s="11">
        <v>60</v>
      </c>
      <c r="H13" s="11"/>
      <c r="I13" s="11"/>
      <c r="J13" s="11"/>
      <c r="K13" s="11"/>
      <c r="L13" s="11"/>
      <c r="M13" s="11"/>
      <c r="N13" s="9">
        <f t="shared" si="0"/>
        <v>114</v>
      </c>
      <c r="O13" s="9">
        <f>114+E13</f>
        <v>114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'1809'!O14</f>
        <v>2</v>
      </c>
      <c r="E14" s="14"/>
      <c r="F14" s="11"/>
      <c r="G14" s="11">
        <v>1</v>
      </c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'1809'!O15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'1809'!O16</f>
        <v>3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'1809'!O17</f>
        <v>4</v>
      </c>
      <c r="E17" s="14"/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'1809'!O18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'1809'!O19</f>
        <v>1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'1809'!O20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'1809'!O21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'1809'!O22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'1809'!O23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'1809'!O24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'1809'!O26</f>
        <v>229</v>
      </c>
      <c r="E26" s="10">
        <v>137</v>
      </c>
      <c r="F26" s="9">
        <v>80</v>
      </c>
      <c r="G26" s="11"/>
      <c r="H26" s="9"/>
      <c r="I26" s="9"/>
      <c r="J26" s="9"/>
      <c r="K26" s="9"/>
      <c r="L26" s="9"/>
      <c r="M26" s="9"/>
      <c r="N26" s="9">
        <f>D26+E26-SUM(F26:M26)</f>
        <v>286</v>
      </c>
      <c r="O26" s="9">
        <v>286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'1809'!O27</f>
        <v>82</v>
      </c>
      <c r="E27" s="9"/>
      <c r="F27" s="9">
        <v>20</v>
      </c>
      <c r="G27" s="11"/>
      <c r="H27" s="9"/>
      <c r="I27" s="9"/>
      <c r="J27" s="9"/>
      <c r="K27" s="9"/>
      <c r="L27" s="9"/>
      <c r="M27" s="9"/>
      <c r="N27" s="9">
        <f>D27+E27-SUM(F27:M27)</f>
        <v>62</v>
      </c>
      <c r="O27" s="9">
        <v>62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'1809'!O28</f>
        <v>238</v>
      </c>
      <c r="E28" s="9">
        <v>143</v>
      </c>
      <c r="F28" s="9">
        <v>113</v>
      </c>
      <c r="G28" s="11"/>
      <c r="H28" s="9"/>
      <c r="I28" s="9"/>
      <c r="J28" s="9"/>
      <c r="K28" s="9"/>
      <c r="L28" s="9"/>
      <c r="M28" s="9"/>
      <c r="N28" s="9">
        <f>D28+E28-SUM(F28:M28)</f>
        <v>268</v>
      </c>
      <c r="O28" s="9">
        <v>268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'1809'!O29</f>
        <v>161</v>
      </c>
      <c r="E29" s="9"/>
      <c r="F29" s="9">
        <v>76</v>
      </c>
      <c r="G29" s="11"/>
      <c r="H29" s="9"/>
      <c r="I29" s="9"/>
      <c r="J29" s="9"/>
      <c r="K29" s="9"/>
      <c r="L29" s="9"/>
      <c r="M29" s="9"/>
      <c r="N29" s="9">
        <f>D29+E29-SUM(F29:M29)</f>
        <v>85</v>
      </c>
      <c r="O29" s="9">
        <v>85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2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DATE(2015,9,19)</f>
        <v>42266</v>
      </c>
      <c r="E5" s="293">
        <f>D5+1</f>
        <v>42267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68"/>
      <c r="M6" s="168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38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'1909'!O8</f>
        <v>218</v>
      </c>
      <c r="E8" s="10">
        <f>102+140+99</f>
        <v>341</v>
      </c>
      <c r="F8" s="11">
        <v>60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499</v>
      </c>
      <c r="O8" s="9">
        <f>47+34+77+E8</f>
        <v>499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'1909'!O9</f>
        <v>80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80</v>
      </c>
      <c r="O9" s="9">
        <v>80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'1909'!O10</f>
        <v>197</v>
      </c>
      <c r="E10" s="10">
        <v>170</v>
      </c>
      <c r="F10" s="11">
        <v>15</v>
      </c>
      <c r="G10" s="11">
        <v>20</v>
      </c>
      <c r="H10" s="11"/>
      <c r="I10" s="11"/>
      <c r="J10" s="11"/>
      <c r="K10" s="11"/>
      <c r="L10" s="11"/>
      <c r="M10" s="11"/>
      <c r="N10" s="9">
        <f t="shared" si="0"/>
        <v>332</v>
      </c>
      <c r="O10" s="9">
        <f>50+112+E10</f>
        <v>332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'1909'!O11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'1909'!O12</f>
        <v>259</v>
      </c>
      <c r="E12" s="14">
        <v>130</v>
      </c>
      <c r="F12" s="11">
        <v>20</v>
      </c>
      <c r="G12" s="11"/>
      <c r="H12" s="11"/>
      <c r="I12" s="11"/>
      <c r="J12" s="11"/>
      <c r="K12" s="11"/>
      <c r="L12" s="11"/>
      <c r="M12" s="11"/>
      <c r="N12" s="9">
        <f t="shared" si="0"/>
        <v>369</v>
      </c>
      <c r="O12" s="9">
        <f>66+173+E12</f>
        <v>369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'1909'!O13</f>
        <v>114</v>
      </c>
      <c r="E13" s="14">
        <v>118</v>
      </c>
      <c r="F13" s="11">
        <v>20</v>
      </c>
      <c r="G13" s="11"/>
      <c r="H13" s="11"/>
      <c r="I13" s="11"/>
      <c r="J13" s="11"/>
      <c r="K13" s="11"/>
      <c r="L13" s="11"/>
      <c r="M13" s="11"/>
      <c r="N13" s="9">
        <f t="shared" si="0"/>
        <v>212</v>
      </c>
      <c r="O13" s="9">
        <f>94+E13</f>
        <v>212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'1909'!O14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'1909'!O15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'1909'!O16</f>
        <v>5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'1909'!O17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'1909'!O18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'1909'!O19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'1909'!O20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'1909'!O21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'1909'!O22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'1909'!O23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'1909'!O24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'1909'!O26</f>
        <v>286</v>
      </c>
      <c r="E26" s="10">
        <v>70</v>
      </c>
      <c r="F26" s="9">
        <v>161</v>
      </c>
      <c r="G26" s="11"/>
      <c r="H26" s="9"/>
      <c r="I26" s="9"/>
      <c r="J26" s="9"/>
      <c r="K26" s="9"/>
      <c r="L26" s="9"/>
      <c r="M26" s="9"/>
      <c r="N26" s="9">
        <f>D26+E26-SUM(F26:M26)</f>
        <v>195</v>
      </c>
      <c r="O26" s="9">
        <v>195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'1909'!O27</f>
        <v>62</v>
      </c>
      <c r="E27" s="9">
        <v>64</v>
      </c>
      <c r="F27" s="9">
        <v>20</v>
      </c>
      <c r="G27" s="11"/>
      <c r="H27" s="9"/>
      <c r="I27" s="9"/>
      <c r="J27" s="9"/>
      <c r="K27" s="9"/>
      <c r="L27" s="9"/>
      <c r="M27" s="9"/>
      <c r="N27" s="9">
        <f>D27+E27-SUM(F27:M27)</f>
        <v>106</v>
      </c>
      <c r="O27" s="9">
        <v>106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'1909'!O28</f>
        <v>268</v>
      </c>
      <c r="E28" s="9">
        <v>155</v>
      </c>
      <c r="F28" s="9">
        <v>132</v>
      </c>
      <c r="G28" s="11"/>
      <c r="H28" s="9"/>
      <c r="I28" s="9"/>
      <c r="J28" s="9"/>
      <c r="K28" s="9"/>
      <c r="L28" s="9"/>
      <c r="M28" s="9"/>
      <c r="N28" s="9">
        <f>D28+E28-SUM(F28:M28)</f>
        <v>291</v>
      </c>
      <c r="O28" s="9">
        <v>291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'1909'!O29</f>
        <v>85</v>
      </c>
      <c r="E29" s="9">
        <v>72</v>
      </c>
      <c r="F29" s="9">
        <v>44</v>
      </c>
      <c r="G29" s="11"/>
      <c r="H29" s="9"/>
      <c r="I29" s="9"/>
      <c r="J29" s="9"/>
      <c r="K29" s="9"/>
      <c r="L29" s="9"/>
      <c r="M29" s="9"/>
      <c r="N29" s="9">
        <f>D29+E29-SUM(F29:M29)</f>
        <v>113</v>
      </c>
      <c r="O29" s="9">
        <v>113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DATE(2015,9,20)</f>
        <v>42267</v>
      </c>
      <c r="E5" s="293">
        <f>D5+1</f>
        <v>42268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68"/>
      <c r="M6" s="168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80</v>
      </c>
      <c r="H7" s="5" t="s">
        <v>62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'2009'!O8</f>
        <v>499</v>
      </c>
      <c r="E8" s="10"/>
      <c r="F8" s="11">
        <v>81</v>
      </c>
      <c r="G8" s="11">
        <v>70</v>
      </c>
      <c r="H8" s="11">
        <v>37</v>
      </c>
      <c r="I8" s="11"/>
      <c r="J8" s="11"/>
      <c r="K8" s="11"/>
      <c r="L8" s="11"/>
      <c r="M8" s="11"/>
      <c r="N8" s="9">
        <f t="shared" ref="N8:N24" si="0">D8+E8-SUM(F8:M8)</f>
        <v>311</v>
      </c>
      <c r="O8" s="9">
        <f>25+86+125+E8+75</f>
        <v>311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'2009'!O9</f>
        <v>80</v>
      </c>
      <c r="E9" s="14">
        <f>95+92+40+65</f>
        <v>292</v>
      </c>
      <c r="F9" s="11"/>
      <c r="G9" s="11">
        <v>70</v>
      </c>
      <c r="H9" s="11">
        <v>10</v>
      </c>
      <c r="I9" s="11"/>
      <c r="J9" s="11"/>
      <c r="K9" s="11"/>
      <c r="L9" s="11"/>
      <c r="M9" s="11"/>
      <c r="N9" s="9">
        <f t="shared" si="0"/>
        <v>292</v>
      </c>
      <c r="O9" s="9">
        <f>E9</f>
        <v>292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'2009'!O10</f>
        <v>332</v>
      </c>
      <c r="E10" s="10">
        <v>128</v>
      </c>
      <c r="F10" s="11">
        <v>10</v>
      </c>
      <c r="G10" s="11">
        <v>70</v>
      </c>
      <c r="H10" s="11">
        <v>50</v>
      </c>
      <c r="I10" s="11"/>
      <c r="J10" s="11"/>
      <c r="K10" s="11"/>
      <c r="L10" s="11"/>
      <c r="M10" s="11"/>
      <c r="N10" s="9">
        <f t="shared" si="0"/>
        <v>330</v>
      </c>
      <c r="O10" s="9">
        <f>120+82+E10</f>
        <v>330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'2009'!O11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'2009'!O12</f>
        <v>369</v>
      </c>
      <c r="E12" s="14">
        <v>162</v>
      </c>
      <c r="F12" s="11">
        <v>20</v>
      </c>
      <c r="G12" s="11">
        <v>70</v>
      </c>
      <c r="H12" s="11">
        <v>40</v>
      </c>
      <c r="I12" s="11"/>
      <c r="J12" s="11"/>
      <c r="K12" s="11"/>
      <c r="L12" s="11"/>
      <c r="M12" s="11"/>
      <c r="N12" s="9">
        <f t="shared" si="0"/>
        <v>401</v>
      </c>
      <c r="O12" s="9">
        <f>130+109+E12</f>
        <v>401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'2009'!O13</f>
        <v>212</v>
      </c>
      <c r="E13" s="14">
        <v>117</v>
      </c>
      <c r="F13" s="11"/>
      <c r="G13" s="11">
        <v>70</v>
      </c>
      <c r="H13" s="11">
        <v>54</v>
      </c>
      <c r="I13" s="11"/>
      <c r="J13" s="11"/>
      <c r="K13" s="11"/>
      <c r="L13" s="11"/>
      <c r="M13" s="11"/>
      <c r="N13" s="9">
        <f t="shared" si="0"/>
        <v>205</v>
      </c>
      <c r="O13" s="9">
        <f>88+E13</f>
        <v>205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'2009'!O14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'2009'!O15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'2009'!O16</f>
        <v>7</v>
      </c>
      <c r="E16" s="14">
        <v>3</v>
      </c>
      <c r="F16" s="11"/>
      <c r="G16" s="11">
        <v>2</v>
      </c>
      <c r="H16" s="11">
        <v>1</v>
      </c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'2009'!O17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'2009'!O18</f>
        <v>1</v>
      </c>
      <c r="E18" s="14">
        <v>3</v>
      </c>
      <c r="F18" s="11"/>
      <c r="G18" s="11"/>
      <c r="H18" s="11">
        <v>1</v>
      </c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'2009'!O19</f>
        <v>2</v>
      </c>
      <c r="E19" s="14"/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'2009'!O20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'2009'!O21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'2009'!O22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'2009'!O23</f>
        <v>0</v>
      </c>
      <c r="E23" s="14">
        <v>48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48</v>
      </c>
      <c r="O23" s="9">
        <v>48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'2009'!O24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'2009'!O26</f>
        <v>195</v>
      </c>
      <c r="E26" s="10">
        <v>131</v>
      </c>
      <c r="F26" s="9">
        <v>69</v>
      </c>
      <c r="G26" s="11"/>
      <c r="H26" s="9"/>
      <c r="I26" s="9"/>
      <c r="J26" s="9"/>
      <c r="K26" s="9"/>
      <c r="L26" s="9"/>
      <c r="M26" s="9"/>
      <c r="N26" s="9">
        <f>D26+E26-SUM(F26:M26)</f>
        <v>257</v>
      </c>
      <c r="O26" s="9">
        <v>257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'2009'!O27</f>
        <v>106</v>
      </c>
      <c r="E27" s="9">
        <v>61</v>
      </c>
      <c r="F27" s="9">
        <v>55</v>
      </c>
      <c r="G27" s="11"/>
      <c r="H27" s="9"/>
      <c r="I27" s="9"/>
      <c r="J27" s="9"/>
      <c r="K27" s="9"/>
      <c r="L27" s="9"/>
      <c r="M27" s="9"/>
      <c r="N27" s="9">
        <f>D27+E27-SUM(F27:M27)</f>
        <v>112</v>
      </c>
      <c r="O27" s="9">
        <v>112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'2009'!O28</f>
        <v>291</v>
      </c>
      <c r="E28" s="9">
        <v>76</v>
      </c>
      <c r="F28" s="9">
        <v>111</v>
      </c>
      <c r="G28" s="11"/>
      <c r="H28" s="9"/>
      <c r="I28" s="9"/>
      <c r="J28" s="9"/>
      <c r="K28" s="9"/>
      <c r="L28" s="9"/>
      <c r="M28" s="9"/>
      <c r="N28" s="9">
        <f>D28+E28-SUM(F28:M28)</f>
        <v>256</v>
      </c>
      <c r="O28" s="9">
        <v>256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'2009'!O29</f>
        <v>113</v>
      </c>
      <c r="E29" s="9">
        <v>88</v>
      </c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131</v>
      </c>
      <c r="O29" s="9">
        <v>131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DATE(2015,9,21)</f>
        <v>42268</v>
      </c>
      <c r="E5" s="293">
        <f>D5+1</f>
        <v>42269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69"/>
      <c r="M6" s="169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54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'2109'!O8</f>
        <v>311</v>
      </c>
      <c r="E8" s="10">
        <v>202</v>
      </c>
      <c r="F8" s="11">
        <v>65</v>
      </c>
      <c r="G8" s="11">
        <v>51</v>
      </c>
      <c r="H8" s="11"/>
      <c r="I8" s="11"/>
      <c r="J8" s="11"/>
      <c r="K8" s="11"/>
      <c r="L8" s="11"/>
      <c r="M8" s="11"/>
      <c r="N8" s="9">
        <f t="shared" ref="N8:N24" si="0">D8+E8-SUM(F8:M8)</f>
        <v>397</v>
      </c>
      <c r="O8" s="9">
        <f>125+70+E8</f>
        <v>397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'2109'!O9</f>
        <v>292</v>
      </c>
      <c r="E9" s="14"/>
      <c r="F9" s="11"/>
      <c r="G9" s="11">
        <v>30</v>
      </c>
      <c r="H9" s="11"/>
      <c r="I9" s="11"/>
      <c r="J9" s="11"/>
      <c r="K9" s="11"/>
      <c r="L9" s="11"/>
      <c r="M9" s="11"/>
      <c r="N9" s="9">
        <f t="shared" si="0"/>
        <v>262</v>
      </c>
      <c r="O9" s="9">
        <f>140+122+E9</f>
        <v>262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'2109'!O10</f>
        <v>330</v>
      </c>
      <c r="E10" s="10">
        <v>119</v>
      </c>
      <c r="F10" s="11">
        <v>20</v>
      </c>
      <c r="G10" s="11">
        <v>32</v>
      </c>
      <c r="H10" s="11"/>
      <c r="I10" s="11"/>
      <c r="J10" s="11"/>
      <c r="K10" s="11"/>
      <c r="L10" s="11"/>
      <c r="M10" s="11"/>
      <c r="N10" s="9">
        <f t="shared" si="0"/>
        <v>397</v>
      </c>
      <c r="O10" s="9">
        <f>150+128+E10</f>
        <v>397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'2109'!O11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'2109'!O12</f>
        <v>401</v>
      </c>
      <c r="E12" s="14">
        <v>123</v>
      </c>
      <c r="F12" s="11">
        <v>22</v>
      </c>
      <c r="G12" s="11">
        <v>39</v>
      </c>
      <c r="H12" s="11"/>
      <c r="I12" s="11"/>
      <c r="J12" s="11"/>
      <c r="K12" s="11"/>
      <c r="L12" s="11"/>
      <c r="M12" s="11"/>
      <c r="N12" s="9">
        <f t="shared" si="0"/>
        <v>463</v>
      </c>
      <c r="O12" s="9">
        <f>130+50+160+E12</f>
        <v>463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'2109'!O13</f>
        <v>205</v>
      </c>
      <c r="E13" s="14">
        <v>149</v>
      </c>
      <c r="F13" s="11">
        <v>5</v>
      </c>
      <c r="G13" s="11">
        <v>48</v>
      </c>
      <c r="H13" s="11"/>
      <c r="I13" s="11"/>
      <c r="J13" s="11"/>
      <c r="K13" s="11"/>
      <c r="L13" s="11"/>
      <c r="M13" s="11"/>
      <c r="N13" s="9">
        <f t="shared" si="0"/>
        <v>301</v>
      </c>
      <c r="O13" s="9">
        <f>140+12+E13</f>
        <v>301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'2109'!O14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'2109'!O15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'2109'!O16</f>
        <v>7</v>
      </c>
      <c r="E16" s="14">
        <v>4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'2109'!O17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'2109'!O18</f>
        <v>3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'2109'!O19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'2109'!O20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'2109'!O21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'2109'!O22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'2109'!O23</f>
        <v>48</v>
      </c>
      <c r="E23" s="14">
        <f>32+20</f>
        <v>52</v>
      </c>
      <c r="F23" s="9">
        <v>22</v>
      </c>
      <c r="G23" s="9"/>
      <c r="H23" s="9"/>
      <c r="I23" s="9"/>
      <c r="J23" s="9"/>
      <c r="K23" s="9"/>
      <c r="L23" s="9"/>
      <c r="M23" s="9"/>
      <c r="N23" s="9">
        <f t="shared" si="0"/>
        <v>78</v>
      </c>
      <c r="O23" s="9">
        <v>78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'2109'!O24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'2109'!O26</f>
        <v>257</v>
      </c>
      <c r="E26" s="10">
        <v>32</v>
      </c>
      <c r="F26" s="9">
        <v>105</v>
      </c>
      <c r="G26" s="11"/>
      <c r="H26" s="9"/>
      <c r="I26" s="9"/>
      <c r="J26" s="9"/>
      <c r="K26" s="9"/>
      <c r="L26" s="9"/>
      <c r="M26" s="9"/>
      <c r="N26" s="9">
        <f>D26+E26-SUM(F26:M26)</f>
        <v>184</v>
      </c>
      <c r="O26" s="9">
        <v>184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'2109'!O27</f>
        <v>112</v>
      </c>
      <c r="E27" s="9"/>
      <c r="F27" s="9">
        <v>11</v>
      </c>
      <c r="G27" s="11"/>
      <c r="H27" s="9"/>
      <c r="I27" s="9"/>
      <c r="J27" s="9"/>
      <c r="K27" s="9"/>
      <c r="L27" s="9"/>
      <c r="M27" s="9"/>
      <c r="N27" s="9">
        <f>D27+E27-SUM(F27:M27)</f>
        <v>101</v>
      </c>
      <c r="O27" s="9">
        <v>101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'2109'!O28</f>
        <v>256</v>
      </c>
      <c r="E28" s="9">
        <v>147</v>
      </c>
      <c r="F28" s="9">
        <v>120</v>
      </c>
      <c r="G28" s="11"/>
      <c r="H28" s="9"/>
      <c r="I28" s="9"/>
      <c r="J28" s="9"/>
      <c r="K28" s="9"/>
      <c r="L28" s="9"/>
      <c r="M28" s="9"/>
      <c r="N28" s="9">
        <f>D28+E28-SUM(F28:M28)</f>
        <v>283</v>
      </c>
      <c r="O28" s="9">
        <v>283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'2109'!O29</f>
        <v>131</v>
      </c>
      <c r="E29" s="9">
        <v>90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166</v>
      </c>
      <c r="O29" s="9">
        <v>166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9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DATE(2015,9,22)</f>
        <v>42269</v>
      </c>
      <c r="E5" s="293">
        <f>D5+1</f>
        <v>42270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70"/>
      <c r="M6" s="170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39</v>
      </c>
      <c r="H7" s="5" t="s">
        <v>40</v>
      </c>
      <c r="I7" s="5" t="s">
        <v>38</v>
      </c>
      <c r="J7" s="5" t="s">
        <v>62</v>
      </c>
      <c r="K7" s="5" t="s">
        <v>71</v>
      </c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'2209'!O8</f>
        <v>397</v>
      </c>
      <c r="E8" s="10">
        <f>87+57+106</f>
        <v>250</v>
      </c>
      <c r="F8" s="11">
        <v>82</v>
      </c>
      <c r="G8" s="11">
        <v>70</v>
      </c>
      <c r="H8" s="11">
        <v>30</v>
      </c>
      <c r="I8" s="11">
        <v>40</v>
      </c>
      <c r="J8" s="11"/>
      <c r="K8" s="11"/>
      <c r="L8" s="11"/>
      <c r="M8" s="11"/>
      <c r="N8" s="9">
        <f t="shared" ref="N8:N24" si="0">D8+E8-SUM(F8:M8)</f>
        <v>425</v>
      </c>
      <c r="O8" s="9">
        <f>55+120+E8</f>
        <v>425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'2209'!O9</f>
        <v>262</v>
      </c>
      <c r="E9" s="14"/>
      <c r="F9" s="11"/>
      <c r="G9" s="11">
        <v>20</v>
      </c>
      <c r="H9" s="11">
        <v>30</v>
      </c>
      <c r="I9" s="11">
        <v>30</v>
      </c>
      <c r="J9" s="11"/>
      <c r="K9" s="11"/>
      <c r="L9" s="11"/>
      <c r="M9" s="11"/>
      <c r="N9" s="9">
        <f t="shared" si="0"/>
        <v>182</v>
      </c>
      <c r="O9" s="9">
        <f>120+22+E9</f>
        <v>142</v>
      </c>
      <c r="P9" s="9">
        <f t="shared" si="1"/>
        <v>-40</v>
      </c>
    </row>
    <row r="10" spans="1:16" ht="18.75">
      <c r="A10" s="6">
        <v>3</v>
      </c>
      <c r="B10" s="12" t="s">
        <v>15</v>
      </c>
      <c r="C10" s="8" t="s">
        <v>13</v>
      </c>
      <c r="D10" s="9">
        <f>'2209'!O10</f>
        <v>397</v>
      </c>
      <c r="E10" s="10">
        <v>179</v>
      </c>
      <c r="F10" s="11"/>
      <c r="G10" s="11">
        <v>80</v>
      </c>
      <c r="H10" s="11">
        <v>30</v>
      </c>
      <c r="I10" s="11">
        <v>40</v>
      </c>
      <c r="J10" s="11">
        <v>40</v>
      </c>
      <c r="K10" s="11"/>
      <c r="L10" s="11"/>
      <c r="M10" s="11"/>
      <c r="N10" s="9">
        <f t="shared" si="0"/>
        <v>386</v>
      </c>
      <c r="O10" s="9">
        <f>138+120+E10</f>
        <v>437</v>
      </c>
      <c r="P10" s="9">
        <f t="shared" si="1"/>
        <v>51</v>
      </c>
    </row>
    <row r="11" spans="1:16" ht="18.75">
      <c r="A11" s="6">
        <v>4</v>
      </c>
      <c r="B11" s="15" t="s">
        <v>16</v>
      </c>
      <c r="C11" s="6" t="s">
        <v>17</v>
      </c>
      <c r="D11" s="9">
        <f>'2209'!O11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'2209'!O12</f>
        <v>463</v>
      </c>
      <c r="E12" s="14">
        <v>169</v>
      </c>
      <c r="F12" s="11"/>
      <c r="G12" s="11">
        <v>70</v>
      </c>
      <c r="H12" s="11">
        <v>70</v>
      </c>
      <c r="I12" s="11">
        <v>40</v>
      </c>
      <c r="J12" s="11"/>
      <c r="K12" s="11"/>
      <c r="L12" s="11"/>
      <c r="M12" s="11"/>
      <c r="N12" s="9">
        <f t="shared" si="0"/>
        <v>452</v>
      </c>
      <c r="O12" s="9">
        <f>123+160+E12</f>
        <v>452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'2209'!O13</f>
        <v>301</v>
      </c>
      <c r="E13" s="14">
        <v>116</v>
      </c>
      <c r="F13" s="11">
        <v>15</v>
      </c>
      <c r="G13" s="11">
        <v>90</v>
      </c>
      <c r="H13" s="11">
        <v>50</v>
      </c>
      <c r="I13" s="11">
        <v>42</v>
      </c>
      <c r="J13" s="11"/>
      <c r="K13" s="11"/>
      <c r="L13" s="11"/>
      <c r="M13" s="11"/>
      <c r="N13" s="9">
        <f t="shared" si="0"/>
        <v>220</v>
      </c>
      <c r="O13" s="9">
        <f>104+E13</f>
        <v>220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'2209'!O14</f>
        <v>1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'2209'!O15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'2209'!O16</f>
        <v>10</v>
      </c>
      <c r="E16" s="14">
        <v>4</v>
      </c>
      <c r="F16" s="11">
        <v>1</v>
      </c>
      <c r="G16" s="11">
        <v>2</v>
      </c>
      <c r="H16" s="11">
        <v>1</v>
      </c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'2209'!O17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'2209'!O18</f>
        <v>3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'2209'!O19</f>
        <v>2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'2209'!O20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'2209'!O21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'2209'!O22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'2209'!O23</f>
        <v>78</v>
      </c>
      <c r="E23" s="14">
        <f>32+10</f>
        <v>42</v>
      </c>
      <c r="F23" s="9">
        <v>10</v>
      </c>
      <c r="G23" s="9"/>
      <c r="H23" s="9"/>
      <c r="I23" s="9"/>
      <c r="J23" s="9"/>
      <c r="K23" s="9">
        <v>78</v>
      </c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'2209'!O24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'2209'!O26</f>
        <v>184</v>
      </c>
      <c r="E26" s="10">
        <v>149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233</v>
      </c>
      <c r="O26" s="9">
        <v>233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'2209'!O27</f>
        <v>101</v>
      </c>
      <c r="E27" s="9">
        <v>25</v>
      </c>
      <c r="F27" s="9">
        <v>35</v>
      </c>
      <c r="G27" s="11"/>
      <c r="H27" s="9"/>
      <c r="I27" s="9"/>
      <c r="J27" s="9"/>
      <c r="K27" s="9"/>
      <c r="L27" s="9"/>
      <c r="M27" s="9"/>
      <c r="N27" s="9">
        <f>D27+E27-SUM(F27:M27)</f>
        <v>91</v>
      </c>
      <c r="O27" s="9">
        <v>91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'2209'!O28</f>
        <v>283</v>
      </c>
      <c r="E28" s="9">
        <v>144</v>
      </c>
      <c r="F28" s="9">
        <v>141</v>
      </c>
      <c r="G28" s="11"/>
      <c r="H28" s="9"/>
      <c r="I28" s="9"/>
      <c r="J28" s="9"/>
      <c r="K28" s="9"/>
      <c r="L28" s="9"/>
      <c r="M28" s="9"/>
      <c r="N28" s="9">
        <f>D28+E28-SUM(F28:M28)</f>
        <v>286</v>
      </c>
      <c r="O28" s="9">
        <v>286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'2209'!O29</f>
        <v>166</v>
      </c>
      <c r="E29" s="9">
        <v>50</v>
      </c>
      <c r="F29" s="9">
        <v>76</v>
      </c>
      <c r="G29" s="11"/>
      <c r="H29" s="9"/>
      <c r="I29" s="9"/>
      <c r="J29" s="9"/>
      <c r="K29" s="9"/>
      <c r="L29" s="9"/>
      <c r="M29" s="9"/>
      <c r="N29" s="9">
        <f>D29+E29-SUM(F29:M29)</f>
        <v>140</v>
      </c>
      <c r="O29" s="9">
        <v>140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E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DATE(2015,9,23)</f>
        <v>42270</v>
      </c>
      <c r="E5" s="293">
        <f>D5+1</f>
        <v>42271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71"/>
      <c r="M6" s="171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51</v>
      </c>
      <c r="H7" s="5" t="s">
        <v>52</v>
      </c>
      <c r="I7" s="5" t="s">
        <v>62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'2309'!O8</f>
        <v>425</v>
      </c>
      <c r="E8" s="10">
        <f>82+85</f>
        <v>167</v>
      </c>
      <c r="F8" s="11">
        <v>63</v>
      </c>
      <c r="G8" s="11">
        <v>40</v>
      </c>
      <c r="H8" s="11">
        <v>205</v>
      </c>
      <c r="I8" s="11"/>
      <c r="J8" s="11"/>
      <c r="K8" s="11"/>
      <c r="L8" s="11"/>
      <c r="M8" s="11"/>
      <c r="N8" s="9">
        <f t="shared" ref="N8:N24" si="0">D8+E8-SUM(F8:M8)</f>
        <v>284</v>
      </c>
      <c r="O8" s="9">
        <f>67+E8+50</f>
        <v>284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'2309'!O9</f>
        <v>142</v>
      </c>
      <c r="E9" s="14">
        <f>85+83</f>
        <v>168</v>
      </c>
      <c r="F9" s="11"/>
      <c r="G9" s="11"/>
      <c r="H9" s="11">
        <v>142</v>
      </c>
      <c r="I9" s="11"/>
      <c r="J9" s="11"/>
      <c r="K9" s="11"/>
      <c r="L9" s="11"/>
      <c r="M9" s="11"/>
      <c r="N9" s="9">
        <f t="shared" si="0"/>
        <v>168</v>
      </c>
      <c r="O9" s="9">
        <f>E9</f>
        <v>168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'2309'!O10</f>
        <v>437</v>
      </c>
      <c r="E10" s="10"/>
      <c r="F10" s="11">
        <v>10</v>
      </c>
      <c r="G10" s="11"/>
      <c r="H10" s="11">
        <v>218</v>
      </c>
      <c r="I10" s="11"/>
      <c r="J10" s="11"/>
      <c r="K10" s="11"/>
      <c r="L10" s="11"/>
      <c r="M10" s="11"/>
      <c r="N10" s="9">
        <f t="shared" si="0"/>
        <v>209</v>
      </c>
      <c r="O10" s="9">
        <f>60+149+E10</f>
        <v>209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'2309'!O11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'2309'!O12</f>
        <v>452</v>
      </c>
      <c r="E12" s="14">
        <v>122</v>
      </c>
      <c r="F12" s="11">
        <v>18</v>
      </c>
      <c r="G12" s="11">
        <v>40</v>
      </c>
      <c r="H12" s="11">
        <v>224</v>
      </c>
      <c r="I12" s="11"/>
      <c r="J12" s="11"/>
      <c r="K12" s="11"/>
      <c r="L12" s="11"/>
      <c r="M12" s="11"/>
      <c r="N12" s="9">
        <f t="shared" si="0"/>
        <v>292</v>
      </c>
      <c r="O12" s="9">
        <f>170+E12</f>
        <v>292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'2309'!O13</f>
        <v>220</v>
      </c>
      <c r="E13" s="14">
        <f>62+135</f>
        <v>197</v>
      </c>
      <c r="F13" s="11">
        <v>14</v>
      </c>
      <c r="G13" s="11">
        <v>50</v>
      </c>
      <c r="H13" s="11">
        <v>150</v>
      </c>
      <c r="I13" s="11"/>
      <c r="J13" s="11"/>
      <c r="K13" s="11"/>
      <c r="L13" s="11"/>
      <c r="M13" s="11"/>
      <c r="N13" s="9">
        <f t="shared" si="0"/>
        <v>203</v>
      </c>
      <c r="O13" s="9">
        <f>6+E13</f>
        <v>203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'2309'!O14</f>
        <v>3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'2309'!O15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'2309'!O16</f>
        <v>10</v>
      </c>
      <c r="E16" s="14">
        <v>3</v>
      </c>
      <c r="F16" s="11"/>
      <c r="G16" s="11">
        <v>2</v>
      </c>
      <c r="H16" s="11">
        <v>3</v>
      </c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'2309'!O17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'2309'!O18</f>
        <v>3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'2309'!O19</f>
        <v>1</v>
      </c>
      <c r="E19" s="14">
        <v>3</v>
      </c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'2309'!O20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'2309'!O21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'2309'!O22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'2309'!O23</f>
        <v>32</v>
      </c>
      <c r="E23" s="14">
        <v>40</v>
      </c>
      <c r="F23" s="9"/>
      <c r="G23" s="9"/>
      <c r="H23" s="9"/>
      <c r="I23" s="9">
        <v>16</v>
      </c>
      <c r="J23" s="9"/>
      <c r="K23" s="9"/>
      <c r="L23" s="9"/>
      <c r="M23" s="9"/>
      <c r="N23" s="9">
        <f t="shared" si="0"/>
        <v>56</v>
      </c>
      <c r="O23" s="9">
        <v>56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'2309'!O24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'2309'!O26</f>
        <v>233</v>
      </c>
      <c r="E26" s="10">
        <v>73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206</v>
      </c>
      <c r="O26" s="9">
        <v>206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'2309'!O27</f>
        <v>91</v>
      </c>
      <c r="E27" s="9">
        <v>30</v>
      </c>
      <c r="F27" s="9">
        <v>36</v>
      </c>
      <c r="G27" s="11"/>
      <c r="H27" s="9"/>
      <c r="I27" s="9"/>
      <c r="J27" s="9"/>
      <c r="K27" s="9"/>
      <c r="L27" s="9"/>
      <c r="M27" s="9"/>
      <c r="N27" s="9">
        <f>D27+E27-SUM(F27:M27)</f>
        <v>85</v>
      </c>
      <c r="O27" s="9">
        <v>85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'2309'!O28</f>
        <v>286</v>
      </c>
      <c r="E28" s="9">
        <v>148</v>
      </c>
      <c r="F28" s="9">
        <v>141</v>
      </c>
      <c r="G28" s="11"/>
      <c r="H28" s="9"/>
      <c r="I28" s="9"/>
      <c r="J28" s="9"/>
      <c r="K28" s="9"/>
      <c r="L28" s="9"/>
      <c r="M28" s="9"/>
      <c r="N28" s="9">
        <f>D28+E28-SUM(F28:M28)</f>
        <v>293</v>
      </c>
      <c r="O28" s="9">
        <v>293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'2309'!O29</f>
        <v>140</v>
      </c>
      <c r="E29" s="9">
        <v>47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112</v>
      </c>
      <c r="O29" s="9">
        <v>112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DATE(2015,9,24)</f>
        <v>42271</v>
      </c>
      <c r="E5" s="293">
        <f>D5+1</f>
        <v>42272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72"/>
      <c r="M6" s="172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77</v>
      </c>
      <c r="H7" s="5" t="s">
        <v>49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'2409'!O8</f>
        <v>284</v>
      </c>
      <c r="E8" s="10">
        <f>93+101+93+36</f>
        <v>323</v>
      </c>
      <c r="F8" s="11">
        <v>52</v>
      </c>
      <c r="G8" s="11">
        <v>100</v>
      </c>
      <c r="H8" s="11">
        <v>99</v>
      </c>
      <c r="I8" s="11"/>
      <c r="J8" s="11"/>
      <c r="K8" s="11"/>
      <c r="L8" s="11"/>
      <c r="M8" s="11"/>
      <c r="N8" s="9">
        <f t="shared" ref="N8:N24" si="0">D8+E8-SUM(F8:M8)</f>
        <v>356</v>
      </c>
      <c r="O8" s="9">
        <f>32+E8</f>
        <v>355</v>
      </c>
      <c r="P8" s="9">
        <f t="shared" ref="P8:P19" si="1">O8-N8</f>
        <v>-1</v>
      </c>
    </row>
    <row r="9" spans="1:16" ht="18.75">
      <c r="A9" s="6">
        <v>2</v>
      </c>
      <c r="B9" s="12" t="s">
        <v>14</v>
      </c>
      <c r="C9" s="13" t="s">
        <v>13</v>
      </c>
      <c r="D9" s="9">
        <f>'2409'!O9</f>
        <v>168</v>
      </c>
      <c r="E9" s="14"/>
      <c r="F9" s="11"/>
      <c r="G9" s="11">
        <v>120</v>
      </c>
      <c r="H9" s="11">
        <v>50</v>
      </c>
      <c r="I9" s="11"/>
      <c r="J9" s="11"/>
      <c r="K9" s="11"/>
      <c r="L9" s="11"/>
      <c r="M9" s="11"/>
      <c r="N9" s="9">
        <f t="shared" si="0"/>
        <v>-2</v>
      </c>
      <c r="O9" s="9"/>
      <c r="P9" s="9">
        <f t="shared" si="1"/>
        <v>2</v>
      </c>
    </row>
    <row r="10" spans="1:16" ht="18.75">
      <c r="A10" s="6">
        <v>3</v>
      </c>
      <c r="B10" s="12" t="s">
        <v>15</v>
      </c>
      <c r="C10" s="8" t="s">
        <v>13</v>
      </c>
      <c r="D10" s="9">
        <f>'2409'!O10</f>
        <v>209</v>
      </c>
      <c r="E10" s="10">
        <v>229</v>
      </c>
      <c r="F10" s="11">
        <v>20</v>
      </c>
      <c r="G10" s="11">
        <v>140</v>
      </c>
      <c r="H10" s="11">
        <v>89</v>
      </c>
      <c r="I10" s="11"/>
      <c r="J10" s="11"/>
      <c r="K10" s="11"/>
      <c r="L10" s="11"/>
      <c r="M10" s="11"/>
      <c r="N10" s="9">
        <f t="shared" si="0"/>
        <v>189</v>
      </c>
      <c r="O10" s="9">
        <v>189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'2409'!O11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'2409'!O12</f>
        <v>292</v>
      </c>
      <c r="E12" s="14">
        <v>129</v>
      </c>
      <c r="F12" s="11">
        <v>7</v>
      </c>
      <c r="G12" s="11">
        <v>120</v>
      </c>
      <c r="H12" s="11">
        <v>81</v>
      </c>
      <c r="I12" s="11"/>
      <c r="J12" s="11"/>
      <c r="K12" s="11"/>
      <c r="L12" s="11"/>
      <c r="M12" s="11"/>
      <c r="N12" s="9">
        <f t="shared" si="0"/>
        <v>213</v>
      </c>
      <c r="O12" s="9">
        <f>84+E12</f>
        <v>213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'2409'!O13</f>
        <v>203</v>
      </c>
      <c r="E13" s="14">
        <v>117</v>
      </c>
      <c r="F13" s="11">
        <v>35</v>
      </c>
      <c r="G13" s="11">
        <v>110</v>
      </c>
      <c r="H13" s="11">
        <v>58</v>
      </c>
      <c r="I13" s="11"/>
      <c r="J13" s="11"/>
      <c r="K13" s="11"/>
      <c r="L13" s="11"/>
      <c r="M13" s="11"/>
      <c r="N13" s="9">
        <f t="shared" si="0"/>
        <v>117</v>
      </c>
      <c r="O13" s="9">
        <f>E13</f>
        <v>117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'2409'!O14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'2409'!O15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'2409'!O16</f>
        <v>8</v>
      </c>
      <c r="E16" s="14">
        <v>4</v>
      </c>
      <c r="F16" s="11">
        <v>1</v>
      </c>
      <c r="G16" s="11">
        <v>4</v>
      </c>
      <c r="H16" s="11">
        <v>1</v>
      </c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'2409'!O17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'2409'!O18</f>
        <v>3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'2409'!O19</f>
        <v>3</v>
      </c>
      <c r="E19" s="14"/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'2409'!O20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'2409'!O21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'2409'!O22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'2409'!O23</f>
        <v>56</v>
      </c>
      <c r="E23" s="14">
        <v>32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88</v>
      </c>
      <c r="O23" s="9">
        <v>88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'2409'!O24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'2409'!O26</f>
        <v>206</v>
      </c>
      <c r="E26" s="10">
        <v>135</v>
      </c>
      <c r="F26" s="9">
        <v>121</v>
      </c>
      <c r="G26" s="11"/>
      <c r="H26" s="9"/>
      <c r="I26" s="9"/>
      <c r="J26" s="9"/>
      <c r="K26" s="9"/>
      <c r="L26" s="9"/>
      <c r="M26" s="9"/>
      <c r="N26" s="9">
        <f>D26+E26-SUM(F26:M26)</f>
        <v>220</v>
      </c>
      <c r="O26" s="9">
        <v>220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'2409'!O27</f>
        <v>85</v>
      </c>
      <c r="E27" s="9">
        <v>68</v>
      </c>
      <c r="F27" s="9">
        <v>31</v>
      </c>
      <c r="G27" s="11"/>
      <c r="H27" s="9"/>
      <c r="I27" s="9"/>
      <c r="J27" s="9"/>
      <c r="K27" s="9"/>
      <c r="L27" s="9"/>
      <c r="M27" s="9"/>
      <c r="N27" s="9">
        <f>D27+E27-SUM(F27:M27)</f>
        <v>122</v>
      </c>
      <c r="O27" s="9">
        <v>122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'2409'!O28</f>
        <v>293</v>
      </c>
      <c r="E28" s="9">
        <v>158</v>
      </c>
      <c r="F28" s="9">
        <v>165</v>
      </c>
      <c r="G28" s="11"/>
      <c r="H28" s="9"/>
      <c r="I28" s="9"/>
      <c r="J28" s="9"/>
      <c r="K28" s="9"/>
      <c r="L28" s="9"/>
      <c r="M28" s="9"/>
      <c r="N28" s="9">
        <f>D28+E28-SUM(F28:M28)</f>
        <v>286</v>
      </c>
      <c r="O28" s="9">
        <v>286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'2409'!O29</f>
        <v>112</v>
      </c>
      <c r="E29" s="9">
        <v>93</v>
      </c>
      <c r="F29" s="9">
        <v>90</v>
      </c>
      <c r="G29" s="11"/>
      <c r="H29" s="9"/>
      <c r="I29" s="9"/>
      <c r="J29" s="9"/>
      <c r="K29" s="9"/>
      <c r="L29" s="9"/>
      <c r="M29" s="9"/>
      <c r="N29" s="9">
        <f>D29+E29-SUM(F29:M29)</f>
        <v>115</v>
      </c>
      <c r="O29" s="9">
        <v>115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DATE(2015,9,25)</f>
        <v>42272</v>
      </c>
      <c r="E5" s="293">
        <f>D5+1</f>
        <v>42273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73"/>
      <c r="M6" s="173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81</v>
      </c>
      <c r="H7" s="5" t="s">
        <v>71</v>
      </c>
      <c r="I7" s="5" t="s">
        <v>38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'2509'!O8</f>
        <v>355</v>
      </c>
      <c r="E8" s="10"/>
      <c r="F8" s="11">
        <v>60</v>
      </c>
      <c r="G8" s="11">
        <v>120</v>
      </c>
      <c r="H8" s="11"/>
      <c r="I8" s="11"/>
      <c r="J8" s="11"/>
      <c r="K8" s="11"/>
      <c r="L8" s="11"/>
      <c r="M8" s="11"/>
      <c r="N8" s="9">
        <f t="shared" ref="N8:N24" si="0">D8+E8-SUM(F8:M8)</f>
        <v>175</v>
      </c>
      <c r="O8" s="9">
        <f>108+E8+67</f>
        <v>175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'2509'!O9</f>
        <v>0</v>
      </c>
      <c r="E9" s="14">
        <f>84+67+57+89</f>
        <v>297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297</v>
      </c>
      <c r="O9" s="9">
        <f>E9</f>
        <v>297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'2509'!O10</f>
        <v>189</v>
      </c>
      <c r="E10" s="10">
        <v>170</v>
      </c>
      <c r="F10" s="11">
        <v>20</v>
      </c>
      <c r="G10" s="11"/>
      <c r="H10" s="11"/>
      <c r="I10" s="11"/>
      <c r="J10" s="11"/>
      <c r="K10" s="11"/>
      <c r="L10" s="11"/>
      <c r="M10" s="11"/>
      <c r="N10" s="9">
        <f t="shared" si="0"/>
        <v>339</v>
      </c>
      <c r="O10" s="9">
        <f>75+94+E10</f>
        <v>339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'2509'!O11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'2509'!O12</f>
        <v>213</v>
      </c>
      <c r="E12" s="14">
        <v>166</v>
      </c>
      <c r="F12" s="11">
        <v>52</v>
      </c>
      <c r="G12" s="11">
        <v>81</v>
      </c>
      <c r="H12" s="11"/>
      <c r="I12" s="11">
        <v>30</v>
      </c>
      <c r="J12" s="11"/>
      <c r="K12" s="11"/>
      <c r="L12" s="11"/>
      <c r="M12" s="11"/>
      <c r="N12" s="9">
        <f t="shared" si="0"/>
        <v>216</v>
      </c>
      <c r="O12" s="9">
        <f>50+E12</f>
        <v>216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'2509'!O13</f>
        <v>117</v>
      </c>
      <c r="E13" s="14">
        <v>158</v>
      </c>
      <c r="F13" s="11">
        <v>60</v>
      </c>
      <c r="G13" s="11">
        <v>57</v>
      </c>
      <c r="H13" s="11"/>
      <c r="I13" s="11"/>
      <c r="J13" s="11"/>
      <c r="K13" s="11"/>
      <c r="L13" s="11"/>
      <c r="M13" s="11"/>
      <c r="N13" s="9">
        <f t="shared" si="0"/>
        <v>158</v>
      </c>
      <c r="O13" s="9">
        <f>E13</f>
        <v>158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'2509'!O14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'2509'!O15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'2509'!O16</f>
        <v>6</v>
      </c>
      <c r="E16" s="14">
        <v>6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12</v>
      </c>
      <c r="O16" s="9">
        <v>12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'2509'!O17</f>
        <v>2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'2509'!O18</f>
        <v>3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'2509'!O19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'2509'!O20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'2509'!O21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'2509'!O22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'2509'!O23</f>
        <v>88</v>
      </c>
      <c r="E23" s="14">
        <v>48</v>
      </c>
      <c r="F23" s="9"/>
      <c r="G23" s="9"/>
      <c r="H23" s="9">
        <v>16</v>
      </c>
      <c r="I23" s="9"/>
      <c r="J23" s="9"/>
      <c r="K23" s="9"/>
      <c r="L23" s="9"/>
      <c r="M23" s="9"/>
      <c r="N23" s="9">
        <f t="shared" si="0"/>
        <v>120</v>
      </c>
      <c r="O23" s="9">
        <v>120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'2509'!O24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'2509'!O26</f>
        <v>220</v>
      </c>
      <c r="E26" s="10">
        <v>68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188</v>
      </c>
      <c r="O26" s="9">
        <v>188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'2509'!O27</f>
        <v>122</v>
      </c>
      <c r="E27" s="9"/>
      <c r="F27" s="9">
        <v>9</v>
      </c>
      <c r="G27" s="11"/>
      <c r="H27" s="9"/>
      <c r="I27" s="9"/>
      <c r="J27" s="9"/>
      <c r="K27" s="9"/>
      <c r="L27" s="9"/>
      <c r="M27" s="9"/>
      <c r="N27" s="9">
        <f>D27+E27-SUM(F27:M27)</f>
        <v>113</v>
      </c>
      <c r="O27" s="9">
        <v>113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'2509'!O28</f>
        <v>286</v>
      </c>
      <c r="E28" s="9">
        <v>80</v>
      </c>
      <c r="F28" s="9">
        <v>55</v>
      </c>
      <c r="G28" s="11"/>
      <c r="H28" s="9"/>
      <c r="I28" s="9"/>
      <c r="J28" s="9"/>
      <c r="K28" s="9"/>
      <c r="L28" s="9"/>
      <c r="M28" s="9"/>
      <c r="N28" s="9">
        <f>D28+E28-SUM(F28:M28)</f>
        <v>311</v>
      </c>
      <c r="O28" s="9">
        <v>311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'2509'!O29</f>
        <v>115</v>
      </c>
      <c r="E29" s="9">
        <v>90</v>
      </c>
      <c r="F29" s="9">
        <v>57</v>
      </c>
      <c r="G29" s="11"/>
      <c r="H29" s="9"/>
      <c r="I29" s="9"/>
      <c r="J29" s="9"/>
      <c r="K29" s="9"/>
      <c r="L29" s="9"/>
      <c r="M29" s="9"/>
      <c r="N29" s="9">
        <f>D29+E29-SUM(F29:M29)</f>
        <v>148</v>
      </c>
      <c r="O29" s="9">
        <v>148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4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DATE(2015,4,17)</f>
        <v>42111</v>
      </c>
      <c r="E5" s="293">
        <f>D5+1</f>
        <v>42112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41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43</v>
      </c>
      <c r="H7" s="5" t="s">
        <v>52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VLOOKUP($B8,'1704'!$B8:$M22,11,0)</f>
        <v>167</v>
      </c>
      <c r="E8" s="10">
        <f>90+102</f>
        <v>192</v>
      </c>
      <c r="F8" s="11">
        <v>50</v>
      </c>
      <c r="G8" s="11">
        <v>100</v>
      </c>
      <c r="H8" s="11"/>
      <c r="I8" s="11"/>
      <c r="J8" s="11"/>
      <c r="K8" s="9">
        <f>D8+E8-SUM(F8:J8)</f>
        <v>209</v>
      </c>
      <c r="L8" s="9">
        <f>19+192</f>
        <v>211</v>
      </c>
      <c r="M8" s="9">
        <f t="shared" ref="M8:M19" si="0">L8-K8</f>
        <v>2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VLOOKUP($B9,'1704'!$B9:$M23,11,0)</f>
        <v>124</v>
      </c>
      <c r="E9" s="14"/>
      <c r="F9" s="11"/>
      <c r="G9" s="11">
        <v>100</v>
      </c>
      <c r="H9" s="11"/>
      <c r="I9" s="11"/>
      <c r="J9" s="11"/>
      <c r="K9" s="9">
        <f t="shared" ref="K9:K19" si="1">D9+E9-SUM(F9:J9)</f>
        <v>24</v>
      </c>
      <c r="L9" s="9">
        <v>24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VLOOKUP($B10,'1704'!$B10:$M24,11,0)</f>
        <v>80</v>
      </c>
      <c r="E10" s="10">
        <v>114</v>
      </c>
      <c r="F10" s="11"/>
      <c r="G10" s="11">
        <v>80</v>
      </c>
      <c r="H10" s="11"/>
      <c r="I10" s="11"/>
      <c r="J10" s="11"/>
      <c r="K10" s="9">
        <f t="shared" si="1"/>
        <v>114</v>
      </c>
      <c r="L10" s="9">
        <v>114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VLOOKUP($B11,'1704'!$B11:$M25,11,0)</f>
        <v>0</v>
      </c>
      <c r="E11" s="10">
        <v>265</v>
      </c>
      <c r="F11" s="11"/>
      <c r="G11" s="11"/>
      <c r="H11" s="11"/>
      <c r="I11" s="11"/>
      <c r="J11" s="11"/>
      <c r="K11" s="9">
        <f t="shared" si="1"/>
        <v>265</v>
      </c>
      <c r="L11" s="9">
        <v>265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VLOOKUP($B12,'1704'!$B12:$M26,11,0)</f>
        <v>166</v>
      </c>
      <c r="E12" s="14">
        <v>171</v>
      </c>
      <c r="F12" s="11"/>
      <c r="G12" s="11">
        <v>100</v>
      </c>
      <c r="H12" s="11"/>
      <c r="I12" s="11"/>
      <c r="J12" s="11"/>
      <c r="K12" s="9">
        <f t="shared" si="1"/>
        <v>237</v>
      </c>
      <c r="L12" s="9">
        <f>68+171</f>
        <v>239</v>
      </c>
      <c r="M12" s="9">
        <f t="shared" si="0"/>
        <v>2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VLOOKUP($B13,'1704'!$B13:$M27,11,0)</f>
        <v>0</v>
      </c>
      <c r="E13" s="14">
        <v>106</v>
      </c>
      <c r="F13" s="11"/>
      <c r="G13" s="11">
        <v>80</v>
      </c>
      <c r="H13" s="11"/>
      <c r="I13" s="11"/>
      <c r="J13" s="11"/>
      <c r="K13" s="9">
        <f t="shared" si="1"/>
        <v>26</v>
      </c>
      <c r="L13" s="9">
        <v>26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VLOOKUP($B14,'1704'!$B14:$M28,11,0)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VLOOKUP($B15,'1704'!$B15:$M29,11,0)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VLOOKUP($B16,'1704'!$B16:$M30,11,0)</f>
        <v>3</v>
      </c>
      <c r="E16" s="14">
        <v>3</v>
      </c>
      <c r="F16" s="11"/>
      <c r="G16" s="11">
        <v>3</v>
      </c>
      <c r="H16" s="11"/>
      <c r="I16" s="11"/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VLOOKUP($B17,'1704'!$B17:$M31,11,0)</f>
        <v>2</v>
      </c>
      <c r="E17" s="14">
        <v>1</v>
      </c>
      <c r="F17" s="11"/>
      <c r="G17" s="11">
        <v>3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VLOOKUP($B18,'1704'!$B18:$M32,11,0)</f>
        <v>1</v>
      </c>
      <c r="E18" s="14"/>
      <c r="F18" s="11"/>
      <c r="G18" s="11">
        <v>1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VLOOKUP($B19,'1704'!$B19:$M33,11,0)</f>
        <v>0</v>
      </c>
      <c r="E19" s="14">
        <v>2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VLOOKUP($B20,'1704'!$B20:$M34,11,0)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VLOOKUP($B21,'1704'!$B21:$M35,11,0)</f>
        <v>18</v>
      </c>
      <c r="E21" s="14"/>
      <c r="F21" s="11"/>
      <c r="G21" s="11">
        <v>18</v>
      </c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VLOOKUP($B22,'1704'!$B22:$M36,11,0)</f>
        <v>17</v>
      </c>
      <c r="E22" s="14"/>
      <c r="F22" s="11"/>
      <c r="G22" s="11">
        <v>16</v>
      </c>
      <c r="H22" s="11"/>
      <c r="I22" s="11"/>
      <c r="J22" s="11"/>
      <c r="K22" s="9">
        <f>D22+E22-SUM(F22:I22)</f>
        <v>1</v>
      </c>
      <c r="L22" s="9">
        <v>1</v>
      </c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854</v>
      </c>
      <c r="F24" s="9"/>
      <c r="G24" s="9"/>
      <c r="H24" s="9"/>
      <c r="I24" s="9"/>
      <c r="J24" s="9"/>
      <c r="K24" s="9">
        <f t="shared" si="3"/>
        <v>881</v>
      </c>
      <c r="L24" s="9">
        <f t="shared" si="3"/>
        <v>885</v>
      </c>
      <c r="M24" s="9">
        <f>L24-K24</f>
        <v>4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VLOOKUP($B26,'1704'!$B26:$M29,11,0)</f>
        <v>178</v>
      </c>
      <c r="E26" s="10">
        <v>142</v>
      </c>
      <c r="F26" s="9">
        <v>122</v>
      </c>
      <c r="G26" s="11"/>
      <c r="H26" s="9"/>
      <c r="I26" s="9"/>
      <c r="J26" s="9"/>
      <c r="K26" s="9">
        <f t="shared" ref="K26" si="4">D26+E26-F26</f>
        <v>198</v>
      </c>
      <c r="L26" s="9">
        <v>198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VLOOKUP($B27,'1704'!$B27:$M30,11,0)</f>
        <v>96</v>
      </c>
      <c r="E27" s="9">
        <v>55</v>
      </c>
      <c r="F27" s="9">
        <v>38</v>
      </c>
      <c r="G27" s="11"/>
      <c r="H27" s="9"/>
      <c r="I27" s="9"/>
      <c r="J27" s="9"/>
      <c r="K27" s="9">
        <f>D27+E27-F27</f>
        <v>113</v>
      </c>
      <c r="L27" s="9">
        <v>113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VLOOKUP($B28,'1704'!$B28:$M31,11,0)</f>
        <v>388</v>
      </c>
      <c r="E28" s="9">
        <v>224</v>
      </c>
      <c r="F28" s="9">
        <v>170</v>
      </c>
      <c r="G28" s="11"/>
      <c r="H28" s="9"/>
      <c r="I28" s="9"/>
      <c r="J28" s="9"/>
      <c r="K28" s="9">
        <f>D28+E28-F28</f>
        <v>442</v>
      </c>
      <c r="L28" s="9">
        <v>442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VLOOKUP($B29,'1704'!$B29:$M32,11,0)</f>
        <v>96</v>
      </c>
      <c r="E29" s="9">
        <v>89</v>
      </c>
      <c r="F29" s="9">
        <v>70</v>
      </c>
      <c r="G29" s="11"/>
      <c r="H29" s="9"/>
      <c r="I29" s="9"/>
      <c r="J29" s="9"/>
      <c r="K29" s="9">
        <f>D29+E29-F29</f>
        <v>115</v>
      </c>
      <c r="L29" s="9">
        <v>115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DATE(2015,9,26)</f>
        <v>42273</v>
      </c>
      <c r="E5" s="293">
        <f>D5+1</f>
        <v>42274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73"/>
      <c r="M6" s="173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/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'2609'!O8</f>
        <v>175</v>
      </c>
      <c r="E8" s="10">
        <f>94+94+94+46</f>
        <v>328</v>
      </c>
      <c r="F8" s="11">
        <v>60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443</v>
      </c>
      <c r="O8" s="9">
        <f>48+E8+67</f>
        <v>443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'2609'!O9</f>
        <v>297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297</v>
      </c>
      <c r="O9" s="9">
        <f>147+150</f>
        <v>297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'2609'!O10</f>
        <v>339</v>
      </c>
      <c r="E10" s="10"/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329</v>
      </c>
      <c r="O10" s="9">
        <f>170+159+E10</f>
        <v>329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'2609'!O11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'2609'!O12</f>
        <v>216</v>
      </c>
      <c r="E12" s="14">
        <v>128</v>
      </c>
      <c r="F12" s="11">
        <v>20</v>
      </c>
      <c r="G12" s="11"/>
      <c r="H12" s="11"/>
      <c r="I12" s="11"/>
      <c r="J12" s="11"/>
      <c r="K12" s="11"/>
      <c r="L12" s="11"/>
      <c r="M12" s="11"/>
      <c r="N12" s="9">
        <f t="shared" si="0"/>
        <v>324</v>
      </c>
      <c r="O12" s="9">
        <f>166+30+E12</f>
        <v>324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'2609'!O13</f>
        <v>158</v>
      </c>
      <c r="E13" s="14">
        <v>113</v>
      </c>
      <c r="F13" s="11"/>
      <c r="G13" s="11"/>
      <c r="H13" s="11"/>
      <c r="I13" s="11"/>
      <c r="J13" s="11"/>
      <c r="K13" s="11"/>
      <c r="L13" s="11"/>
      <c r="M13" s="11"/>
      <c r="N13" s="9">
        <f t="shared" si="0"/>
        <v>271</v>
      </c>
      <c r="O13" s="9">
        <f>158+E13</f>
        <v>271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'2609'!O14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'2609'!O15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'2609'!O16</f>
        <v>12</v>
      </c>
      <c r="E16" s="14"/>
      <c r="F16" s="11"/>
      <c r="G16" s="11"/>
      <c r="H16" s="11"/>
      <c r="I16" s="11"/>
      <c r="J16" s="11"/>
      <c r="K16" s="11"/>
      <c r="L16" s="11"/>
      <c r="M16" s="11"/>
      <c r="N16" s="9">
        <f t="shared" si="0"/>
        <v>12</v>
      </c>
      <c r="O16" s="9">
        <v>12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'2609'!O17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'2609'!O18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'2609'!O19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'2609'!O20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'2609'!O21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'2609'!O22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'2609'!O23</f>
        <v>120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120</v>
      </c>
      <c r="O23" s="9">
        <v>120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'2609'!O24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'2609'!O26</f>
        <v>188</v>
      </c>
      <c r="E26" s="10">
        <v>134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202</v>
      </c>
      <c r="O26" s="9">
        <v>202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'2609'!O27</f>
        <v>113</v>
      </c>
      <c r="E27" s="9">
        <v>23</v>
      </c>
      <c r="F27" s="9">
        <v>27</v>
      </c>
      <c r="G27" s="11"/>
      <c r="H27" s="9"/>
      <c r="I27" s="9"/>
      <c r="J27" s="9"/>
      <c r="K27" s="9"/>
      <c r="L27" s="9"/>
      <c r="M27" s="9"/>
      <c r="N27" s="9">
        <f>D27+E27-SUM(F27:M27)</f>
        <v>109</v>
      </c>
      <c r="O27" s="9">
        <v>109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'2609'!O28</f>
        <v>311</v>
      </c>
      <c r="E28" s="9">
        <v>70</v>
      </c>
      <c r="F28" s="9">
        <v>114</v>
      </c>
      <c r="G28" s="11"/>
      <c r="H28" s="9"/>
      <c r="I28" s="9"/>
      <c r="J28" s="9"/>
      <c r="K28" s="9"/>
      <c r="L28" s="9"/>
      <c r="M28" s="9"/>
      <c r="N28" s="9">
        <f>D28+E28-SUM(F28:M28)</f>
        <v>267</v>
      </c>
      <c r="O28" s="9">
        <v>267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'2609'!O29</f>
        <v>148</v>
      </c>
      <c r="E29" s="9">
        <v>56</v>
      </c>
      <c r="F29" s="9">
        <v>77</v>
      </c>
      <c r="G29" s="11"/>
      <c r="H29" s="9"/>
      <c r="I29" s="9"/>
      <c r="J29" s="9"/>
      <c r="K29" s="9"/>
      <c r="L29" s="9"/>
      <c r="M29" s="9"/>
      <c r="N29" s="9">
        <f>D29+E29-SUM(F29:M29)</f>
        <v>127</v>
      </c>
      <c r="O29" s="9">
        <v>127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DATE(2015,9,27)</f>
        <v>42274</v>
      </c>
      <c r="E5" s="293">
        <f>D5+1</f>
        <v>42275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73"/>
      <c r="M6" s="173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54</v>
      </c>
      <c r="H7" s="5" t="s">
        <v>71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'2709'!O8</f>
        <v>443</v>
      </c>
      <c r="E8" s="10">
        <f>106+95+91</f>
        <v>292</v>
      </c>
      <c r="F8" s="11">
        <v>65</v>
      </c>
      <c r="G8" s="11">
        <v>40</v>
      </c>
      <c r="H8" s="11"/>
      <c r="I8" s="11"/>
      <c r="J8" s="11"/>
      <c r="K8" s="11"/>
      <c r="L8" s="11"/>
      <c r="M8" s="11"/>
      <c r="N8" s="9">
        <f t="shared" ref="N8:N24" si="0">D8+E8-SUM(F8:M8)</f>
        <v>630</v>
      </c>
      <c r="O8" s="9">
        <f>48+190+100+E8</f>
        <v>630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'2709'!O9</f>
        <v>297</v>
      </c>
      <c r="E9" s="14"/>
      <c r="F9" s="11"/>
      <c r="G9" s="11">
        <v>40</v>
      </c>
      <c r="H9" s="11"/>
      <c r="I9" s="11"/>
      <c r="J9" s="11"/>
      <c r="K9" s="11"/>
      <c r="L9" s="11"/>
      <c r="M9" s="11"/>
      <c r="N9" s="9">
        <f t="shared" si="0"/>
        <v>257</v>
      </c>
      <c r="O9" s="9">
        <f>120+137</f>
        <v>257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'2709'!O10</f>
        <v>329</v>
      </c>
      <c r="E10" s="10"/>
      <c r="F10" s="11"/>
      <c r="G10" s="11">
        <v>30</v>
      </c>
      <c r="H10" s="11"/>
      <c r="I10" s="11"/>
      <c r="J10" s="11"/>
      <c r="K10" s="11"/>
      <c r="L10" s="11"/>
      <c r="M10" s="11"/>
      <c r="N10" s="9">
        <f t="shared" si="0"/>
        <v>299</v>
      </c>
      <c r="O10" s="9">
        <f>129+170</f>
        <v>299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'2709'!O11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'2709'!O12</f>
        <v>324</v>
      </c>
      <c r="E12" s="14">
        <v>123</v>
      </c>
      <c r="F12" s="11"/>
      <c r="G12" s="11">
        <v>50</v>
      </c>
      <c r="H12" s="11"/>
      <c r="I12" s="11"/>
      <c r="J12" s="11"/>
      <c r="K12" s="11"/>
      <c r="L12" s="11"/>
      <c r="M12" s="11"/>
      <c r="N12" s="9">
        <f t="shared" si="0"/>
        <v>397</v>
      </c>
      <c r="O12" s="9">
        <f>128+146+E12</f>
        <v>397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'2709'!O13</f>
        <v>271</v>
      </c>
      <c r="E13" s="14">
        <v>118</v>
      </c>
      <c r="F13" s="11">
        <v>8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351</v>
      </c>
      <c r="O13" s="9">
        <f>118+115+E13</f>
        <v>351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'2709'!O14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'2709'!O15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'2709'!O16</f>
        <v>12</v>
      </c>
      <c r="E16" s="14"/>
      <c r="F16" s="11">
        <v>2</v>
      </c>
      <c r="G16" s="11">
        <v>2</v>
      </c>
      <c r="H16" s="11"/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'2709'!O17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'2709'!O18</f>
        <v>2</v>
      </c>
      <c r="E18" s="14">
        <v>3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5</v>
      </c>
      <c r="O18" s="9">
        <v>5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'2709'!O19</f>
        <v>1</v>
      </c>
      <c r="E19" s="14">
        <v>3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'2709'!O20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'2709'!O21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'2709'!O22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'2709'!O23</f>
        <v>120</v>
      </c>
      <c r="E23" s="14">
        <v>64</v>
      </c>
      <c r="F23" s="9"/>
      <c r="G23" s="9"/>
      <c r="H23" s="9">
        <v>80</v>
      </c>
      <c r="I23" s="9"/>
      <c r="J23" s="9"/>
      <c r="K23" s="9"/>
      <c r="L23" s="9"/>
      <c r="M23" s="9"/>
      <c r="N23" s="9">
        <f t="shared" si="0"/>
        <v>104</v>
      </c>
      <c r="O23" s="9">
        <v>104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'2709'!O24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'2709'!O26</f>
        <v>202</v>
      </c>
      <c r="E26" s="10">
        <v>71</v>
      </c>
      <c r="F26" s="9">
        <v>98</v>
      </c>
      <c r="G26" s="11"/>
      <c r="H26" s="9"/>
      <c r="I26" s="9"/>
      <c r="J26" s="9"/>
      <c r="K26" s="9"/>
      <c r="L26" s="9"/>
      <c r="M26" s="9"/>
      <c r="N26" s="9">
        <f>D26+E26-SUM(F26:M26)</f>
        <v>175</v>
      </c>
      <c r="O26" s="9">
        <v>175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'2709'!O27</f>
        <v>109</v>
      </c>
      <c r="E27" s="9">
        <v>63</v>
      </c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142</v>
      </c>
      <c r="O27" s="9">
        <v>142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'2709'!O28</f>
        <v>267</v>
      </c>
      <c r="E28" s="9">
        <v>155</v>
      </c>
      <c r="F28" s="9">
        <v>152</v>
      </c>
      <c r="G28" s="11"/>
      <c r="H28" s="9"/>
      <c r="I28" s="9"/>
      <c r="J28" s="9"/>
      <c r="K28" s="9"/>
      <c r="L28" s="9"/>
      <c r="M28" s="9"/>
      <c r="N28" s="9">
        <f>D28+E28-SUM(F28:M28)</f>
        <v>270</v>
      </c>
      <c r="O28" s="9">
        <v>270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'2709'!O29</f>
        <v>127</v>
      </c>
      <c r="E29" s="9">
        <v>91</v>
      </c>
      <c r="F29" s="9">
        <v>81</v>
      </c>
      <c r="G29" s="11"/>
      <c r="H29" s="9"/>
      <c r="I29" s="9"/>
      <c r="J29" s="9"/>
      <c r="K29" s="9"/>
      <c r="L29" s="9"/>
      <c r="M29" s="9"/>
      <c r="N29" s="9">
        <f>D29+E29-SUM(F29:M29)</f>
        <v>137</v>
      </c>
      <c r="O29" s="9">
        <v>137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DATE(2015,9,28)</f>
        <v>42275</v>
      </c>
      <c r="E5" s="293">
        <f>D5+1</f>
        <v>42276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74"/>
      <c r="M6" s="174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62</v>
      </c>
      <c r="H7" s="5" t="s">
        <v>80</v>
      </c>
      <c r="I7" s="5" t="s">
        <v>71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'2809'!O8</f>
        <v>630</v>
      </c>
      <c r="E8" s="10">
        <f>137+100</f>
        <v>237</v>
      </c>
      <c r="F8" s="11">
        <v>56</v>
      </c>
      <c r="G8" s="11">
        <v>51</v>
      </c>
      <c r="H8" s="11">
        <v>70</v>
      </c>
      <c r="I8" s="11"/>
      <c r="J8" s="11"/>
      <c r="K8" s="11"/>
      <c r="L8" s="11"/>
      <c r="M8" s="11"/>
      <c r="N8" s="9">
        <f t="shared" ref="N8:N24" si="0">D8+E8-SUM(F8:M8)</f>
        <v>690</v>
      </c>
      <c r="O8" s="9">
        <f>116+220+117+E8</f>
        <v>690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'2809'!O9</f>
        <v>257</v>
      </c>
      <c r="E9" s="14"/>
      <c r="F9" s="11"/>
      <c r="G9" s="11">
        <v>40</v>
      </c>
      <c r="H9" s="11">
        <v>70</v>
      </c>
      <c r="I9" s="11"/>
      <c r="J9" s="11"/>
      <c r="K9" s="11"/>
      <c r="L9" s="11"/>
      <c r="M9" s="11"/>
      <c r="N9" s="9">
        <f t="shared" si="0"/>
        <v>147</v>
      </c>
      <c r="O9" s="9">
        <v>147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'2809'!O10</f>
        <v>299</v>
      </c>
      <c r="E10" s="10">
        <v>124</v>
      </c>
      <c r="F10" s="11">
        <v>10</v>
      </c>
      <c r="G10" s="11"/>
      <c r="H10" s="11">
        <v>69</v>
      </c>
      <c r="I10" s="11"/>
      <c r="J10" s="11"/>
      <c r="K10" s="11"/>
      <c r="L10" s="11"/>
      <c r="M10" s="11"/>
      <c r="N10" s="9">
        <f t="shared" si="0"/>
        <v>344</v>
      </c>
      <c r="O10" s="9">
        <f>200+20+E10</f>
        <v>344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'2809'!O11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'2809'!O12</f>
        <v>397</v>
      </c>
      <c r="E12" s="14">
        <v>172</v>
      </c>
      <c r="F12" s="11">
        <v>20</v>
      </c>
      <c r="G12" s="11">
        <v>100</v>
      </c>
      <c r="H12" s="11">
        <v>70</v>
      </c>
      <c r="I12" s="11"/>
      <c r="J12" s="11"/>
      <c r="K12" s="11"/>
      <c r="L12" s="11"/>
      <c r="M12" s="11"/>
      <c r="N12" s="9">
        <f t="shared" si="0"/>
        <v>379</v>
      </c>
      <c r="O12" s="9">
        <f>134+73+E12</f>
        <v>379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'2809'!O13</f>
        <v>351</v>
      </c>
      <c r="E13" s="14">
        <v>157</v>
      </c>
      <c r="F13" s="11">
        <v>20</v>
      </c>
      <c r="G13" s="11">
        <v>76</v>
      </c>
      <c r="H13" s="11">
        <v>70</v>
      </c>
      <c r="I13" s="11"/>
      <c r="J13" s="11"/>
      <c r="K13" s="11"/>
      <c r="L13" s="11"/>
      <c r="M13" s="11"/>
      <c r="N13" s="9">
        <f t="shared" si="0"/>
        <v>342</v>
      </c>
      <c r="O13" s="9">
        <f>85+100+E13</f>
        <v>342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'2809'!O14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'2809'!O15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'2809'!O16</f>
        <v>8</v>
      </c>
      <c r="E16" s="14">
        <v>4</v>
      </c>
      <c r="F16" s="11"/>
      <c r="G16" s="11">
        <v>1</v>
      </c>
      <c r="H16" s="11">
        <v>2</v>
      </c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'2809'!O17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'2809'!O18</f>
        <v>5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5</v>
      </c>
      <c r="O18" s="9">
        <v>5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'2809'!O19</f>
        <v>4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'2809'!O20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'2809'!O21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'2809'!O22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'2809'!O23</f>
        <v>104</v>
      </c>
      <c r="E23" s="14">
        <v>20</v>
      </c>
      <c r="F23" s="9">
        <v>21</v>
      </c>
      <c r="G23" s="9"/>
      <c r="H23" s="9"/>
      <c r="I23" s="9">
        <v>103</v>
      </c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'2809'!O24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'2809'!O26</f>
        <v>175</v>
      </c>
      <c r="E26" s="10">
        <v>65</v>
      </c>
      <c r="F26" s="9">
        <v>64</v>
      </c>
      <c r="G26" s="11"/>
      <c r="H26" s="9"/>
      <c r="I26" s="9"/>
      <c r="J26" s="9"/>
      <c r="K26" s="9"/>
      <c r="L26" s="9"/>
      <c r="M26" s="9"/>
      <c r="N26" s="9">
        <f>D26+E26-SUM(F26:M26)</f>
        <v>176</v>
      </c>
      <c r="O26" s="9">
        <v>176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'2809'!O27</f>
        <v>142</v>
      </c>
      <c r="E27" s="9"/>
      <c r="F27" s="9">
        <v>14</v>
      </c>
      <c r="G27" s="11"/>
      <c r="H27" s="9"/>
      <c r="I27" s="9"/>
      <c r="J27" s="9"/>
      <c r="K27" s="9"/>
      <c r="L27" s="9"/>
      <c r="M27" s="9"/>
      <c r="N27" s="9">
        <f>D27+E27-SUM(F27:M27)</f>
        <v>128</v>
      </c>
      <c r="O27" s="9">
        <v>128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'2809'!O28</f>
        <v>270</v>
      </c>
      <c r="E28" s="9">
        <v>70</v>
      </c>
      <c r="F28" s="9">
        <v>62</v>
      </c>
      <c r="G28" s="11"/>
      <c r="H28" s="9"/>
      <c r="I28" s="9"/>
      <c r="J28" s="9"/>
      <c r="K28" s="9"/>
      <c r="L28" s="9"/>
      <c r="M28" s="9"/>
      <c r="N28" s="9">
        <f>D28+E28-SUM(F28:M28)</f>
        <v>278</v>
      </c>
      <c r="O28" s="9">
        <v>278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'2809'!O29</f>
        <v>137</v>
      </c>
      <c r="E29" s="9"/>
      <c r="F29" s="9">
        <v>20</v>
      </c>
      <c r="G29" s="11"/>
      <c r="H29" s="9"/>
      <c r="I29" s="9"/>
      <c r="J29" s="9"/>
      <c r="K29" s="9"/>
      <c r="L29" s="9"/>
      <c r="M29" s="9"/>
      <c r="N29" s="9">
        <f>D29+E29-SUM(F29:M29)</f>
        <v>117</v>
      </c>
      <c r="O29" s="9">
        <v>117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22" workbookViewId="0">
      <pane xSplit="1" topLeftCell="C1" activePane="topRight" state="frozen"/>
      <selection activeCell="B20" sqref="B20"/>
      <selection pane="topRight" activeCell="D16" sqref="D16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DATE(2015,9,29)</f>
        <v>42276</v>
      </c>
      <c r="E5" s="293">
        <f>D5+1</f>
        <v>42277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75"/>
      <c r="M6" s="175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39</v>
      </c>
      <c r="H7" s="5" t="s">
        <v>40</v>
      </c>
      <c r="I7" s="5" t="s">
        <v>38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'2909'!O8</f>
        <v>690</v>
      </c>
      <c r="E8" s="10">
        <v>82</v>
      </c>
      <c r="F8" s="11">
        <v>59</v>
      </c>
      <c r="G8" s="11">
        <v>30</v>
      </c>
      <c r="H8" s="11">
        <v>30</v>
      </c>
      <c r="I8" s="11">
        <v>30</v>
      </c>
      <c r="J8" s="11"/>
      <c r="K8" s="11"/>
      <c r="L8" s="11"/>
      <c r="M8" s="11"/>
      <c r="N8" s="9">
        <f t="shared" ref="N8:N24" si="0">D8+E8-SUM(F8:M8)</f>
        <v>623</v>
      </c>
      <c r="O8" s="9">
        <f>116+125+120+180+E8</f>
        <v>623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'2909'!O9</f>
        <v>147</v>
      </c>
      <c r="E9" s="14">
        <f>88+84+84</f>
        <v>256</v>
      </c>
      <c r="F9" s="11"/>
      <c r="G9" s="11">
        <v>40</v>
      </c>
      <c r="H9" s="11">
        <v>30</v>
      </c>
      <c r="I9" s="11">
        <v>30</v>
      </c>
      <c r="J9" s="11"/>
      <c r="K9" s="11"/>
      <c r="L9" s="11"/>
      <c r="M9" s="11"/>
      <c r="N9" s="9">
        <f t="shared" si="0"/>
        <v>303</v>
      </c>
      <c r="O9" s="9">
        <f>37+10+E9</f>
        <v>303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'2909'!O10</f>
        <v>344</v>
      </c>
      <c r="E10" s="10">
        <v>78</v>
      </c>
      <c r="F10" s="11">
        <v>10</v>
      </c>
      <c r="G10" s="11">
        <v>30</v>
      </c>
      <c r="H10" s="11">
        <v>30</v>
      </c>
      <c r="I10" s="11">
        <v>40</v>
      </c>
      <c r="J10" s="11"/>
      <c r="K10" s="11"/>
      <c r="L10" s="11"/>
      <c r="M10" s="11"/>
      <c r="N10" s="9">
        <f t="shared" si="0"/>
        <v>312</v>
      </c>
      <c r="O10" s="9">
        <f>124+110+E10</f>
        <v>312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'2909'!O11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'2909'!O12</f>
        <v>379</v>
      </c>
      <c r="E12" s="14">
        <f>150+155</f>
        <v>305</v>
      </c>
      <c r="F12" s="11">
        <v>20</v>
      </c>
      <c r="G12" s="11">
        <v>34</v>
      </c>
      <c r="H12" s="11">
        <v>60</v>
      </c>
      <c r="I12" s="11">
        <v>40</v>
      </c>
      <c r="J12" s="11"/>
      <c r="K12" s="11"/>
      <c r="L12" s="11"/>
      <c r="M12" s="11"/>
      <c r="N12" s="9">
        <f t="shared" si="0"/>
        <v>530</v>
      </c>
      <c r="O12" s="9">
        <f>73+152+E12</f>
        <v>530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'2909'!O13</f>
        <v>342</v>
      </c>
      <c r="E13" s="14">
        <v>118</v>
      </c>
      <c r="F13" s="11">
        <v>15</v>
      </c>
      <c r="G13" s="11">
        <v>30</v>
      </c>
      <c r="H13" s="11">
        <v>40</v>
      </c>
      <c r="I13" s="11"/>
      <c r="J13" s="11"/>
      <c r="K13" s="11"/>
      <c r="L13" s="11"/>
      <c r="M13" s="11"/>
      <c r="N13" s="9">
        <f t="shared" si="0"/>
        <v>375</v>
      </c>
      <c r="O13" s="9">
        <f>110+147+E13</f>
        <v>375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'2909'!O14</f>
        <v>1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'2909'!O15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'2909'!O16</f>
        <v>9</v>
      </c>
      <c r="E16" s="14">
        <v>2</v>
      </c>
      <c r="F16" s="11">
        <v>1</v>
      </c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'2909'!O17</f>
        <v>1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3</v>
      </c>
      <c r="O17" s="9"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'2909'!O18</f>
        <v>5</v>
      </c>
      <c r="E18" s="14"/>
      <c r="F18" s="11"/>
      <c r="G18" s="11">
        <v>1</v>
      </c>
      <c r="H18" s="11">
        <v>1</v>
      </c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'2909'!O19</f>
        <v>3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'2909'!O20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'2909'!O21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'2909'!O22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'2909'!O23</f>
        <v>0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40</v>
      </c>
      <c r="O23" s="9">
        <v>40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'2909'!O24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'2909'!O26</f>
        <v>176</v>
      </c>
      <c r="E26" s="10">
        <v>138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214</v>
      </c>
      <c r="O26" s="9">
        <v>214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'2909'!O27</f>
        <v>128</v>
      </c>
      <c r="E27" s="9"/>
      <c r="F27" s="9">
        <v>12</v>
      </c>
      <c r="G27" s="11"/>
      <c r="H27" s="9"/>
      <c r="I27" s="9"/>
      <c r="J27" s="9"/>
      <c r="K27" s="9"/>
      <c r="L27" s="9"/>
      <c r="M27" s="9"/>
      <c r="N27" s="9">
        <f>D27+E27-SUM(F27:M27)</f>
        <v>116</v>
      </c>
      <c r="O27" s="9">
        <v>116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'2909'!O28</f>
        <v>278</v>
      </c>
      <c r="E28" s="9"/>
      <c r="F28" s="9">
        <v>60</v>
      </c>
      <c r="G28" s="11"/>
      <c r="H28" s="9"/>
      <c r="I28" s="9"/>
      <c r="J28" s="9"/>
      <c r="K28" s="9"/>
      <c r="L28" s="9"/>
      <c r="M28" s="9"/>
      <c r="N28" s="9">
        <f>D28+E28-SUM(F28:M28)</f>
        <v>218</v>
      </c>
      <c r="O28" s="9">
        <v>218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'2909'!O29</f>
        <v>117</v>
      </c>
      <c r="E29" s="9">
        <v>82</v>
      </c>
      <c r="F29" s="9">
        <v>50</v>
      </c>
      <c r="G29" s="11"/>
      <c r="H29" s="9"/>
      <c r="I29" s="9"/>
      <c r="J29" s="9"/>
      <c r="K29" s="9"/>
      <c r="L29" s="9"/>
      <c r="M29" s="9"/>
      <c r="N29" s="9">
        <f>D29+E29-SUM(F29:M29)</f>
        <v>149</v>
      </c>
      <c r="O29" s="9">
        <v>149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DATE(2015,9,30)</f>
        <v>42277</v>
      </c>
      <c r="E5" s="293">
        <f>D5+1</f>
        <v>42278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76"/>
      <c r="M6" s="176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52</v>
      </c>
      <c r="H7" s="5" t="s">
        <v>51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'3009'!O8</f>
        <v>623</v>
      </c>
      <c r="E8" s="10">
        <f>65+94+94</f>
        <v>253</v>
      </c>
      <c r="F8" s="11">
        <v>66</v>
      </c>
      <c r="G8" s="11">
        <v>350</v>
      </c>
      <c r="H8" s="11">
        <v>150</v>
      </c>
      <c r="I8" s="11"/>
      <c r="J8" s="11"/>
      <c r="K8" s="11"/>
      <c r="L8" s="11"/>
      <c r="M8" s="11"/>
      <c r="N8" s="9">
        <f t="shared" ref="N8:N24" si="0">D8+E8-SUM(F8:M8)</f>
        <v>310</v>
      </c>
      <c r="O8" s="9">
        <f>57+E8</f>
        <v>310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'3009'!O9</f>
        <v>303</v>
      </c>
      <c r="E9" s="14"/>
      <c r="F9" s="11"/>
      <c r="G9" s="11">
        <v>121</v>
      </c>
      <c r="H9" s="11">
        <v>50</v>
      </c>
      <c r="I9" s="11"/>
      <c r="J9" s="11"/>
      <c r="K9" s="11"/>
      <c r="L9" s="11"/>
      <c r="M9" s="11"/>
      <c r="N9" s="9">
        <f t="shared" si="0"/>
        <v>132</v>
      </c>
      <c r="O9" s="9">
        <f>140+E9</f>
        <v>140</v>
      </c>
      <c r="P9" s="9">
        <f t="shared" si="1"/>
        <v>8</v>
      </c>
    </row>
    <row r="10" spans="1:16" ht="18.75">
      <c r="A10" s="6">
        <v>3</v>
      </c>
      <c r="B10" s="12" t="s">
        <v>15</v>
      </c>
      <c r="C10" s="8" t="s">
        <v>13</v>
      </c>
      <c r="D10" s="9">
        <f>'3009'!O10</f>
        <v>312</v>
      </c>
      <c r="E10" s="10">
        <v>176</v>
      </c>
      <c r="F10" s="11">
        <v>18</v>
      </c>
      <c r="G10" s="11">
        <v>150</v>
      </c>
      <c r="H10" s="11">
        <v>124</v>
      </c>
      <c r="I10" s="11"/>
      <c r="J10" s="11"/>
      <c r="K10" s="11"/>
      <c r="L10" s="11"/>
      <c r="M10" s="11"/>
      <c r="N10" s="9">
        <f t="shared" si="0"/>
        <v>196</v>
      </c>
      <c r="O10" s="9">
        <f>20+E10</f>
        <v>196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'3009'!O11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'3009'!O12</f>
        <v>530</v>
      </c>
      <c r="E12" s="14"/>
      <c r="F12" s="11">
        <v>30</v>
      </c>
      <c r="G12" s="11">
        <v>265</v>
      </c>
      <c r="H12" s="11">
        <v>80</v>
      </c>
      <c r="I12" s="11"/>
      <c r="J12" s="11"/>
      <c r="K12" s="11"/>
      <c r="L12" s="11"/>
      <c r="M12" s="11"/>
      <c r="N12" s="9">
        <f t="shared" si="0"/>
        <v>155</v>
      </c>
      <c r="O12" s="9">
        <f>155+E12</f>
        <v>155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'3009'!O13</f>
        <v>375</v>
      </c>
      <c r="E13" s="14">
        <v>120</v>
      </c>
      <c r="F13" s="11"/>
      <c r="G13" s="11">
        <v>100</v>
      </c>
      <c r="H13" s="11">
        <v>100</v>
      </c>
      <c r="I13" s="11"/>
      <c r="J13" s="11"/>
      <c r="K13" s="11"/>
      <c r="L13" s="11"/>
      <c r="M13" s="11"/>
      <c r="N13" s="9">
        <f t="shared" si="0"/>
        <v>295</v>
      </c>
      <c r="O13" s="9">
        <f>57+117+E13</f>
        <v>294</v>
      </c>
      <c r="P13" s="9">
        <f t="shared" si="1"/>
        <v>-1</v>
      </c>
    </row>
    <row r="14" spans="1:16" ht="18.75">
      <c r="A14" s="6">
        <v>7</v>
      </c>
      <c r="B14" s="12" t="s">
        <v>20</v>
      </c>
      <c r="C14" s="6" t="s">
        <v>21</v>
      </c>
      <c r="D14" s="9">
        <f>'3009'!O14</f>
        <v>3</v>
      </c>
      <c r="E14" s="14"/>
      <c r="F14" s="11"/>
      <c r="G14" s="11"/>
      <c r="H14" s="11">
        <v>2</v>
      </c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'3009'!O15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'3009'!O16</f>
        <v>7</v>
      </c>
      <c r="E16" s="14"/>
      <c r="F16" s="11">
        <v>1</v>
      </c>
      <c r="G16" s="11">
        <v>3</v>
      </c>
      <c r="H16" s="11"/>
      <c r="I16" s="11"/>
      <c r="J16" s="11"/>
      <c r="K16" s="11"/>
      <c r="L16" s="11"/>
      <c r="M16" s="11"/>
      <c r="N16" s="9">
        <f t="shared" si="0"/>
        <v>3</v>
      </c>
      <c r="O16" s="9">
        <v>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'3009'!O17</f>
        <v>3</v>
      </c>
      <c r="E17" s="14"/>
      <c r="F17" s="11"/>
      <c r="G17" s="11"/>
      <c r="H17" s="11">
        <v>1</v>
      </c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'3009'!O18</f>
        <v>3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'3009'!O19</f>
        <v>3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'3009'!O20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'3009'!O21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'3009'!O22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'3009'!O23</f>
        <v>40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40</v>
      </c>
      <c r="O23" s="9">
        <v>40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'3009'!O24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'3009'!O26</f>
        <v>214</v>
      </c>
      <c r="E26" s="10">
        <v>145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249</v>
      </c>
      <c r="O26" s="9">
        <v>249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'3009'!O27</f>
        <v>116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106</v>
      </c>
      <c r="O27" s="9">
        <v>106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'3009'!O28</f>
        <v>218</v>
      </c>
      <c r="E28" s="9">
        <v>155</v>
      </c>
      <c r="F28" s="9">
        <v>44</v>
      </c>
      <c r="G28" s="11"/>
      <c r="H28" s="9"/>
      <c r="I28" s="9"/>
      <c r="J28" s="9"/>
      <c r="K28" s="9"/>
      <c r="L28" s="9"/>
      <c r="M28" s="9"/>
      <c r="N28" s="9">
        <f>D28+E28-SUM(F28:M28)</f>
        <v>329</v>
      </c>
      <c r="O28" s="9">
        <v>329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'3009'!O29</f>
        <v>149</v>
      </c>
      <c r="E29" s="9">
        <v>88</v>
      </c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167</v>
      </c>
      <c r="O29" s="9">
        <v>167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DATE(2015,10,1)</f>
        <v>42278</v>
      </c>
      <c r="E5" s="293">
        <f>D5+1</f>
        <v>42279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77"/>
      <c r="M6" s="177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49</v>
      </c>
      <c r="H7" s="5" t="s">
        <v>77</v>
      </c>
      <c r="I7" s="5" t="s">
        <v>62</v>
      </c>
      <c r="J7" s="5" t="s">
        <v>71</v>
      </c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'0110'!O8</f>
        <v>310</v>
      </c>
      <c r="E8" s="10">
        <f>111+58+113+6</f>
        <v>288</v>
      </c>
      <c r="F8" s="11">
        <v>60</v>
      </c>
      <c r="G8" s="11">
        <v>90</v>
      </c>
      <c r="H8" s="11">
        <v>40</v>
      </c>
      <c r="I8" s="11"/>
      <c r="J8" s="11"/>
      <c r="K8" s="11"/>
      <c r="L8" s="11"/>
      <c r="M8" s="11"/>
      <c r="N8" s="9">
        <f t="shared" ref="N8:N24" si="0">D8+E8-SUM(F8:M8)</f>
        <v>408</v>
      </c>
      <c r="O8" s="9">
        <f>120+E8</f>
        <v>408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'0110'!O9</f>
        <v>140</v>
      </c>
      <c r="E9" s="14"/>
      <c r="F9" s="11"/>
      <c r="G9" s="11">
        <v>80</v>
      </c>
      <c r="H9" s="11"/>
      <c r="I9" s="11"/>
      <c r="J9" s="11"/>
      <c r="K9" s="11"/>
      <c r="L9" s="11"/>
      <c r="M9" s="11"/>
      <c r="N9" s="9">
        <f t="shared" si="0"/>
        <v>60</v>
      </c>
      <c r="O9" s="9">
        <v>60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'0110'!O10</f>
        <v>196</v>
      </c>
      <c r="E10" s="10">
        <v>165</v>
      </c>
      <c r="F10" s="11">
        <v>6</v>
      </c>
      <c r="G10" s="11">
        <v>80</v>
      </c>
      <c r="H10" s="11">
        <v>20</v>
      </c>
      <c r="I10" s="11">
        <v>30</v>
      </c>
      <c r="J10" s="11"/>
      <c r="K10" s="11"/>
      <c r="L10" s="11"/>
      <c r="M10" s="11"/>
      <c r="N10" s="9">
        <f t="shared" si="0"/>
        <v>225</v>
      </c>
      <c r="O10" s="9">
        <f>60+E10</f>
        <v>225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'0110'!O11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'0110'!O12</f>
        <v>155</v>
      </c>
      <c r="E12" s="14">
        <v>171</v>
      </c>
      <c r="F12" s="11"/>
      <c r="G12" s="11">
        <v>80</v>
      </c>
      <c r="H12" s="11">
        <v>60</v>
      </c>
      <c r="I12" s="11"/>
      <c r="J12" s="11"/>
      <c r="K12" s="11"/>
      <c r="L12" s="11"/>
      <c r="M12" s="11"/>
      <c r="N12" s="9">
        <f t="shared" si="0"/>
        <v>186</v>
      </c>
      <c r="O12" s="9">
        <f>15+E12</f>
        <v>186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'0110'!O13</f>
        <v>294</v>
      </c>
      <c r="E13" s="14">
        <f>67+135</f>
        <v>202</v>
      </c>
      <c r="F13" s="11">
        <v>30</v>
      </c>
      <c r="G13" s="11">
        <v>94</v>
      </c>
      <c r="H13" s="11">
        <v>120</v>
      </c>
      <c r="I13" s="11"/>
      <c r="J13" s="11"/>
      <c r="K13" s="11"/>
      <c r="L13" s="11"/>
      <c r="M13" s="11"/>
      <c r="N13" s="9">
        <f t="shared" si="0"/>
        <v>252</v>
      </c>
      <c r="O13" s="9">
        <f>50+E13</f>
        <v>252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'0110'!O14</f>
        <v>1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'0110'!O15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'0110'!O16</f>
        <v>3</v>
      </c>
      <c r="E16" s="14"/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2</v>
      </c>
      <c r="O16" s="9">
        <v>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'0110'!O17</f>
        <v>2</v>
      </c>
      <c r="E17" s="14">
        <v>1</v>
      </c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'0110'!O18</f>
        <v>3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'0110'!O19</f>
        <v>2</v>
      </c>
      <c r="E19" s="14">
        <v>2</v>
      </c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'0110'!O20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'0110'!O21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'0110'!O22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'0110'!O23</f>
        <v>40</v>
      </c>
      <c r="E23" s="14">
        <v>31</v>
      </c>
      <c r="F23" s="9">
        <v>30</v>
      </c>
      <c r="G23" s="9"/>
      <c r="H23" s="9"/>
      <c r="I23" s="9"/>
      <c r="J23" s="9">
        <v>33</v>
      </c>
      <c r="K23" s="9"/>
      <c r="L23" s="9"/>
      <c r="M23" s="9"/>
      <c r="N23" s="9">
        <f t="shared" si="0"/>
        <v>8</v>
      </c>
      <c r="O23" s="9">
        <v>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'0110'!O24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'0110'!O26</f>
        <v>249</v>
      </c>
      <c r="E26" s="10">
        <v>64</v>
      </c>
      <c r="F26" s="9">
        <v>111</v>
      </c>
      <c r="G26" s="11"/>
      <c r="H26" s="9"/>
      <c r="I26" s="9"/>
      <c r="J26" s="9"/>
      <c r="K26" s="9"/>
      <c r="L26" s="9"/>
      <c r="M26" s="9"/>
      <c r="N26" s="9">
        <f>D26+E26-SUM(F26:M26)</f>
        <v>202</v>
      </c>
      <c r="O26" s="9">
        <v>202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'0110'!O27</f>
        <v>106</v>
      </c>
      <c r="E27" s="9"/>
      <c r="F27" s="9">
        <v>9</v>
      </c>
      <c r="G27" s="11"/>
      <c r="H27" s="9"/>
      <c r="I27" s="9"/>
      <c r="J27" s="9"/>
      <c r="K27" s="9"/>
      <c r="L27" s="9"/>
      <c r="M27" s="9"/>
      <c r="N27" s="9">
        <f>D27+E27-SUM(F27:M27)</f>
        <v>97</v>
      </c>
      <c r="O27" s="9">
        <v>97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'0110'!O28</f>
        <v>329</v>
      </c>
      <c r="E28" s="9">
        <v>150</v>
      </c>
      <c r="F28" s="9">
        <v>171</v>
      </c>
      <c r="G28" s="11"/>
      <c r="H28" s="9"/>
      <c r="I28" s="9"/>
      <c r="J28" s="9"/>
      <c r="K28" s="9"/>
      <c r="L28" s="9"/>
      <c r="M28" s="9"/>
      <c r="N28" s="9">
        <f>D28+E28-SUM(F28:M28)</f>
        <v>308</v>
      </c>
      <c r="O28" s="9">
        <v>308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'0110'!O29</f>
        <v>167</v>
      </c>
      <c r="E29" s="9">
        <v>46</v>
      </c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143</v>
      </c>
      <c r="O29" s="9">
        <v>143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DATE(2015,10,2)</f>
        <v>42279</v>
      </c>
      <c r="E5" s="293">
        <f>D5+1</f>
        <v>42280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78"/>
      <c r="M6" s="178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81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'0210'!O8</f>
        <v>408</v>
      </c>
      <c r="E8" s="10"/>
      <c r="F8" s="11">
        <v>66</v>
      </c>
      <c r="G8" s="11">
        <v>59</v>
      </c>
      <c r="H8" s="11"/>
      <c r="I8" s="11"/>
      <c r="J8" s="11"/>
      <c r="K8" s="11"/>
      <c r="L8" s="11"/>
      <c r="M8" s="11"/>
      <c r="N8" s="9">
        <f t="shared" ref="N8:N24" si="0">D8+E8-SUM(F8:M8)</f>
        <v>283</v>
      </c>
      <c r="O8" s="9">
        <f>120+98+E8+65</f>
        <v>283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'0210'!O9</f>
        <v>60</v>
      </c>
      <c r="E9" s="14">
        <f>88+76+85+34+44</f>
        <v>327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387</v>
      </c>
      <c r="O9" s="9">
        <f>60+E9</f>
        <v>387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'0210'!O10</f>
        <v>225</v>
      </c>
      <c r="E10" s="10">
        <v>129</v>
      </c>
      <c r="F10" s="11">
        <v>10</v>
      </c>
      <c r="G10" s="11">
        <v>100</v>
      </c>
      <c r="H10" s="11"/>
      <c r="I10" s="11"/>
      <c r="J10" s="11"/>
      <c r="K10" s="11"/>
      <c r="L10" s="11"/>
      <c r="M10" s="11"/>
      <c r="N10" s="9">
        <f t="shared" si="0"/>
        <v>244</v>
      </c>
      <c r="O10" s="9">
        <f>115+E10</f>
        <v>244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'0210'!O11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'0210'!O12</f>
        <v>186</v>
      </c>
      <c r="E12" s="14">
        <v>134</v>
      </c>
      <c r="F12" s="11">
        <v>37</v>
      </c>
      <c r="G12" s="11">
        <v>35</v>
      </c>
      <c r="H12" s="11"/>
      <c r="I12" s="11"/>
      <c r="J12" s="11"/>
      <c r="K12" s="11"/>
      <c r="L12" s="11"/>
      <c r="M12" s="11"/>
      <c r="N12" s="9">
        <f t="shared" si="0"/>
        <v>248</v>
      </c>
      <c r="O12" s="9">
        <f>114+E12</f>
        <v>248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'0210'!O13</f>
        <v>252</v>
      </c>
      <c r="E13" s="14">
        <v>120</v>
      </c>
      <c r="F13" s="11"/>
      <c r="G13" s="11">
        <v>50</v>
      </c>
      <c r="H13" s="11"/>
      <c r="I13" s="11"/>
      <c r="J13" s="11"/>
      <c r="K13" s="11"/>
      <c r="L13" s="11"/>
      <c r="M13" s="11"/>
      <c r="N13" s="9">
        <f t="shared" si="0"/>
        <v>322</v>
      </c>
      <c r="O13" s="9">
        <f>60+142+E13</f>
        <v>322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'0210'!O14</f>
        <v>3</v>
      </c>
      <c r="E14" s="14"/>
      <c r="F14" s="11"/>
      <c r="G14" s="11">
        <v>3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'0210'!O15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'0210'!O16</f>
        <v>2</v>
      </c>
      <c r="E16" s="14">
        <v>6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'0210'!O17</f>
        <v>2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'0210'!O18</f>
        <v>2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'0210'!O19</f>
        <v>2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'0210'!O20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'0210'!O21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'0210'!O22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'0210'!O23</f>
        <v>8</v>
      </c>
      <c r="E23" s="14">
        <v>64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'0210'!O24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'0210'!O26</f>
        <v>202</v>
      </c>
      <c r="E26" s="10"/>
      <c r="F26" s="9">
        <v>69</v>
      </c>
      <c r="G26" s="11"/>
      <c r="H26" s="9"/>
      <c r="I26" s="9"/>
      <c r="J26" s="9"/>
      <c r="K26" s="9"/>
      <c r="L26" s="9"/>
      <c r="M26" s="9"/>
      <c r="N26" s="9">
        <f>D26+E26-SUM(F26:M26)</f>
        <v>133</v>
      </c>
      <c r="O26" s="9">
        <v>133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'0210'!O27</f>
        <v>97</v>
      </c>
      <c r="E27" s="9">
        <v>30</v>
      </c>
      <c r="F27" s="9">
        <v>14</v>
      </c>
      <c r="G27" s="11"/>
      <c r="H27" s="9"/>
      <c r="I27" s="9"/>
      <c r="J27" s="9"/>
      <c r="K27" s="9"/>
      <c r="L27" s="9"/>
      <c r="M27" s="9"/>
      <c r="N27" s="9">
        <f>D27+E27-SUM(F27:M27)</f>
        <v>113</v>
      </c>
      <c r="O27" s="9">
        <v>113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'0210'!O28</f>
        <v>308</v>
      </c>
      <c r="E28" s="9">
        <v>78</v>
      </c>
      <c r="F28" s="9">
        <v>81</v>
      </c>
      <c r="G28" s="11"/>
      <c r="H28" s="9"/>
      <c r="I28" s="9"/>
      <c r="J28" s="9"/>
      <c r="K28" s="9"/>
      <c r="L28" s="9"/>
      <c r="M28" s="9"/>
      <c r="N28" s="9">
        <f>D28+E28-SUM(F28:M28)</f>
        <v>305</v>
      </c>
      <c r="O28" s="9">
        <v>305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'0210'!O29</f>
        <v>143</v>
      </c>
      <c r="E29" s="9">
        <v>84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172</v>
      </c>
      <c r="O29" s="9">
        <v>172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DATE(2015,10,3)</f>
        <v>42280</v>
      </c>
      <c r="E5" s="293">
        <f>D5+1</f>
        <v>42281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79"/>
      <c r="M6" s="179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/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'0310'!O8</f>
        <v>283</v>
      </c>
      <c r="E8" s="10">
        <f>108+54</f>
        <v>162</v>
      </c>
      <c r="F8" s="11">
        <v>65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380</v>
      </c>
      <c r="O8" s="9">
        <f>120+98+E8</f>
        <v>380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'0310'!O9</f>
        <v>387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387</v>
      </c>
      <c r="O9" s="9">
        <f>240+147</f>
        <v>387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'0310'!O10</f>
        <v>244</v>
      </c>
      <c r="E10" s="10">
        <v>204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438</v>
      </c>
      <c r="O10" s="9">
        <f>115+119+E10</f>
        <v>438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'0310'!O11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'0310'!O12</f>
        <v>248</v>
      </c>
      <c r="E12" s="14">
        <f>120+103</f>
        <v>223</v>
      </c>
      <c r="F12" s="11">
        <v>20</v>
      </c>
      <c r="G12" s="11"/>
      <c r="H12" s="11"/>
      <c r="I12" s="11"/>
      <c r="J12" s="11"/>
      <c r="K12" s="11"/>
      <c r="L12" s="11"/>
      <c r="M12" s="11"/>
      <c r="N12" s="9">
        <f t="shared" si="0"/>
        <v>451</v>
      </c>
      <c r="O12" s="9">
        <f>94+134+E12</f>
        <v>451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'0310'!O13</f>
        <v>322</v>
      </c>
      <c r="E13" s="14">
        <v>160</v>
      </c>
      <c r="F13" s="11">
        <v>28</v>
      </c>
      <c r="G13" s="11"/>
      <c r="H13" s="11"/>
      <c r="I13" s="11"/>
      <c r="J13" s="11"/>
      <c r="K13" s="11"/>
      <c r="L13" s="11"/>
      <c r="M13" s="11"/>
      <c r="N13" s="9">
        <f t="shared" si="0"/>
        <v>454</v>
      </c>
      <c r="O13" s="9">
        <f>122+112+60+160</f>
        <v>454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'0310'!O14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'0310'!O15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'0310'!O16</f>
        <v>6</v>
      </c>
      <c r="E16" s="14">
        <v>8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13</v>
      </c>
      <c r="O16" s="9">
        <v>13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'0310'!O17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'0310'!O18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'0310'!O19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'0310'!O20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'0310'!O21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'0310'!O22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'0310'!O23</f>
        <v>72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'0310'!O24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'0310'!O26</f>
        <v>133</v>
      </c>
      <c r="E26" s="10">
        <v>67</v>
      </c>
      <c r="F26" s="9">
        <v>30</v>
      </c>
      <c r="G26" s="11"/>
      <c r="H26" s="9"/>
      <c r="I26" s="9"/>
      <c r="J26" s="9"/>
      <c r="K26" s="9"/>
      <c r="L26" s="9"/>
      <c r="M26" s="9"/>
      <c r="N26" s="9">
        <f>D26+E26-SUM(F26:M26)</f>
        <v>170</v>
      </c>
      <c r="O26" s="9">
        <v>170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'0310'!O27</f>
        <v>113</v>
      </c>
      <c r="E27" s="9"/>
      <c r="F27" s="9">
        <v>7</v>
      </c>
      <c r="G27" s="11"/>
      <c r="H27" s="9"/>
      <c r="I27" s="9"/>
      <c r="J27" s="9"/>
      <c r="K27" s="9"/>
      <c r="L27" s="9"/>
      <c r="M27" s="9"/>
      <c r="N27" s="9">
        <f>D27+E27-SUM(F27:M27)</f>
        <v>106</v>
      </c>
      <c r="O27" s="9">
        <v>106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'0310'!O28</f>
        <v>305</v>
      </c>
      <c r="E28" s="9">
        <v>73</v>
      </c>
      <c r="F28" s="9">
        <v>50</v>
      </c>
      <c r="G28" s="11"/>
      <c r="H28" s="9"/>
      <c r="I28" s="9"/>
      <c r="J28" s="9"/>
      <c r="K28" s="9"/>
      <c r="L28" s="9"/>
      <c r="M28" s="9"/>
      <c r="N28" s="9">
        <f>D28+E28-SUM(F28:M28)</f>
        <v>328</v>
      </c>
      <c r="O28" s="9">
        <v>328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'0310'!O29</f>
        <v>172</v>
      </c>
      <c r="E29" s="9"/>
      <c r="F29" s="9">
        <v>40</v>
      </c>
      <c r="G29" s="11"/>
      <c r="H29" s="9"/>
      <c r="I29" s="9"/>
      <c r="J29" s="9"/>
      <c r="K29" s="9"/>
      <c r="L29" s="9"/>
      <c r="M29" s="9"/>
      <c r="N29" s="9">
        <f>D29+E29-SUM(F29:M29)</f>
        <v>132</v>
      </c>
      <c r="O29" s="9">
        <v>132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25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DATE(2015,10,4)</f>
        <v>42281</v>
      </c>
      <c r="E5" s="293">
        <f>D5+1</f>
        <v>42282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79"/>
      <c r="M6" s="179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54</v>
      </c>
      <c r="H7" s="5" t="s">
        <v>71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'0410'!O8</f>
        <v>380</v>
      </c>
      <c r="E8" s="10">
        <f>97+108</f>
        <v>205</v>
      </c>
      <c r="F8" s="11">
        <v>62</v>
      </c>
      <c r="G8" s="11">
        <v>40</v>
      </c>
      <c r="H8" s="11"/>
      <c r="I8" s="11"/>
      <c r="J8" s="11"/>
      <c r="K8" s="11"/>
      <c r="L8" s="11"/>
      <c r="M8" s="11"/>
      <c r="N8" s="9">
        <f t="shared" ref="N8:N24" si="0">D8+E8-SUM(F8:M8)</f>
        <v>483</v>
      </c>
      <c r="O8" s="9">
        <f>58+120+100+E8</f>
        <v>483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'0410'!O9</f>
        <v>387</v>
      </c>
      <c r="E9" s="14"/>
      <c r="F9" s="11"/>
      <c r="G9" s="11">
        <v>50</v>
      </c>
      <c r="H9" s="11"/>
      <c r="I9" s="11"/>
      <c r="J9" s="11"/>
      <c r="K9" s="11"/>
      <c r="L9" s="11"/>
      <c r="M9" s="11"/>
      <c r="N9" s="9">
        <f t="shared" si="0"/>
        <v>337</v>
      </c>
      <c r="O9" s="9">
        <f>98+240</f>
        <v>338</v>
      </c>
      <c r="P9" s="9">
        <f t="shared" si="1"/>
        <v>1</v>
      </c>
    </row>
    <row r="10" spans="1:16" ht="18.75">
      <c r="A10" s="6">
        <v>3</v>
      </c>
      <c r="B10" s="12" t="s">
        <v>15</v>
      </c>
      <c r="C10" s="8" t="s">
        <v>13</v>
      </c>
      <c r="D10" s="9">
        <f>'0410'!O10</f>
        <v>438</v>
      </c>
      <c r="E10" s="10">
        <v>130</v>
      </c>
      <c r="F10" s="11">
        <v>10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508</v>
      </c>
      <c r="O10" s="9">
        <f>174+204+E10</f>
        <v>508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'0410'!O11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'0410'!O12</f>
        <v>451</v>
      </c>
      <c r="E12" s="14">
        <v>135</v>
      </c>
      <c r="F12" s="11">
        <v>20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536</v>
      </c>
      <c r="O12" s="9">
        <f>44+134+223+E12</f>
        <v>536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'0410'!O13</f>
        <v>454</v>
      </c>
      <c r="E13" s="14">
        <v>123</v>
      </c>
      <c r="F13" s="11">
        <v>40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507</v>
      </c>
      <c r="O13" s="9">
        <f>102+132+150+E13</f>
        <v>507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'0410'!O14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'0410'!O15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'0410'!O16</f>
        <v>13</v>
      </c>
      <c r="E16" s="14"/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12</v>
      </c>
      <c r="O16" s="9">
        <v>12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'0410'!O17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'0410'!O18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'0410'!O19</f>
        <v>1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'0410'!O20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'0410'!O21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'0410'!O22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'0410'!O23</f>
        <v>72</v>
      </c>
      <c r="E23" s="14">
        <v>40</v>
      </c>
      <c r="F23" s="9"/>
      <c r="G23" s="9"/>
      <c r="H23" s="9">
        <v>16</v>
      </c>
      <c r="I23" s="9"/>
      <c r="J23" s="9"/>
      <c r="K23" s="9"/>
      <c r="L23" s="9"/>
      <c r="M23" s="9"/>
      <c r="N23" s="9">
        <f t="shared" si="0"/>
        <v>96</v>
      </c>
      <c r="O23" s="9">
        <v>96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'0410'!O24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'0410'!O26</f>
        <v>170</v>
      </c>
      <c r="E26" s="10">
        <v>127</v>
      </c>
      <c r="F26" s="9">
        <v>96</v>
      </c>
      <c r="G26" s="11"/>
      <c r="H26" s="9"/>
      <c r="I26" s="9"/>
      <c r="J26" s="9"/>
      <c r="K26" s="9"/>
      <c r="L26" s="9"/>
      <c r="M26" s="9"/>
      <c r="N26" s="9">
        <f>D26+E26-SUM(F26:M26)</f>
        <v>201</v>
      </c>
      <c r="O26" s="9">
        <v>201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'0410'!O27</f>
        <v>106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96</v>
      </c>
      <c r="O27" s="9">
        <v>96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'0410'!O28</f>
        <v>328</v>
      </c>
      <c r="E28" s="9">
        <v>73</v>
      </c>
      <c r="F28" s="9">
        <v>83</v>
      </c>
      <c r="G28" s="11"/>
      <c r="H28" s="9"/>
      <c r="I28" s="9"/>
      <c r="J28" s="9"/>
      <c r="K28" s="9"/>
      <c r="L28" s="9"/>
      <c r="M28" s="9"/>
      <c r="N28" s="9">
        <f>D28+E28-SUM(F28:M28)</f>
        <v>318</v>
      </c>
      <c r="O28" s="9">
        <v>318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'0410'!O29</f>
        <v>132</v>
      </c>
      <c r="E29" s="9">
        <v>95</v>
      </c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157</v>
      </c>
      <c r="O29" s="9">
        <v>157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DATE(2015,10,5)</f>
        <v>42282</v>
      </c>
      <c r="E5" s="293">
        <f>D5+1</f>
        <v>42283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79"/>
      <c r="M6" s="179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62</v>
      </c>
      <c r="H7" s="5" t="s">
        <v>80</v>
      </c>
      <c r="I7" s="5" t="s">
        <v>71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'0510'!O8</f>
        <v>483</v>
      </c>
      <c r="E8" s="10">
        <f>98+111+115</f>
        <v>324</v>
      </c>
      <c r="F8" s="11">
        <v>60</v>
      </c>
      <c r="G8" s="11">
        <v>50</v>
      </c>
      <c r="H8" s="11">
        <v>40</v>
      </c>
      <c r="I8" s="11"/>
      <c r="J8" s="11"/>
      <c r="K8" s="11"/>
      <c r="L8" s="11"/>
      <c r="M8" s="11"/>
      <c r="N8" s="9">
        <f t="shared" ref="N8:N24" si="0">D8+E8-SUM(F8:M8)</f>
        <v>657</v>
      </c>
      <c r="O8" s="9">
        <f>196+99+E8+38</f>
        <v>657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'0510'!O9</f>
        <v>338</v>
      </c>
      <c r="E9" s="14"/>
      <c r="F9" s="11"/>
      <c r="G9" s="11"/>
      <c r="H9" s="11">
        <v>40</v>
      </c>
      <c r="I9" s="11"/>
      <c r="J9" s="11"/>
      <c r="K9" s="11"/>
      <c r="L9" s="11"/>
      <c r="M9" s="11"/>
      <c r="N9" s="9">
        <f t="shared" si="0"/>
        <v>298</v>
      </c>
      <c r="O9" s="9">
        <f>56+240</f>
        <v>296</v>
      </c>
      <c r="P9" s="9">
        <f t="shared" si="1"/>
        <v>-2</v>
      </c>
    </row>
    <row r="10" spans="1:16" ht="18.75">
      <c r="A10" s="6">
        <v>3</v>
      </c>
      <c r="B10" s="12" t="s">
        <v>15</v>
      </c>
      <c r="C10" s="8" t="s">
        <v>13</v>
      </c>
      <c r="D10" s="9">
        <f>'0510'!O10</f>
        <v>508</v>
      </c>
      <c r="E10" s="10">
        <v>130</v>
      </c>
      <c r="F10" s="11">
        <v>20</v>
      </c>
      <c r="G10" s="11">
        <v>79</v>
      </c>
      <c r="H10" s="11">
        <v>50</v>
      </c>
      <c r="I10" s="11"/>
      <c r="J10" s="11"/>
      <c r="K10" s="11"/>
      <c r="L10" s="11"/>
      <c r="M10" s="11"/>
      <c r="N10" s="9">
        <f t="shared" si="0"/>
        <v>489</v>
      </c>
      <c r="O10" s="9">
        <f>45+204+110+E10</f>
        <v>489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'0510'!O11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'0510'!O12</f>
        <v>536</v>
      </c>
      <c r="E12" s="14">
        <v>186</v>
      </c>
      <c r="F12" s="11">
        <v>10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682</v>
      </c>
      <c r="O12" s="9">
        <f>125+213+E12+158</f>
        <v>682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'0510'!O13</f>
        <v>507</v>
      </c>
      <c r="E13" s="14">
        <v>167</v>
      </c>
      <c r="F13" s="11"/>
      <c r="G13" s="11">
        <v>50</v>
      </c>
      <c r="H13" s="11">
        <v>52</v>
      </c>
      <c r="I13" s="11"/>
      <c r="J13" s="11"/>
      <c r="K13" s="11"/>
      <c r="L13" s="11"/>
      <c r="M13" s="11"/>
      <c r="N13" s="9">
        <f t="shared" si="0"/>
        <v>572</v>
      </c>
      <c r="O13" s="9">
        <f>142+160+103+E13</f>
        <v>572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'0510'!O14</f>
        <v>0</v>
      </c>
      <c r="E14" s="14">
        <v>3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'0510'!O15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'0510'!O16</f>
        <v>12</v>
      </c>
      <c r="E16" s="14">
        <v>1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12</v>
      </c>
      <c r="O16" s="9">
        <v>12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'0510'!O17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'0510'!O18</f>
        <v>1</v>
      </c>
      <c r="E18" s="14">
        <v>2</v>
      </c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'0510'!O19</f>
        <v>3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'0510'!O20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'0510'!O21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'0510'!O22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'0510'!O23</f>
        <v>96</v>
      </c>
      <c r="E23" s="14"/>
      <c r="F23" s="9"/>
      <c r="G23" s="9"/>
      <c r="H23" s="9"/>
      <c r="I23" s="9">
        <v>62</v>
      </c>
      <c r="J23" s="9"/>
      <c r="K23" s="9"/>
      <c r="L23" s="9"/>
      <c r="M23" s="9"/>
      <c r="N23" s="9">
        <f t="shared" si="0"/>
        <v>34</v>
      </c>
      <c r="O23" s="9">
        <v>34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'0510'!O24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'0510'!O26</f>
        <v>201</v>
      </c>
      <c r="E26" s="10">
        <v>66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177</v>
      </c>
      <c r="O26" s="9">
        <v>177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'0510'!O27</f>
        <v>96</v>
      </c>
      <c r="E27" s="9">
        <v>30</v>
      </c>
      <c r="F27" s="9">
        <v>12</v>
      </c>
      <c r="G27" s="11"/>
      <c r="H27" s="9"/>
      <c r="I27" s="9"/>
      <c r="J27" s="9"/>
      <c r="K27" s="9"/>
      <c r="L27" s="9"/>
      <c r="M27" s="9"/>
      <c r="N27" s="9">
        <f>D27+E27-SUM(F27:M27)</f>
        <v>114</v>
      </c>
      <c r="O27" s="9">
        <v>114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'0510'!O28</f>
        <v>318</v>
      </c>
      <c r="E28" s="9">
        <v>78</v>
      </c>
      <c r="F28" s="9">
        <v>103</v>
      </c>
      <c r="G28" s="11"/>
      <c r="H28" s="9"/>
      <c r="I28" s="9"/>
      <c r="J28" s="9"/>
      <c r="K28" s="9"/>
      <c r="L28" s="9"/>
      <c r="M28" s="9"/>
      <c r="N28" s="9">
        <f>D28+E28-SUM(F28:M28)</f>
        <v>293</v>
      </c>
      <c r="O28" s="9">
        <v>293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'0510'!O29</f>
        <v>157</v>
      </c>
      <c r="E29" s="9">
        <v>48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140</v>
      </c>
      <c r="O29" s="9">
        <v>140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3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DATE(2015,4,18)</f>
        <v>42112</v>
      </c>
      <c r="E5" s="293">
        <f>D5+1</f>
        <v>42113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42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/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VLOOKUP($B8,'1804'!$B8:$M22,11,0)</f>
        <v>211</v>
      </c>
      <c r="E8" s="10">
        <v>9</v>
      </c>
      <c r="F8" s="11">
        <v>50</v>
      </c>
      <c r="G8" s="11"/>
      <c r="H8" s="11"/>
      <c r="I8" s="11"/>
      <c r="J8" s="11"/>
      <c r="K8" s="9">
        <f>D8+E8-SUM(F8:J8)</f>
        <v>170</v>
      </c>
      <c r="L8" s="9">
        <f>161+9</f>
        <v>170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VLOOKUP($B9,'1804'!$B9:$M23,11,0)</f>
        <v>24</v>
      </c>
      <c r="E9" s="14">
        <f>33+84+78+68+13</f>
        <v>276</v>
      </c>
      <c r="F9" s="11"/>
      <c r="G9" s="11"/>
      <c r="H9" s="11"/>
      <c r="I9" s="11"/>
      <c r="J9" s="11"/>
      <c r="K9" s="9">
        <f t="shared" ref="K9:K19" si="1">D9+E9-SUM(F9:J9)</f>
        <v>300</v>
      </c>
      <c r="L9" s="9">
        <v>300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VLOOKUP($B10,'1804'!$B10:$M24,11,0)</f>
        <v>114</v>
      </c>
      <c r="E10" s="10">
        <v>113</v>
      </c>
      <c r="F10" s="11"/>
      <c r="G10" s="11"/>
      <c r="H10" s="11"/>
      <c r="I10" s="11"/>
      <c r="J10" s="11"/>
      <c r="K10" s="9">
        <f t="shared" si="1"/>
        <v>227</v>
      </c>
      <c r="L10" s="9">
        <f>104+113</f>
        <v>217</v>
      </c>
      <c r="M10" s="9">
        <f t="shared" si="0"/>
        <v>-10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VLOOKUP($B11,'1804'!$B11:$M25,11,0)</f>
        <v>265</v>
      </c>
      <c r="E11" s="10"/>
      <c r="F11" s="11"/>
      <c r="G11" s="11"/>
      <c r="H11" s="11"/>
      <c r="I11" s="11"/>
      <c r="J11" s="11"/>
      <c r="K11" s="9">
        <f t="shared" si="1"/>
        <v>265</v>
      </c>
      <c r="L11" s="9">
        <v>265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VLOOKUP($B12,'1804'!$B12:$M26,11,0)</f>
        <v>239</v>
      </c>
      <c r="E12" s="14">
        <v>247</v>
      </c>
      <c r="F12" s="11"/>
      <c r="G12" s="11"/>
      <c r="H12" s="11"/>
      <c r="I12" s="11"/>
      <c r="J12" s="11"/>
      <c r="K12" s="9">
        <f t="shared" si="1"/>
        <v>486</v>
      </c>
      <c r="L12" s="9">
        <v>486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VLOOKUP($B13,'1804'!$B13:$M27,11,0)</f>
        <v>26</v>
      </c>
      <c r="E13" s="14">
        <f>119+71</f>
        <v>190</v>
      </c>
      <c r="F13" s="11"/>
      <c r="G13" s="11"/>
      <c r="H13" s="11"/>
      <c r="I13" s="11"/>
      <c r="J13" s="11"/>
      <c r="K13" s="9">
        <f t="shared" si="1"/>
        <v>216</v>
      </c>
      <c r="L13" s="9">
        <f>97+119</f>
        <v>216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VLOOKUP($B14,'1804'!$B14:$M28,11,0)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VLOOKUP($B15,'1804'!$B15:$M29,11,0)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VLOOKUP($B16,'1804'!$B16:$M30,11,0)</f>
        <v>3</v>
      </c>
      <c r="E16" s="14">
        <v>2</v>
      </c>
      <c r="F16" s="11"/>
      <c r="G16" s="11"/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VLOOKUP($B17,'1804'!$B17:$M31,11,0)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VLOOKUP($B18,'1804'!$B18:$M32,11,0)</f>
        <v>0</v>
      </c>
      <c r="E18" s="14">
        <v>1</v>
      </c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VLOOKUP($B19,'1804'!$B19:$M33,11,0)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VLOOKUP($B20,'1804'!$B20:$M34,11,0)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VLOOKUP($B21,'1804'!$B21:$M35,11,0)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VLOOKUP($B22,'1804'!$B22:$M36,11,0)</f>
        <v>1</v>
      </c>
      <c r="E22" s="14"/>
      <c r="F22" s="11"/>
      <c r="G22" s="11"/>
      <c r="H22" s="11"/>
      <c r="I22" s="11"/>
      <c r="J22" s="11"/>
      <c r="K22" s="9">
        <f>D22+E22-SUM(F22:I22)</f>
        <v>1</v>
      </c>
      <c r="L22" s="9">
        <v>1</v>
      </c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840</v>
      </c>
      <c r="F24" s="9"/>
      <c r="G24" s="9"/>
      <c r="H24" s="9"/>
      <c r="I24" s="9"/>
      <c r="J24" s="9"/>
      <c r="K24" s="9">
        <f t="shared" si="3"/>
        <v>1675</v>
      </c>
      <c r="L24" s="9">
        <f t="shared" si="3"/>
        <v>1665</v>
      </c>
      <c r="M24" s="9">
        <f>L24-K24</f>
        <v>-10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VLOOKUP($B26,'1804'!$B26:$M29,11,0)</f>
        <v>198</v>
      </c>
      <c r="E26" s="10">
        <v>142</v>
      </c>
      <c r="F26" s="9">
        <v>99</v>
      </c>
      <c r="G26" s="11"/>
      <c r="H26" s="9"/>
      <c r="I26" s="9"/>
      <c r="J26" s="9"/>
      <c r="K26" s="9">
        <f t="shared" ref="K26" si="4">D26+E26-F26</f>
        <v>241</v>
      </c>
      <c r="L26" s="9">
        <v>241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VLOOKUP($B27,'1804'!$B27:$M30,11,0)</f>
        <v>113</v>
      </c>
      <c r="E27" s="9"/>
      <c r="F27" s="9">
        <v>18</v>
      </c>
      <c r="G27" s="11"/>
      <c r="H27" s="9"/>
      <c r="I27" s="9"/>
      <c r="J27" s="9"/>
      <c r="K27" s="9">
        <f>D27+E27-F27</f>
        <v>95</v>
      </c>
      <c r="L27" s="9">
        <v>95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VLOOKUP($B28,'1804'!$B28:$M31,11,0)</f>
        <v>442</v>
      </c>
      <c r="E28" s="9">
        <v>145</v>
      </c>
      <c r="F28" s="9">
        <v>90</v>
      </c>
      <c r="G28" s="11"/>
      <c r="H28" s="9"/>
      <c r="I28" s="9"/>
      <c r="J28" s="9"/>
      <c r="K28" s="9">
        <f>D28+E28-F28</f>
        <v>497</v>
      </c>
      <c r="L28" s="9">
        <v>497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VLOOKUP($B29,'1804'!$B29:$M32,11,0)</f>
        <v>115</v>
      </c>
      <c r="E29" s="9">
        <v>95</v>
      </c>
      <c r="F29" s="9">
        <v>43</v>
      </c>
      <c r="G29" s="11"/>
      <c r="H29" s="9"/>
      <c r="I29" s="9"/>
      <c r="J29" s="9"/>
      <c r="K29" s="9">
        <f>D29+E29-F29</f>
        <v>167</v>
      </c>
      <c r="L29" s="9">
        <v>167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9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DATE(2015,10,6)</f>
        <v>42283</v>
      </c>
      <c r="E5" s="293">
        <f>D5+1</f>
        <v>42284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80"/>
      <c r="M6" s="180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39</v>
      </c>
      <c r="H7" s="5" t="s">
        <v>40</v>
      </c>
      <c r="I7" s="5" t="s">
        <v>38</v>
      </c>
      <c r="J7" s="5" t="s">
        <v>71</v>
      </c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'0610'!O8</f>
        <v>657</v>
      </c>
      <c r="E8" s="10"/>
      <c r="F8" s="11">
        <v>60</v>
      </c>
      <c r="G8" s="11">
        <v>20</v>
      </c>
      <c r="H8" s="11">
        <v>30</v>
      </c>
      <c r="I8" s="11">
        <v>40</v>
      </c>
      <c r="J8" s="11"/>
      <c r="K8" s="11"/>
      <c r="L8" s="11"/>
      <c r="M8" s="11"/>
      <c r="N8" s="9">
        <f t="shared" ref="N8:N24" si="0">D8+E8-SUM(F8:M8)</f>
        <v>507</v>
      </c>
      <c r="O8" s="9">
        <f>35+78+101+120+74+E8+99</f>
        <v>507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'0610'!O9</f>
        <v>296</v>
      </c>
      <c r="E9" s="14">
        <f>89+66+101</f>
        <v>256</v>
      </c>
      <c r="F9" s="11"/>
      <c r="G9" s="11">
        <v>37</v>
      </c>
      <c r="H9" s="11"/>
      <c r="I9" s="11">
        <v>40</v>
      </c>
      <c r="J9" s="11"/>
      <c r="K9" s="11"/>
      <c r="L9" s="11"/>
      <c r="M9" s="11"/>
      <c r="N9" s="9">
        <f t="shared" si="0"/>
        <v>475</v>
      </c>
      <c r="O9" s="9">
        <f>220+E9</f>
        <v>476</v>
      </c>
      <c r="P9" s="9">
        <f t="shared" si="1"/>
        <v>1</v>
      </c>
    </row>
    <row r="10" spans="1:16" ht="18.75">
      <c r="A10" s="6">
        <v>3</v>
      </c>
      <c r="B10" s="12" t="s">
        <v>15</v>
      </c>
      <c r="C10" s="8" t="s">
        <v>13</v>
      </c>
      <c r="D10" s="9">
        <f>'0610'!O10</f>
        <v>489</v>
      </c>
      <c r="E10" s="10">
        <v>170</v>
      </c>
      <c r="F10" s="11">
        <v>10</v>
      </c>
      <c r="G10" s="11">
        <v>40</v>
      </c>
      <c r="H10" s="11">
        <v>49</v>
      </c>
      <c r="I10" s="11">
        <v>40</v>
      </c>
      <c r="J10" s="11"/>
      <c r="K10" s="11"/>
      <c r="L10" s="11"/>
      <c r="M10" s="11"/>
      <c r="N10" s="9">
        <f t="shared" si="0"/>
        <v>520</v>
      </c>
      <c r="O10" s="9">
        <f>110+110+130+E10</f>
        <v>520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'0610'!O11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'0610'!O12</f>
        <v>682</v>
      </c>
      <c r="E12" s="14">
        <v>168</v>
      </c>
      <c r="F12" s="11"/>
      <c r="G12" s="11">
        <v>40</v>
      </c>
      <c r="H12" s="11">
        <v>70</v>
      </c>
      <c r="I12" s="11">
        <v>40</v>
      </c>
      <c r="J12" s="11"/>
      <c r="K12" s="11"/>
      <c r="L12" s="11"/>
      <c r="M12" s="11"/>
      <c r="N12" s="9">
        <f t="shared" si="0"/>
        <v>700</v>
      </c>
      <c r="O12" s="9">
        <f>122+135+216+64+E12</f>
        <v>705</v>
      </c>
      <c r="P12" s="9">
        <f t="shared" si="1"/>
        <v>5</v>
      </c>
    </row>
    <row r="13" spans="1:16" ht="18.75">
      <c r="A13" s="6">
        <v>6</v>
      </c>
      <c r="B13" s="16" t="s">
        <v>19</v>
      </c>
      <c r="C13" s="17" t="s">
        <v>17</v>
      </c>
      <c r="D13" s="9">
        <f>'0610'!O13</f>
        <v>572</v>
      </c>
      <c r="E13" s="14">
        <v>117</v>
      </c>
      <c r="F13" s="11">
        <v>11</v>
      </c>
      <c r="G13" s="11">
        <v>30</v>
      </c>
      <c r="H13" s="11">
        <v>50</v>
      </c>
      <c r="I13" s="11">
        <v>40</v>
      </c>
      <c r="J13" s="11"/>
      <c r="K13" s="11"/>
      <c r="L13" s="11"/>
      <c r="M13" s="11"/>
      <c r="N13" s="9">
        <f t="shared" si="0"/>
        <v>558</v>
      </c>
      <c r="O13" s="9">
        <f>152+123+146+20+117</f>
        <v>558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'0610'!O14</f>
        <v>3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'0610'!O15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'0610'!O16</f>
        <v>12</v>
      </c>
      <c r="E16" s="14">
        <v>2</v>
      </c>
      <c r="F16" s="11">
        <v>1</v>
      </c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'0610'!O17</f>
        <v>1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3</v>
      </c>
      <c r="O17" s="9"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'0610'!O18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'0610'!O19</f>
        <v>2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'0610'!O20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'0610'!O21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'0610'!O22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'0610'!O23</f>
        <v>34</v>
      </c>
      <c r="E23" s="14">
        <f>32+25</f>
        <v>57</v>
      </c>
      <c r="F23" s="9">
        <v>32</v>
      </c>
      <c r="G23" s="9"/>
      <c r="H23" s="9"/>
      <c r="I23" s="9"/>
      <c r="J23" s="9">
        <v>52</v>
      </c>
      <c r="K23" s="9"/>
      <c r="L23" s="9"/>
      <c r="M23" s="9"/>
      <c r="N23" s="9">
        <f t="shared" si="0"/>
        <v>7</v>
      </c>
      <c r="O23" s="9">
        <v>7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'0610'!O24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'0610'!O26</f>
        <v>177</v>
      </c>
      <c r="E26" s="10">
        <v>139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226</v>
      </c>
      <c r="O26" s="9">
        <v>226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'0610'!O27</f>
        <v>114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104</v>
      </c>
      <c r="O27" s="9">
        <v>104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'0610'!O28</f>
        <v>293</v>
      </c>
      <c r="E28" s="9">
        <v>150</v>
      </c>
      <c r="F28" s="9">
        <v>117</v>
      </c>
      <c r="G28" s="11"/>
      <c r="H28" s="9"/>
      <c r="I28" s="9"/>
      <c r="J28" s="9"/>
      <c r="K28" s="9"/>
      <c r="L28" s="9"/>
      <c r="M28" s="9"/>
      <c r="N28" s="9">
        <f>D28+E28-SUM(F28:M28)</f>
        <v>326</v>
      </c>
      <c r="O28" s="9">
        <v>326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'0610'!O29</f>
        <v>140</v>
      </c>
      <c r="E29" s="9">
        <v>89</v>
      </c>
      <c r="F29" s="9">
        <v>69</v>
      </c>
      <c r="G29" s="11"/>
      <c r="H29" s="9"/>
      <c r="I29" s="9"/>
      <c r="J29" s="9"/>
      <c r="K29" s="9"/>
      <c r="L29" s="9"/>
      <c r="M29" s="9"/>
      <c r="N29" s="9">
        <f>D29+E29-SUM(F29:M29)</f>
        <v>160</v>
      </c>
      <c r="O29" s="9">
        <v>160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22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DATE(2015,10,7)</f>
        <v>42284</v>
      </c>
      <c r="E5" s="293">
        <f>D5+1</f>
        <v>42285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80"/>
      <c r="M6" s="180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52</v>
      </c>
      <c r="H7" s="5" t="s">
        <v>51</v>
      </c>
      <c r="I7" s="5" t="s">
        <v>71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'0710'!O8</f>
        <v>507</v>
      </c>
      <c r="E8" s="10">
        <f>97+43+116</f>
        <v>256</v>
      </c>
      <c r="F8" s="11">
        <v>107</v>
      </c>
      <c r="G8" s="11">
        <v>220</v>
      </c>
      <c r="H8" s="11">
        <v>50</v>
      </c>
      <c r="I8" s="11"/>
      <c r="J8" s="11"/>
      <c r="K8" s="11"/>
      <c r="L8" s="11"/>
      <c r="M8" s="11"/>
      <c r="N8" s="9">
        <f t="shared" ref="N8:N24" si="0">D8+E8-SUM(F8:M8)</f>
        <v>386</v>
      </c>
      <c r="O8" s="9">
        <f>130+E8</f>
        <v>386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'0710'!O9</f>
        <v>476</v>
      </c>
      <c r="E9" s="14"/>
      <c r="F9" s="11"/>
      <c r="G9" s="11">
        <v>180</v>
      </c>
      <c r="H9" s="11">
        <v>40</v>
      </c>
      <c r="I9" s="11"/>
      <c r="J9" s="11"/>
      <c r="K9" s="11"/>
      <c r="L9" s="11"/>
      <c r="M9" s="11"/>
      <c r="N9" s="9">
        <f t="shared" si="0"/>
        <v>256</v>
      </c>
      <c r="O9" s="9">
        <f>120+140</f>
        <v>260</v>
      </c>
      <c r="P9" s="9">
        <f t="shared" si="1"/>
        <v>4</v>
      </c>
    </row>
    <row r="10" spans="1:16" ht="18.75">
      <c r="A10" s="6">
        <v>3</v>
      </c>
      <c r="B10" s="12" t="s">
        <v>15</v>
      </c>
      <c r="C10" s="8" t="s">
        <v>13</v>
      </c>
      <c r="D10" s="9">
        <f>'0710'!O10</f>
        <v>520</v>
      </c>
      <c r="E10" s="10">
        <v>219</v>
      </c>
      <c r="F10" s="11"/>
      <c r="G10" s="11">
        <v>150</v>
      </c>
      <c r="H10" s="11">
        <v>60</v>
      </c>
      <c r="I10" s="11"/>
      <c r="J10" s="11"/>
      <c r="K10" s="11"/>
      <c r="L10" s="11"/>
      <c r="M10" s="11"/>
      <c r="N10" s="9">
        <f t="shared" si="0"/>
        <v>529</v>
      </c>
      <c r="O10" s="9">
        <f>140+170+E10</f>
        <v>529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'0710'!O11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'0710'!O12</f>
        <v>705</v>
      </c>
      <c r="E12" s="14">
        <v>173</v>
      </c>
      <c r="F12" s="11"/>
      <c r="G12" s="11">
        <v>350</v>
      </c>
      <c r="H12" s="11">
        <v>40</v>
      </c>
      <c r="I12" s="11"/>
      <c r="J12" s="11"/>
      <c r="K12" s="11"/>
      <c r="L12" s="11"/>
      <c r="M12" s="11"/>
      <c r="N12" s="9">
        <f t="shared" si="0"/>
        <v>488</v>
      </c>
      <c r="O12" s="9">
        <f>110+216+E12</f>
        <v>499</v>
      </c>
      <c r="P12" s="9">
        <f t="shared" si="1"/>
        <v>11</v>
      </c>
    </row>
    <row r="13" spans="1:16" ht="18.75">
      <c r="A13" s="6">
        <v>6</v>
      </c>
      <c r="B13" s="16" t="s">
        <v>19</v>
      </c>
      <c r="C13" s="17" t="s">
        <v>17</v>
      </c>
      <c r="D13" s="9">
        <f>'0710'!O13</f>
        <v>558</v>
      </c>
      <c r="E13" s="14">
        <v>119</v>
      </c>
      <c r="F13" s="11">
        <v>10</v>
      </c>
      <c r="G13" s="11">
        <v>146</v>
      </c>
      <c r="H13" s="11">
        <v>30</v>
      </c>
      <c r="I13" s="11"/>
      <c r="J13" s="11"/>
      <c r="K13" s="11"/>
      <c r="L13" s="11"/>
      <c r="M13" s="11"/>
      <c r="N13" s="9">
        <f t="shared" si="0"/>
        <v>491</v>
      </c>
      <c r="O13" s="9">
        <f>143+112+117+E13</f>
        <v>491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'0710'!O14</f>
        <v>3</v>
      </c>
      <c r="E14" s="14"/>
      <c r="F14" s="11"/>
      <c r="G14" s="11"/>
      <c r="H14" s="11">
        <v>2</v>
      </c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'0710'!O15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'0710'!O16</f>
        <v>10</v>
      </c>
      <c r="E16" s="14">
        <v>2</v>
      </c>
      <c r="F16" s="11">
        <v>1</v>
      </c>
      <c r="G16" s="11">
        <v>3</v>
      </c>
      <c r="H16" s="11">
        <v>3</v>
      </c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'0710'!O17</f>
        <v>3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3</v>
      </c>
      <c r="O17" s="9"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'0710'!O18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'0710'!O19</f>
        <v>1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'0710'!O20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'0710'!O21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'0710'!O22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'0710'!O23</f>
        <v>7</v>
      </c>
      <c r="E23" s="14">
        <v>64</v>
      </c>
      <c r="F23" s="9"/>
      <c r="G23" s="9"/>
      <c r="H23" s="9"/>
      <c r="I23" s="9">
        <v>7</v>
      </c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'0710'!O24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'0710'!O26</f>
        <v>226</v>
      </c>
      <c r="E26" s="10">
        <v>74</v>
      </c>
      <c r="F26" s="9">
        <v>117</v>
      </c>
      <c r="G26" s="11"/>
      <c r="H26" s="9"/>
      <c r="I26" s="9"/>
      <c r="J26" s="9"/>
      <c r="K26" s="9"/>
      <c r="L26" s="9"/>
      <c r="M26" s="9"/>
      <c r="N26" s="9">
        <f>D26+E26-SUM(F26:M26)</f>
        <v>183</v>
      </c>
      <c r="O26" s="9">
        <v>183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'0710'!O27</f>
        <v>104</v>
      </c>
      <c r="E27" s="9"/>
      <c r="F27" s="9">
        <v>11</v>
      </c>
      <c r="G27" s="11"/>
      <c r="H27" s="9"/>
      <c r="I27" s="9"/>
      <c r="J27" s="9"/>
      <c r="K27" s="9"/>
      <c r="L27" s="9"/>
      <c r="M27" s="9"/>
      <c r="N27" s="9">
        <f>D27+E27-SUM(F27:M27)</f>
        <v>93</v>
      </c>
      <c r="O27" s="9">
        <v>93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'0710'!O28</f>
        <v>326</v>
      </c>
      <c r="E28" s="9">
        <v>156</v>
      </c>
      <c r="F28" s="9">
        <v>183</v>
      </c>
      <c r="G28" s="11"/>
      <c r="H28" s="9"/>
      <c r="I28" s="9"/>
      <c r="J28" s="9"/>
      <c r="K28" s="9"/>
      <c r="L28" s="9"/>
      <c r="M28" s="9"/>
      <c r="N28" s="9">
        <f>D28+E28-SUM(F28:M28)</f>
        <v>299</v>
      </c>
      <c r="O28" s="9">
        <v>299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'0710'!O29</f>
        <v>160</v>
      </c>
      <c r="E29" s="9">
        <v>83</v>
      </c>
      <c r="F29" s="9">
        <v>74</v>
      </c>
      <c r="G29" s="11"/>
      <c r="H29" s="9"/>
      <c r="I29" s="9"/>
      <c r="J29" s="9"/>
      <c r="K29" s="9"/>
      <c r="L29" s="9"/>
      <c r="M29" s="9"/>
      <c r="N29" s="9">
        <f>D29+E29-SUM(F29:M29)</f>
        <v>169</v>
      </c>
      <c r="O29" s="9">
        <v>169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DATE(2015,10,8)</f>
        <v>42285</v>
      </c>
      <c r="E5" s="293">
        <f>D5+1</f>
        <v>42286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81"/>
      <c r="M6" s="181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49</v>
      </c>
      <c r="H7" s="5" t="s">
        <v>77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'0810'!O8</f>
        <v>386</v>
      </c>
      <c r="E8" s="10">
        <f>97+94+57</f>
        <v>248</v>
      </c>
      <c r="F8" s="11">
        <v>65</v>
      </c>
      <c r="G8" s="11">
        <v>100</v>
      </c>
      <c r="H8" s="11">
        <v>80</v>
      </c>
      <c r="I8" s="11"/>
      <c r="J8" s="11"/>
      <c r="K8" s="11"/>
      <c r="L8" s="11"/>
      <c r="M8" s="11"/>
      <c r="N8" s="9">
        <f t="shared" ref="N8:N24" si="0">D8+E8-SUM(F8:M8)</f>
        <v>389</v>
      </c>
      <c r="O8" s="9">
        <f>21+120+E8</f>
        <v>389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'0810'!O9</f>
        <v>260</v>
      </c>
      <c r="E9" s="14"/>
      <c r="F9" s="11"/>
      <c r="G9" s="11">
        <v>80</v>
      </c>
      <c r="H9" s="11">
        <v>40</v>
      </c>
      <c r="I9" s="11"/>
      <c r="J9" s="11"/>
      <c r="K9" s="11"/>
      <c r="L9" s="11"/>
      <c r="M9" s="11"/>
      <c r="N9" s="9">
        <f t="shared" si="0"/>
        <v>140</v>
      </c>
      <c r="O9" s="9">
        <v>140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'0810'!O10</f>
        <v>529</v>
      </c>
      <c r="E10" s="10">
        <v>218</v>
      </c>
      <c r="F10" s="11">
        <v>50</v>
      </c>
      <c r="G10" s="11">
        <v>120</v>
      </c>
      <c r="H10" s="11"/>
      <c r="I10" s="11"/>
      <c r="J10" s="11"/>
      <c r="K10" s="11"/>
      <c r="L10" s="11"/>
      <c r="M10" s="11"/>
      <c r="N10" s="9">
        <f t="shared" si="0"/>
        <v>577</v>
      </c>
      <c r="O10" s="9">
        <f>160+198+219</f>
        <v>577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'0810'!O11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'0810'!O12</f>
        <v>499</v>
      </c>
      <c r="E12" s="14">
        <v>180</v>
      </c>
      <c r="F12" s="11">
        <v>20</v>
      </c>
      <c r="G12" s="11">
        <v>120</v>
      </c>
      <c r="H12" s="11">
        <v>120</v>
      </c>
      <c r="I12" s="11"/>
      <c r="J12" s="11"/>
      <c r="K12" s="11"/>
      <c r="L12" s="11"/>
      <c r="M12" s="11"/>
      <c r="N12" s="9">
        <f t="shared" si="0"/>
        <v>419</v>
      </c>
      <c r="O12" s="9">
        <f>66+150+E12+23</f>
        <v>419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'0810'!O13</f>
        <v>491</v>
      </c>
      <c r="E13" s="14">
        <v>85</v>
      </c>
      <c r="F13" s="11"/>
      <c r="G13" s="11">
        <v>120</v>
      </c>
      <c r="H13" s="11">
        <v>43</v>
      </c>
      <c r="I13" s="11"/>
      <c r="J13" s="11"/>
      <c r="K13" s="11"/>
      <c r="L13" s="11"/>
      <c r="M13" s="11"/>
      <c r="N13" s="9">
        <f t="shared" si="0"/>
        <v>413</v>
      </c>
      <c r="O13" s="9">
        <f>117+112+99+E13</f>
        <v>413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'0810'!O14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'0810'!O15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'0810'!O16</f>
        <v>5</v>
      </c>
      <c r="E16" s="14">
        <v>2</v>
      </c>
      <c r="F16" s="11"/>
      <c r="G16" s="11">
        <v>3</v>
      </c>
      <c r="H16" s="11"/>
      <c r="I16" s="11"/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'0810'!O17</f>
        <v>3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3</v>
      </c>
      <c r="O17" s="9"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'0810'!O18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'0810'!O19</f>
        <v>3</v>
      </c>
      <c r="E19" s="14">
        <v>2</v>
      </c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'0810'!O20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'0810'!O21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'0810'!O22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'0810'!O23</f>
        <v>64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'0810'!O24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'0810'!O26</f>
        <v>183</v>
      </c>
      <c r="E26" s="10">
        <v>138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231</v>
      </c>
      <c r="O26" s="9">
        <v>231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'0810'!O27</f>
        <v>93</v>
      </c>
      <c r="E27" s="9">
        <v>62</v>
      </c>
      <c r="F27" s="9">
        <v>65</v>
      </c>
      <c r="G27" s="11"/>
      <c r="H27" s="9"/>
      <c r="I27" s="9"/>
      <c r="J27" s="9"/>
      <c r="K27" s="9"/>
      <c r="L27" s="9"/>
      <c r="M27" s="9"/>
      <c r="N27" s="9">
        <f>D27+E27-SUM(F27:M27)</f>
        <v>90</v>
      </c>
      <c r="O27" s="9">
        <v>90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'0810'!O28</f>
        <v>299</v>
      </c>
      <c r="E28" s="9">
        <v>140</v>
      </c>
      <c r="F28" s="9">
        <v>145</v>
      </c>
      <c r="G28" s="11"/>
      <c r="H28" s="9"/>
      <c r="I28" s="9"/>
      <c r="J28" s="9"/>
      <c r="K28" s="9"/>
      <c r="L28" s="9"/>
      <c r="M28" s="9"/>
      <c r="N28" s="9">
        <f>D28+E28-SUM(F28:M28)</f>
        <v>294</v>
      </c>
      <c r="O28" s="9">
        <v>294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'0810'!O29</f>
        <v>169</v>
      </c>
      <c r="E29" s="9">
        <f>80+12</f>
        <v>92</v>
      </c>
      <c r="F29" s="9">
        <v>161</v>
      </c>
      <c r="G29" s="11"/>
      <c r="H29" s="9"/>
      <c r="I29" s="9"/>
      <c r="J29" s="9"/>
      <c r="K29" s="9"/>
      <c r="L29" s="9"/>
      <c r="M29" s="9"/>
      <c r="N29" s="9">
        <f>D29+E29-SUM(F29:M29)</f>
        <v>100</v>
      </c>
      <c r="O29" s="9">
        <v>100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5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DATE(2015,10,9)</f>
        <v>42286</v>
      </c>
      <c r="E5" s="293">
        <f>D5+1</f>
        <v>42287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82"/>
      <c r="M6" s="182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81</v>
      </c>
      <c r="H7" s="5" t="s">
        <v>83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'0910'!O8</f>
        <v>389</v>
      </c>
      <c r="E8" s="10">
        <f>108+96+91</f>
        <v>295</v>
      </c>
      <c r="F8" s="11">
        <v>73</v>
      </c>
      <c r="G8" s="11">
        <v>30</v>
      </c>
      <c r="H8" s="11"/>
      <c r="I8" s="11"/>
      <c r="J8" s="11"/>
      <c r="K8" s="11"/>
      <c r="L8" s="11"/>
      <c r="M8" s="11"/>
      <c r="N8" s="9">
        <f t="shared" ref="N8:N24" si="0">D8+E8-SUM(F8:M8)</f>
        <v>581</v>
      </c>
      <c r="O8" s="9">
        <f>120+106+60+E8</f>
        <v>581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'0910'!O9</f>
        <v>140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140</v>
      </c>
      <c r="O9" s="9">
        <v>140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'0910'!O10</f>
        <v>577</v>
      </c>
      <c r="E10" s="10">
        <v>173</v>
      </c>
      <c r="F10" s="11">
        <f>480+10</f>
        <v>490</v>
      </c>
      <c r="G10" s="11">
        <v>30</v>
      </c>
      <c r="H10" s="11"/>
      <c r="I10" s="11"/>
      <c r="J10" s="11"/>
      <c r="K10" s="11"/>
      <c r="L10" s="11"/>
      <c r="M10" s="11"/>
      <c r="N10" s="9">
        <f t="shared" si="0"/>
        <v>230</v>
      </c>
      <c r="O10" s="9">
        <f>57+E10</f>
        <v>230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'0910'!O11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'0910'!O12</f>
        <v>419</v>
      </c>
      <c r="E12" s="14">
        <v>131</v>
      </c>
      <c r="F12" s="11">
        <v>30</v>
      </c>
      <c r="G12" s="11">
        <v>86</v>
      </c>
      <c r="H12" s="11"/>
      <c r="I12" s="11"/>
      <c r="J12" s="11"/>
      <c r="K12" s="11"/>
      <c r="L12" s="11"/>
      <c r="M12" s="11"/>
      <c r="N12" s="9">
        <f t="shared" si="0"/>
        <v>434</v>
      </c>
      <c r="O12" s="9">
        <f>123+180+E12</f>
        <v>434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'0910'!O13</f>
        <v>413</v>
      </c>
      <c r="E13" s="14">
        <v>85</v>
      </c>
      <c r="F13" s="11">
        <v>35</v>
      </c>
      <c r="G13" s="11">
        <v>60</v>
      </c>
      <c r="H13" s="11"/>
      <c r="I13" s="11"/>
      <c r="J13" s="11"/>
      <c r="K13" s="11"/>
      <c r="L13" s="11"/>
      <c r="M13" s="11"/>
      <c r="N13" s="9">
        <f t="shared" si="0"/>
        <v>403</v>
      </c>
      <c r="O13" s="9">
        <f>107+32+99+80+E13</f>
        <v>403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'0910'!O14</f>
        <v>1</v>
      </c>
      <c r="E14" s="14"/>
      <c r="F14" s="11"/>
      <c r="G14" s="11">
        <v>1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'0910'!O15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'0910'!O16</f>
        <v>4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'0910'!O17</f>
        <v>3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'0910'!O18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'0910'!O19</f>
        <v>3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'0910'!O20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'0910'!O21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'0910'!O22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'0910'!O23</f>
        <v>64</v>
      </c>
      <c r="E23" s="14">
        <v>80</v>
      </c>
      <c r="F23" s="9"/>
      <c r="G23" s="9"/>
      <c r="H23" s="9">
        <v>96</v>
      </c>
      <c r="I23" s="9"/>
      <c r="J23" s="9"/>
      <c r="K23" s="9"/>
      <c r="L23" s="9"/>
      <c r="M23" s="9"/>
      <c r="N23" s="9">
        <f t="shared" si="0"/>
        <v>48</v>
      </c>
      <c r="O23" s="9">
        <v>48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'0710'!O24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'0910'!O26</f>
        <v>231</v>
      </c>
      <c r="E26" s="10">
        <v>70</v>
      </c>
      <c r="F26" s="9">
        <v>95</v>
      </c>
      <c r="G26" s="11"/>
      <c r="H26" s="9"/>
      <c r="I26" s="9"/>
      <c r="J26" s="9"/>
      <c r="K26" s="9"/>
      <c r="L26" s="9"/>
      <c r="M26" s="9"/>
      <c r="N26" s="9">
        <f>D26+E26-SUM(F26:M26)</f>
        <v>206</v>
      </c>
      <c r="O26" s="9">
        <v>206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'0910'!O27</f>
        <v>90</v>
      </c>
      <c r="E27" s="9">
        <v>60</v>
      </c>
      <c r="F27" s="9">
        <v>14</v>
      </c>
      <c r="G27" s="11"/>
      <c r="H27" s="9"/>
      <c r="I27" s="9"/>
      <c r="J27" s="9"/>
      <c r="K27" s="9"/>
      <c r="L27" s="9"/>
      <c r="M27" s="9"/>
      <c r="N27" s="9">
        <f>D27+E27-SUM(F27:M27)</f>
        <v>136</v>
      </c>
      <c r="O27" s="9">
        <v>136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'0910'!O28</f>
        <v>294</v>
      </c>
      <c r="E28" s="9">
        <v>150</v>
      </c>
      <c r="F28" s="9">
        <v>124</v>
      </c>
      <c r="G28" s="11"/>
      <c r="H28" s="9"/>
      <c r="I28" s="9"/>
      <c r="J28" s="9"/>
      <c r="K28" s="9"/>
      <c r="L28" s="9"/>
      <c r="M28" s="9"/>
      <c r="N28" s="9">
        <f>D28+E28-SUM(F28:M28)</f>
        <v>320</v>
      </c>
      <c r="O28" s="9">
        <v>320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'0910'!O29</f>
        <v>100</v>
      </c>
      <c r="E29" s="9">
        <v>91</v>
      </c>
      <c r="F29" s="9">
        <v>71</v>
      </c>
      <c r="G29" s="11"/>
      <c r="H29" s="9"/>
      <c r="I29" s="9"/>
      <c r="J29" s="9"/>
      <c r="K29" s="9"/>
      <c r="L29" s="9"/>
      <c r="M29" s="9"/>
      <c r="N29" s="9">
        <f>D29+E29-SUM(F29:M29)</f>
        <v>120</v>
      </c>
      <c r="O29" s="9">
        <v>120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DATE(2015,10,10)</f>
        <v>42287</v>
      </c>
      <c r="E5" s="293">
        <f>D5+1</f>
        <v>42288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83"/>
      <c r="M6" s="183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/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'1010'!O8</f>
        <v>581</v>
      </c>
      <c r="E8" s="10"/>
      <c r="F8" s="11">
        <v>78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503</v>
      </c>
      <c r="O8" s="9">
        <f>120+96+92+140+E8+55</f>
        <v>503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'1010'!O9</f>
        <v>140</v>
      </c>
      <c r="E9" s="14">
        <f>71+87+85</f>
        <v>243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383</v>
      </c>
      <c r="O9" s="9">
        <f>120+20+E9</f>
        <v>383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'1010'!O10</f>
        <v>230</v>
      </c>
      <c r="E10" s="10">
        <v>127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347</v>
      </c>
      <c r="O10" s="9">
        <f>220+E10</f>
        <v>347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'1010'!O11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'1010'!O12</f>
        <v>434</v>
      </c>
      <c r="E12" s="14">
        <v>134</v>
      </c>
      <c r="F12" s="11">
        <v>30</v>
      </c>
      <c r="G12" s="11"/>
      <c r="H12" s="11"/>
      <c r="I12" s="11"/>
      <c r="J12" s="11"/>
      <c r="K12" s="11"/>
      <c r="L12" s="11"/>
      <c r="M12" s="11"/>
      <c r="N12" s="9">
        <f t="shared" si="0"/>
        <v>538</v>
      </c>
      <c r="O12" s="9">
        <f>131+123+140+10+E12</f>
        <v>538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'1010'!O13</f>
        <v>403</v>
      </c>
      <c r="E13" s="14">
        <v>85</v>
      </c>
      <c r="F13" s="11">
        <v>20</v>
      </c>
      <c r="G13" s="11"/>
      <c r="H13" s="11"/>
      <c r="I13" s="11"/>
      <c r="J13" s="11"/>
      <c r="K13" s="11"/>
      <c r="L13" s="11"/>
      <c r="M13" s="11"/>
      <c r="N13" s="9">
        <f t="shared" si="0"/>
        <v>468</v>
      </c>
      <c r="O13" s="9">
        <f>149+60+99+E13+75</f>
        <v>468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'1010'!O14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'1010'!O15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'1010'!O16</f>
        <v>6</v>
      </c>
      <c r="E16" s="14">
        <v>4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'1010'!O17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'1010'!O18</f>
        <v>2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4</v>
      </c>
      <c r="O18" s="9">
        <v>4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'1010'!O19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'1010'!O20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'1010'!O21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'1010'!O22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'1010'!O23</f>
        <v>48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48</v>
      </c>
      <c r="O23" s="9">
        <v>48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'1010'!O24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'1010'!O26</f>
        <v>206</v>
      </c>
      <c r="E26" s="10">
        <v>64</v>
      </c>
      <c r="F26" s="9">
        <v>70</v>
      </c>
      <c r="G26" s="11"/>
      <c r="H26" s="9"/>
      <c r="I26" s="9"/>
      <c r="J26" s="9"/>
      <c r="K26" s="9"/>
      <c r="L26" s="9"/>
      <c r="M26" s="9"/>
      <c r="N26" s="9">
        <f>D26+E26-SUM(F26:M26)</f>
        <v>200</v>
      </c>
      <c r="O26" s="9">
        <v>200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'1010'!O27</f>
        <v>136</v>
      </c>
      <c r="E27" s="9"/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121</v>
      </c>
      <c r="O27" s="9">
        <v>121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'1010'!O28</f>
        <v>320</v>
      </c>
      <c r="E28" s="9">
        <v>140</v>
      </c>
      <c r="F28" s="9">
        <v>55</v>
      </c>
      <c r="G28" s="11"/>
      <c r="H28" s="9"/>
      <c r="I28" s="9"/>
      <c r="J28" s="9"/>
      <c r="K28" s="9"/>
      <c r="L28" s="9"/>
      <c r="M28" s="9"/>
      <c r="N28" s="9">
        <f>D28+E28-SUM(F28:M28)</f>
        <v>405</v>
      </c>
      <c r="O28" s="9">
        <v>405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'1010'!O29</f>
        <v>120</v>
      </c>
      <c r="E29" s="9">
        <v>84</v>
      </c>
      <c r="F29" s="9">
        <v>45</v>
      </c>
      <c r="G29" s="11"/>
      <c r="H29" s="9"/>
      <c r="I29" s="9"/>
      <c r="J29" s="9"/>
      <c r="K29" s="9"/>
      <c r="L29" s="9"/>
      <c r="M29" s="9"/>
      <c r="N29" s="9">
        <f>D29+E29-SUM(F29:M29)</f>
        <v>159</v>
      </c>
      <c r="O29" s="9">
        <v>159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DATE(2015,10,11)</f>
        <v>42288</v>
      </c>
      <c r="E5" s="293">
        <f>D5+1</f>
        <v>42289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83"/>
      <c r="M6" s="183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82</v>
      </c>
      <c r="H7" s="5" t="s">
        <v>71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'1110'!O8</f>
        <v>503</v>
      </c>
      <c r="E8" s="10">
        <f>90+95+102</f>
        <v>287</v>
      </c>
      <c r="F8" s="11">
        <v>65</v>
      </c>
      <c r="G8" s="11">
        <v>50</v>
      </c>
      <c r="H8" s="11"/>
      <c r="I8" s="11"/>
      <c r="J8" s="11"/>
      <c r="K8" s="11"/>
      <c r="L8" s="11"/>
      <c r="M8" s="11"/>
      <c r="N8" s="9">
        <f t="shared" ref="N8:N24" si="0">D8+E8-SUM(F8:M8)</f>
        <v>675</v>
      </c>
      <c r="O8" s="9">
        <f>120+140+73+E8+55</f>
        <v>675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'1110'!O9</f>
        <v>383</v>
      </c>
      <c r="E9" s="14"/>
      <c r="F9" s="11"/>
      <c r="G9" s="11">
        <v>50</v>
      </c>
      <c r="H9" s="11"/>
      <c r="I9" s="11"/>
      <c r="J9" s="11"/>
      <c r="K9" s="11"/>
      <c r="L9" s="11"/>
      <c r="M9" s="11"/>
      <c r="N9" s="9">
        <f t="shared" si="0"/>
        <v>333</v>
      </c>
      <c r="O9" s="9">
        <v>333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'1110'!O10</f>
        <v>347</v>
      </c>
      <c r="E10" s="10"/>
      <c r="F10" s="11">
        <v>10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287</v>
      </c>
      <c r="O10" s="9">
        <f>160+127</f>
        <v>287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'1110'!O11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'1110'!O12</f>
        <v>538</v>
      </c>
      <c r="E12" s="14">
        <v>81</v>
      </c>
      <c r="F12" s="11">
        <v>10</v>
      </c>
      <c r="G12" s="11">
        <v>40</v>
      </c>
      <c r="H12" s="11"/>
      <c r="I12" s="11"/>
      <c r="J12" s="11"/>
      <c r="K12" s="11"/>
      <c r="L12" s="11"/>
      <c r="M12" s="11"/>
      <c r="N12" s="9">
        <f t="shared" si="0"/>
        <v>569</v>
      </c>
      <c r="O12" s="9">
        <f>131+73+120+30+134+E12</f>
        <v>569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'1110'!O13</f>
        <v>468</v>
      </c>
      <c r="E13" s="14">
        <v>113</v>
      </c>
      <c r="F13" s="11">
        <v>9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542</v>
      </c>
      <c r="O13" s="9">
        <f>185+149+95+E13</f>
        <v>542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'1110'!O14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'1110'!O15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'1110'!O16</f>
        <v>9</v>
      </c>
      <c r="E16" s="14">
        <v>2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'1110'!O17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'1110'!O18</f>
        <v>4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4</v>
      </c>
      <c r="O18" s="9">
        <v>4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'1110'!O19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'1110'!O20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'1110'!O21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'1110'!O22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'1110'!O23</f>
        <v>48</v>
      </c>
      <c r="E23" s="14"/>
      <c r="F23" s="9"/>
      <c r="G23" s="9"/>
      <c r="H23" s="9">
        <v>48</v>
      </c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'1110'!O24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'1110'!O26</f>
        <v>200</v>
      </c>
      <c r="E26" s="10">
        <v>68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178</v>
      </c>
      <c r="O26" s="9">
        <v>178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'1110'!O27</f>
        <v>121</v>
      </c>
      <c r="E27" s="9"/>
      <c r="F27" s="9">
        <v>22</v>
      </c>
      <c r="G27" s="11"/>
      <c r="H27" s="9"/>
      <c r="I27" s="9"/>
      <c r="J27" s="9"/>
      <c r="K27" s="9"/>
      <c r="L27" s="9"/>
      <c r="M27" s="9"/>
      <c r="N27" s="9">
        <f>D27+E27-SUM(F27:M27)</f>
        <v>99</v>
      </c>
      <c r="O27" s="9">
        <v>99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'1110'!O28</f>
        <v>405</v>
      </c>
      <c r="E28" s="9"/>
      <c r="F28" s="9">
        <v>70</v>
      </c>
      <c r="G28" s="11"/>
      <c r="H28" s="9"/>
      <c r="I28" s="9"/>
      <c r="J28" s="9"/>
      <c r="K28" s="9"/>
      <c r="L28" s="9"/>
      <c r="M28" s="9"/>
      <c r="N28" s="9">
        <f>D28+E28-SUM(F28:M28)</f>
        <v>335</v>
      </c>
      <c r="O28" s="9">
        <v>335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'1110'!O29</f>
        <v>159</v>
      </c>
      <c r="E29" s="9">
        <v>87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191</v>
      </c>
      <c r="O29" s="9">
        <v>191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DATE(2015,10,12)</f>
        <v>42289</v>
      </c>
      <c r="E5" s="293">
        <f>D5+1</f>
        <v>42290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84"/>
      <c r="M6" s="184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62</v>
      </c>
      <c r="H7" s="5" t="s">
        <v>80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'1210'!O8</f>
        <v>675</v>
      </c>
      <c r="E8" s="10">
        <f>107+79+91</f>
        <v>277</v>
      </c>
      <c r="F8" s="11">
        <v>60</v>
      </c>
      <c r="G8" s="11">
        <v>70</v>
      </c>
      <c r="H8" s="11">
        <v>78</v>
      </c>
      <c r="I8" s="11"/>
      <c r="J8" s="11"/>
      <c r="K8" s="11"/>
      <c r="L8" s="11"/>
      <c r="M8" s="11"/>
      <c r="N8" s="9">
        <f t="shared" ref="N8:N24" si="0">D8+E8-SUM(F8:M8)</f>
        <v>744</v>
      </c>
      <c r="O8" s="9">
        <f>220+47+200+E8</f>
        <v>744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'1210'!O9</f>
        <v>333</v>
      </c>
      <c r="E9" s="14"/>
      <c r="F9" s="11"/>
      <c r="G9" s="11">
        <v>114</v>
      </c>
      <c r="H9" s="11">
        <v>80</v>
      </c>
      <c r="I9" s="11"/>
      <c r="J9" s="11"/>
      <c r="K9" s="11"/>
      <c r="L9" s="11"/>
      <c r="M9" s="11"/>
      <c r="N9" s="9">
        <f t="shared" si="0"/>
        <v>139</v>
      </c>
      <c r="O9" s="9">
        <v>139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'1210'!O10</f>
        <v>287</v>
      </c>
      <c r="E10" s="10">
        <v>171</v>
      </c>
      <c r="F10" s="11"/>
      <c r="G10" s="11">
        <v>80</v>
      </c>
      <c r="H10" s="11">
        <v>77</v>
      </c>
      <c r="I10" s="11"/>
      <c r="J10" s="11"/>
      <c r="K10" s="11"/>
      <c r="L10" s="11"/>
      <c r="M10" s="11"/>
      <c r="N10" s="9">
        <f t="shared" si="0"/>
        <v>301</v>
      </c>
      <c r="O10" s="9">
        <f>130+E10</f>
        <v>301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'1210'!O11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'1210'!O12</f>
        <v>569</v>
      </c>
      <c r="E12" s="14">
        <v>175</v>
      </c>
      <c r="F12" s="11">
        <v>31</v>
      </c>
      <c r="G12" s="11">
        <v>73</v>
      </c>
      <c r="H12" s="11">
        <v>120</v>
      </c>
      <c r="I12" s="11"/>
      <c r="J12" s="11"/>
      <c r="K12" s="11"/>
      <c r="L12" s="11"/>
      <c r="M12" s="11"/>
      <c r="N12" s="9">
        <f t="shared" si="0"/>
        <v>520</v>
      </c>
      <c r="O12" s="9">
        <f>111+80+154+E12</f>
        <v>520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'1210'!O13</f>
        <v>542</v>
      </c>
      <c r="E13" s="14">
        <v>156</v>
      </c>
      <c r="F13" s="11">
        <v>21</v>
      </c>
      <c r="G13" s="11">
        <v>59</v>
      </c>
      <c r="H13" s="11">
        <v>82</v>
      </c>
      <c r="I13" s="11"/>
      <c r="J13" s="11"/>
      <c r="K13" s="11"/>
      <c r="L13" s="11"/>
      <c r="M13" s="11"/>
      <c r="N13" s="9">
        <f t="shared" si="0"/>
        <v>536</v>
      </c>
      <c r="O13" s="9">
        <f>130+85+80+85+E13</f>
        <v>536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'1210'!O14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'1210'!O15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'1210'!O16</f>
        <v>10</v>
      </c>
      <c r="E16" s="14">
        <v>2</v>
      </c>
      <c r="F16" s="11">
        <v>1</v>
      </c>
      <c r="G16" s="11">
        <v>1</v>
      </c>
      <c r="H16" s="11">
        <v>1</v>
      </c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'1210'!O17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'1210'!O18</f>
        <v>4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'1210'!O19</f>
        <v>2</v>
      </c>
      <c r="E19" s="14">
        <v>2</v>
      </c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'1210'!O20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'1210'!O21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'1210'!O22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'1210'!O23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'1210'!O24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'1210'!O26</f>
        <v>178</v>
      </c>
      <c r="E26" s="10">
        <v>62</v>
      </c>
      <c r="F26" s="9">
        <v>67</v>
      </c>
      <c r="G26" s="11"/>
      <c r="H26" s="9"/>
      <c r="I26" s="9"/>
      <c r="J26" s="9"/>
      <c r="K26" s="9"/>
      <c r="L26" s="9"/>
      <c r="M26" s="9"/>
      <c r="N26" s="9">
        <f>D26+E26-SUM(F26:M26)</f>
        <v>173</v>
      </c>
      <c r="O26" s="9">
        <v>173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'1210'!O27</f>
        <v>99</v>
      </c>
      <c r="E27" s="9"/>
      <c r="F27" s="9">
        <v>8</v>
      </c>
      <c r="G27" s="11"/>
      <c r="H27" s="9"/>
      <c r="I27" s="9"/>
      <c r="J27" s="9"/>
      <c r="K27" s="9"/>
      <c r="L27" s="9"/>
      <c r="M27" s="9"/>
      <c r="N27" s="9">
        <f>D27+E27-SUM(F27:M27)</f>
        <v>91</v>
      </c>
      <c r="O27" s="9">
        <v>91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'1210'!O28</f>
        <v>335</v>
      </c>
      <c r="E28" s="9">
        <v>155</v>
      </c>
      <c r="F28" s="9">
        <v>84</v>
      </c>
      <c r="G28" s="11"/>
      <c r="H28" s="9"/>
      <c r="I28" s="9"/>
      <c r="J28" s="9"/>
      <c r="K28" s="9"/>
      <c r="L28" s="9"/>
      <c r="M28" s="9"/>
      <c r="N28" s="9">
        <f>D28+E28-SUM(F28:M28)</f>
        <v>406</v>
      </c>
      <c r="O28" s="9">
        <v>406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'1210'!O29</f>
        <v>191</v>
      </c>
      <c r="E29" s="9"/>
      <c r="F29" s="9">
        <v>21</v>
      </c>
      <c r="G29" s="11"/>
      <c r="H29" s="9"/>
      <c r="I29" s="9"/>
      <c r="J29" s="9"/>
      <c r="K29" s="9"/>
      <c r="L29" s="9"/>
      <c r="M29" s="9"/>
      <c r="N29" s="9">
        <f>D29+E29-SUM(F29:M29)</f>
        <v>170</v>
      </c>
      <c r="O29" s="9">
        <v>170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DATE(2015,10,13)</f>
        <v>42290</v>
      </c>
      <c r="E5" s="293">
        <f>D5+1</f>
        <v>42291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85"/>
      <c r="M6" s="185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49</v>
      </c>
      <c r="H7" s="5" t="s">
        <v>39</v>
      </c>
      <c r="I7" s="5" t="s">
        <v>40</v>
      </c>
      <c r="J7" s="5" t="s">
        <v>38</v>
      </c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'1310'!O8</f>
        <v>744</v>
      </c>
      <c r="E8" s="10"/>
      <c r="F8" s="11">
        <v>75</v>
      </c>
      <c r="G8" s="11">
        <v>80</v>
      </c>
      <c r="H8" s="11">
        <v>40</v>
      </c>
      <c r="I8" s="11">
        <v>20</v>
      </c>
      <c r="J8" s="11">
        <v>30</v>
      </c>
      <c r="K8" s="11"/>
      <c r="L8" s="11"/>
      <c r="M8" s="11"/>
      <c r="N8" s="9">
        <f t="shared" ref="N8:N24" si="0">D8+E8-SUM(F8:M8)</f>
        <v>499</v>
      </c>
      <c r="O8" s="9">
        <f>260+70+97+72</f>
        <v>499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'1310'!O9</f>
        <v>139</v>
      </c>
      <c r="E9" s="14">
        <f>83+79</f>
        <v>162</v>
      </c>
      <c r="F9" s="11"/>
      <c r="G9" s="11">
        <v>40</v>
      </c>
      <c r="H9" s="11">
        <v>30</v>
      </c>
      <c r="I9" s="11">
        <v>40</v>
      </c>
      <c r="J9" s="11">
        <v>23</v>
      </c>
      <c r="K9" s="11"/>
      <c r="L9" s="11"/>
      <c r="M9" s="11"/>
      <c r="N9" s="9">
        <f t="shared" si="0"/>
        <v>168</v>
      </c>
      <c r="O9" s="9">
        <v>168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'1310'!O10</f>
        <v>301</v>
      </c>
      <c r="E10" s="10">
        <v>126</v>
      </c>
      <c r="F10" s="11">
        <v>11</v>
      </c>
      <c r="G10" s="11">
        <v>60</v>
      </c>
      <c r="H10" s="11">
        <v>50</v>
      </c>
      <c r="I10" s="11"/>
      <c r="J10" s="11">
        <v>30</v>
      </c>
      <c r="K10" s="11"/>
      <c r="L10" s="11"/>
      <c r="M10" s="11"/>
      <c r="N10" s="9">
        <f t="shared" si="0"/>
        <v>276</v>
      </c>
      <c r="O10" s="9">
        <f>150+E10</f>
        <v>276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'1310'!O11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'1310'!O12</f>
        <v>520</v>
      </c>
      <c r="E12" s="14">
        <f>126+87</f>
        <v>213</v>
      </c>
      <c r="F12" s="11">
        <v>21</v>
      </c>
      <c r="G12" s="11">
        <v>100</v>
      </c>
      <c r="H12" s="11">
        <v>40</v>
      </c>
      <c r="I12" s="11">
        <v>60</v>
      </c>
      <c r="J12" s="11">
        <v>30</v>
      </c>
      <c r="K12" s="11"/>
      <c r="L12" s="11"/>
      <c r="M12" s="11"/>
      <c r="N12" s="9">
        <f t="shared" si="0"/>
        <v>482</v>
      </c>
      <c r="O12" s="9">
        <f>155+114+E12</f>
        <v>482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'1310'!O13</f>
        <v>536</v>
      </c>
      <c r="E13" s="14">
        <v>122</v>
      </c>
      <c r="F13" s="11">
        <v>15</v>
      </c>
      <c r="G13" s="11">
        <v>80</v>
      </c>
      <c r="H13" s="11">
        <v>50</v>
      </c>
      <c r="I13" s="11">
        <v>40</v>
      </c>
      <c r="J13" s="11">
        <v>30</v>
      </c>
      <c r="K13" s="11"/>
      <c r="L13" s="11"/>
      <c r="M13" s="11"/>
      <c r="N13" s="9">
        <f t="shared" si="0"/>
        <v>443</v>
      </c>
      <c r="O13" s="9">
        <f>85+156+80+E13</f>
        <v>443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'1310'!O14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'1310'!O15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'1310'!O16</f>
        <v>9</v>
      </c>
      <c r="E16" s="14">
        <v>4</v>
      </c>
      <c r="F16" s="11"/>
      <c r="G16" s="11">
        <v>1</v>
      </c>
      <c r="H16" s="11">
        <v>1</v>
      </c>
      <c r="I16" s="11">
        <v>2</v>
      </c>
      <c r="J16" s="11">
        <v>1</v>
      </c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'1310'!O17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'1310'!O18</f>
        <v>3</v>
      </c>
      <c r="E18" s="14"/>
      <c r="F18" s="11"/>
      <c r="G18" s="11">
        <v>1</v>
      </c>
      <c r="H18" s="11"/>
      <c r="I18" s="11">
        <v>1</v>
      </c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'1310'!O19</f>
        <v>3</v>
      </c>
      <c r="E19" s="14">
        <v>1</v>
      </c>
      <c r="F19" s="11"/>
      <c r="G19" s="11">
        <v>1</v>
      </c>
      <c r="H19" s="11"/>
      <c r="I19" s="11">
        <v>1</v>
      </c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'1310'!O20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'1310'!O21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'1310'!O22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'1310'!O23</f>
        <v>0</v>
      </c>
      <c r="E23" s="14">
        <v>32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'1310'!O24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'1310'!O26</f>
        <v>173</v>
      </c>
      <c r="E26" s="10">
        <v>65</v>
      </c>
      <c r="F26" s="9">
        <v>72</v>
      </c>
      <c r="G26" s="11"/>
      <c r="H26" s="9"/>
      <c r="I26" s="9"/>
      <c r="J26" s="9"/>
      <c r="K26" s="9"/>
      <c r="L26" s="9"/>
      <c r="M26" s="9"/>
      <c r="N26" s="9">
        <f>D26+E26-SUM(F26:M26)</f>
        <v>166</v>
      </c>
      <c r="O26" s="9">
        <v>166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'1310'!O27</f>
        <v>91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81</v>
      </c>
      <c r="O27" s="9">
        <v>81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'1310'!O28</f>
        <v>406</v>
      </c>
      <c r="E28" s="9"/>
      <c r="F28" s="9">
        <v>96</v>
      </c>
      <c r="G28" s="11"/>
      <c r="H28" s="9"/>
      <c r="I28" s="9"/>
      <c r="J28" s="9"/>
      <c r="K28" s="9"/>
      <c r="L28" s="9"/>
      <c r="M28" s="9"/>
      <c r="N28" s="9">
        <f>D28+E28-SUM(F28:M28)</f>
        <v>310</v>
      </c>
      <c r="O28" s="9">
        <v>310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'1310'!O29</f>
        <v>170</v>
      </c>
      <c r="E29" s="9"/>
      <c r="F29" s="9">
        <v>49</v>
      </c>
      <c r="G29" s="11"/>
      <c r="H29" s="9"/>
      <c r="I29" s="9"/>
      <c r="J29" s="9"/>
      <c r="K29" s="9"/>
      <c r="L29" s="9"/>
      <c r="M29" s="9"/>
      <c r="N29" s="9">
        <f>D29+E29-SUM(F29:M29)</f>
        <v>121</v>
      </c>
      <c r="O29" s="9">
        <v>121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DATE(2015,10,14)</f>
        <v>42291</v>
      </c>
      <c r="E5" s="293">
        <f>D5+1</f>
        <v>42292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86"/>
      <c r="M6" s="186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77</v>
      </c>
      <c r="H7" s="5" t="s">
        <v>56</v>
      </c>
      <c r="I7" s="5" t="s">
        <v>52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'1410'!O8</f>
        <v>499</v>
      </c>
      <c r="E8" s="10">
        <v>191</v>
      </c>
      <c r="F8" s="11">
        <v>62</v>
      </c>
      <c r="G8" s="11">
        <v>70</v>
      </c>
      <c r="H8" s="11">
        <v>80</v>
      </c>
      <c r="I8" s="11">
        <v>208</v>
      </c>
      <c r="J8" s="11"/>
      <c r="K8" s="11"/>
      <c r="L8" s="11"/>
      <c r="M8" s="11"/>
      <c r="N8" s="9">
        <f t="shared" ref="N8:N24" si="0">D8+E8-SUM(F8:M8)</f>
        <v>270</v>
      </c>
      <c r="O8" s="9">
        <f>18+191+61</f>
        <v>270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'1410'!O9</f>
        <v>168</v>
      </c>
      <c r="E9" s="14">
        <v>87</v>
      </c>
      <c r="F9" s="11"/>
      <c r="G9" s="11">
        <v>40</v>
      </c>
      <c r="H9" s="11">
        <v>80</v>
      </c>
      <c r="I9" s="11">
        <v>42</v>
      </c>
      <c r="J9" s="11"/>
      <c r="K9" s="11"/>
      <c r="L9" s="11"/>
      <c r="M9" s="11"/>
      <c r="N9" s="9">
        <f t="shared" si="0"/>
        <v>93</v>
      </c>
      <c r="O9" s="9">
        <v>93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'1410'!O10</f>
        <v>276</v>
      </c>
      <c r="E10" s="10">
        <v>127</v>
      </c>
      <c r="F10" s="11">
        <v>10</v>
      </c>
      <c r="G10" s="11">
        <v>70</v>
      </c>
      <c r="H10" s="11">
        <v>81</v>
      </c>
      <c r="I10" s="11">
        <v>126</v>
      </c>
      <c r="J10" s="11"/>
      <c r="K10" s="11"/>
      <c r="L10" s="11"/>
      <c r="M10" s="11"/>
      <c r="N10" s="9">
        <f t="shared" si="0"/>
        <v>116</v>
      </c>
      <c r="O10" s="9">
        <f>E10</f>
        <v>127</v>
      </c>
      <c r="P10" s="9">
        <f t="shared" si="1"/>
        <v>11</v>
      </c>
    </row>
    <row r="11" spans="1:16" ht="18.75">
      <c r="A11" s="6">
        <v>4</v>
      </c>
      <c r="B11" s="15" t="s">
        <v>16</v>
      </c>
      <c r="C11" s="6" t="s">
        <v>17</v>
      </c>
      <c r="D11" s="9">
        <f>'1410'!O11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'1410'!O12</f>
        <v>482</v>
      </c>
      <c r="E12" s="14">
        <v>178</v>
      </c>
      <c r="F12" s="11">
        <v>15</v>
      </c>
      <c r="G12" s="11">
        <v>121</v>
      </c>
      <c r="H12" s="11">
        <v>100</v>
      </c>
      <c r="I12" s="11">
        <v>260</v>
      </c>
      <c r="J12" s="11"/>
      <c r="K12" s="11"/>
      <c r="L12" s="11"/>
      <c r="M12" s="11"/>
      <c r="N12" s="9">
        <f t="shared" si="0"/>
        <v>164</v>
      </c>
      <c r="O12" s="9">
        <f>N12</f>
        <v>164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'1410'!O13</f>
        <v>443</v>
      </c>
      <c r="E13" s="14">
        <v>163</v>
      </c>
      <c r="F13" s="11">
        <v>15</v>
      </c>
      <c r="G13" s="11">
        <v>70</v>
      </c>
      <c r="H13" s="11">
        <v>80</v>
      </c>
      <c r="I13" s="11">
        <v>151</v>
      </c>
      <c r="J13" s="11"/>
      <c r="K13" s="11"/>
      <c r="L13" s="11"/>
      <c r="M13" s="11"/>
      <c r="N13" s="9">
        <f t="shared" si="0"/>
        <v>290</v>
      </c>
      <c r="O13" s="9">
        <f>127+E13</f>
        <v>290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'1410'!O14</f>
        <v>2</v>
      </c>
      <c r="E14" s="14">
        <v>1</v>
      </c>
      <c r="F14" s="11"/>
      <c r="G14" s="11"/>
      <c r="H14" s="11">
        <v>2</v>
      </c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'1410'!O15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'1410'!O16</f>
        <v>8</v>
      </c>
      <c r="E16" s="14">
        <v>5</v>
      </c>
      <c r="F16" s="11">
        <v>1</v>
      </c>
      <c r="G16" s="11">
        <v>2</v>
      </c>
      <c r="H16" s="11">
        <v>2</v>
      </c>
      <c r="I16" s="11">
        <v>3</v>
      </c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'1410'!O17</f>
        <v>2</v>
      </c>
      <c r="E17" s="14"/>
      <c r="F17" s="11"/>
      <c r="G17" s="11"/>
      <c r="H17" s="11">
        <v>1</v>
      </c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'1410'!O18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'1410'!O19</f>
        <v>2</v>
      </c>
      <c r="E19" s="14"/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'1410'!O20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'1410'!O21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'1410'!O22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'1410'!O23</f>
        <v>32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'1410'!O24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'1410'!O26</f>
        <v>166</v>
      </c>
      <c r="E26" s="10">
        <v>132</v>
      </c>
      <c r="F26" s="9">
        <v>81</v>
      </c>
      <c r="G26" s="11"/>
      <c r="H26" s="9"/>
      <c r="I26" s="9"/>
      <c r="J26" s="9"/>
      <c r="K26" s="9"/>
      <c r="L26" s="9"/>
      <c r="M26" s="9"/>
      <c r="N26" s="9">
        <f>D26+E26-SUM(F26:M26)</f>
        <v>217</v>
      </c>
      <c r="O26" s="9">
        <v>217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'1410'!O27</f>
        <v>81</v>
      </c>
      <c r="E27" s="9">
        <v>68</v>
      </c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139</v>
      </c>
      <c r="O27" s="9">
        <v>139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'1410'!O28</f>
        <v>310</v>
      </c>
      <c r="E28" s="9">
        <v>158</v>
      </c>
      <c r="F28" s="9">
        <v>105</v>
      </c>
      <c r="G28" s="11"/>
      <c r="H28" s="9"/>
      <c r="I28" s="9"/>
      <c r="J28" s="9"/>
      <c r="K28" s="9"/>
      <c r="L28" s="9"/>
      <c r="M28" s="9"/>
      <c r="N28" s="9">
        <f>D28+E28-SUM(F28:M28)</f>
        <v>363</v>
      </c>
      <c r="O28" s="9">
        <v>363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'1410'!O29</f>
        <v>121</v>
      </c>
      <c r="E29" s="9">
        <v>86</v>
      </c>
      <c r="F29" s="9">
        <v>76</v>
      </c>
      <c r="G29" s="11"/>
      <c r="H29" s="9"/>
      <c r="I29" s="9"/>
      <c r="J29" s="9"/>
      <c r="K29" s="9"/>
      <c r="L29" s="9"/>
      <c r="M29" s="9"/>
      <c r="N29" s="9">
        <f>D29+E29-SUM(F29:M29)</f>
        <v>131</v>
      </c>
      <c r="O29" s="9">
        <v>131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DATE(2015,10,15)</f>
        <v>42292</v>
      </c>
      <c r="E5" s="293">
        <f>D5+1</f>
        <v>42293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88"/>
      <c r="M6" s="188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/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'1510'!O8</f>
        <v>270</v>
      </c>
      <c r="E8" s="10">
        <f>81+95+95+14</f>
        <v>285</v>
      </c>
      <c r="F8" s="11">
        <v>64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491</v>
      </c>
      <c r="O8" s="9">
        <f>18+98+90+E8</f>
        <v>491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'1510'!O9</f>
        <v>93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93</v>
      </c>
      <c r="O9" s="9">
        <v>93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'1510'!O10</f>
        <v>127</v>
      </c>
      <c r="E10" s="10">
        <v>170</v>
      </c>
      <c r="F10" s="11">
        <v>22</v>
      </c>
      <c r="G10" s="11"/>
      <c r="H10" s="11"/>
      <c r="I10" s="11"/>
      <c r="J10" s="11"/>
      <c r="K10" s="11"/>
      <c r="L10" s="11"/>
      <c r="M10" s="11"/>
      <c r="N10" s="9">
        <f t="shared" si="0"/>
        <v>275</v>
      </c>
      <c r="O10" s="9">
        <f>65+40+E10</f>
        <v>275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'1510'!O11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'1510'!O12</f>
        <v>164</v>
      </c>
      <c r="E12" s="14">
        <v>173</v>
      </c>
      <c r="F12" s="11">
        <v>30</v>
      </c>
      <c r="G12" s="11"/>
      <c r="H12" s="11"/>
      <c r="I12" s="11"/>
      <c r="J12" s="11"/>
      <c r="K12" s="11"/>
      <c r="L12" s="11"/>
      <c r="M12" s="11"/>
      <c r="N12" s="9">
        <f t="shared" si="0"/>
        <v>307</v>
      </c>
      <c r="O12" s="9">
        <f>30+94+10+E12</f>
        <v>307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'1510'!O13</f>
        <v>290</v>
      </c>
      <c r="E13" s="14">
        <v>123</v>
      </c>
      <c r="F13" s="11">
        <v>16</v>
      </c>
      <c r="G13" s="11"/>
      <c r="H13" s="11"/>
      <c r="I13" s="11"/>
      <c r="J13" s="11"/>
      <c r="K13" s="11"/>
      <c r="L13" s="11"/>
      <c r="M13" s="11"/>
      <c r="N13" s="9">
        <f t="shared" si="0"/>
        <v>397</v>
      </c>
      <c r="O13" s="9">
        <f>80+32+162+E13</f>
        <v>397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'1510'!O14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'1510'!O15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'1510'!O16</f>
        <v>5</v>
      </c>
      <c r="E16" s="14">
        <v>6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11</v>
      </c>
      <c r="O16" s="9">
        <v>11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'1510'!O17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'1510'!O18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'1510'!O19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'1510'!O20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'1510'!O21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'1510'!O22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'1510'!O23</f>
        <v>32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'1510'!O24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'1510'!O26</f>
        <v>217</v>
      </c>
      <c r="E26" s="10">
        <v>66</v>
      </c>
      <c r="F26" s="9">
        <v>89</v>
      </c>
      <c r="G26" s="11"/>
      <c r="H26" s="9"/>
      <c r="I26" s="9"/>
      <c r="J26" s="9"/>
      <c r="K26" s="9"/>
      <c r="L26" s="9"/>
      <c r="M26" s="9"/>
      <c r="N26" s="9">
        <f>D26+E26-SUM(F26:M26)</f>
        <v>194</v>
      </c>
      <c r="O26" s="9">
        <v>194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'1510'!O27</f>
        <v>139</v>
      </c>
      <c r="E27" s="9"/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124</v>
      </c>
      <c r="O27" s="9">
        <v>124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'1510'!O28</f>
        <v>363</v>
      </c>
      <c r="E28" s="9">
        <v>159</v>
      </c>
      <c r="F28" s="9">
        <v>130</v>
      </c>
      <c r="G28" s="11"/>
      <c r="H28" s="9"/>
      <c r="I28" s="9"/>
      <c r="J28" s="9"/>
      <c r="K28" s="9"/>
      <c r="L28" s="9"/>
      <c r="M28" s="9"/>
      <c r="N28" s="9">
        <f>D28+E28-SUM(F28:M28)</f>
        <v>392</v>
      </c>
      <c r="O28" s="9">
        <v>392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'1510'!O29</f>
        <v>131</v>
      </c>
      <c r="E29" s="9">
        <v>85</v>
      </c>
      <c r="F29" s="9">
        <v>45</v>
      </c>
      <c r="G29" s="11"/>
      <c r="H29" s="9"/>
      <c r="I29" s="9"/>
      <c r="J29" s="9"/>
      <c r="K29" s="9"/>
      <c r="L29" s="9"/>
      <c r="M29" s="9"/>
      <c r="N29" s="9">
        <f>D29+E29-SUM(F29:M29)</f>
        <v>171</v>
      </c>
      <c r="O29" s="9">
        <v>171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B15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0" max="10" width="10.85546875" customWidth="1"/>
    <col min="11" max="11" width="11.5703125" customWidth="1"/>
    <col min="12" max="12" width="11.140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</row>
    <row r="3" spans="1:12" ht="20.25">
      <c r="A3" s="1"/>
      <c r="B3" s="1"/>
      <c r="C3" s="1"/>
      <c r="D3" s="1"/>
      <c r="E3" s="2"/>
      <c r="F3" s="3"/>
      <c r="G3" s="3"/>
      <c r="H3" s="3"/>
      <c r="I3" s="3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.75">
      <c r="A5" s="292" t="s">
        <v>1</v>
      </c>
      <c r="B5" s="292"/>
      <c r="C5" s="292"/>
      <c r="D5" s="4">
        <f>DATE(2015,4,1)</f>
        <v>42095</v>
      </c>
      <c r="E5" s="293">
        <f>D5+1</f>
        <v>42096</v>
      </c>
      <c r="F5" s="294"/>
      <c r="G5" s="294"/>
      <c r="H5" s="294"/>
      <c r="I5" s="294"/>
      <c r="J5" s="294"/>
      <c r="K5" s="294"/>
      <c r="L5" s="294"/>
    </row>
    <row r="6" spans="1:12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302" t="s">
        <v>8</v>
      </c>
      <c r="K6" s="289" t="s">
        <v>9</v>
      </c>
      <c r="L6" s="289" t="s">
        <v>10</v>
      </c>
    </row>
    <row r="7" spans="1:12">
      <c r="A7" s="295"/>
      <c r="B7" s="296"/>
      <c r="C7" s="298"/>
      <c r="D7" s="290"/>
      <c r="E7" s="290"/>
      <c r="F7" s="5" t="s">
        <v>11</v>
      </c>
      <c r="G7" s="5" t="s">
        <v>41</v>
      </c>
      <c r="H7" s="5"/>
      <c r="I7" s="5"/>
      <c r="J7" s="302"/>
      <c r="K7" s="290"/>
      <c r="L7" s="290"/>
    </row>
    <row r="8" spans="1:12" ht="18.75">
      <c r="A8" s="6">
        <v>1</v>
      </c>
      <c r="B8" s="7" t="s">
        <v>12</v>
      </c>
      <c r="C8" s="8" t="s">
        <v>13</v>
      </c>
      <c r="D8" s="9">
        <f>VLOOKUP($B8,'0104'!$B8:$K22,10,0)</f>
        <v>294</v>
      </c>
      <c r="E8" s="10">
        <v>69</v>
      </c>
      <c r="F8" s="11">
        <v>48</v>
      </c>
      <c r="G8" s="11">
        <v>150</v>
      </c>
      <c r="H8" s="11"/>
      <c r="I8" s="11"/>
      <c r="J8" s="9">
        <f t="shared" ref="J8:J19" si="0">D8+E8-SUM(F8:I8)</f>
        <v>165</v>
      </c>
      <c r="K8" s="9">
        <v>165</v>
      </c>
      <c r="L8" s="9">
        <f t="shared" ref="L8:L19" si="1">K8-J8</f>
        <v>0</v>
      </c>
    </row>
    <row r="9" spans="1:12" ht="18.75">
      <c r="A9" s="6">
        <v>2</v>
      </c>
      <c r="B9" s="12" t="s">
        <v>14</v>
      </c>
      <c r="C9" s="13" t="s">
        <v>13</v>
      </c>
      <c r="D9" s="9">
        <f>VLOOKUP($B9,'0104'!$B9:$K23,10,0)</f>
        <v>188</v>
      </c>
      <c r="E9" s="14"/>
      <c r="F9" s="11"/>
      <c r="G9" s="11">
        <v>100</v>
      </c>
      <c r="H9" s="11"/>
      <c r="I9" s="11"/>
      <c r="J9" s="9">
        <f t="shared" si="0"/>
        <v>88</v>
      </c>
      <c r="K9" s="9">
        <v>88</v>
      </c>
      <c r="L9" s="9">
        <f t="shared" si="1"/>
        <v>0</v>
      </c>
    </row>
    <row r="10" spans="1:12" ht="18.75">
      <c r="A10" s="6">
        <v>3</v>
      </c>
      <c r="B10" s="12" t="s">
        <v>15</v>
      </c>
      <c r="C10" s="8" t="s">
        <v>13</v>
      </c>
      <c r="D10" s="9">
        <f>VLOOKUP($B10,'0104'!$B10:$K24,10,0)</f>
        <v>94</v>
      </c>
      <c r="E10" s="10">
        <v>120</v>
      </c>
      <c r="F10" s="11">
        <v>6</v>
      </c>
      <c r="G10" s="11">
        <v>88</v>
      </c>
      <c r="H10" s="11"/>
      <c r="I10" s="11"/>
      <c r="J10" s="9">
        <f t="shared" si="0"/>
        <v>120</v>
      </c>
      <c r="K10" s="9">
        <v>120</v>
      </c>
      <c r="L10" s="9">
        <f t="shared" si="1"/>
        <v>0</v>
      </c>
    </row>
    <row r="11" spans="1:12" ht="18.75">
      <c r="A11" s="6">
        <v>4</v>
      </c>
      <c r="B11" s="15" t="s">
        <v>16</v>
      </c>
      <c r="C11" s="6" t="s">
        <v>17</v>
      </c>
      <c r="D11" s="9">
        <f>VLOOKUP($B11,'0104'!$B11:$K25,10,0)</f>
        <v>237</v>
      </c>
      <c r="E11" s="10">
        <v>282</v>
      </c>
      <c r="F11" s="11"/>
      <c r="G11" s="11">
        <v>237</v>
      </c>
      <c r="H11" s="11"/>
      <c r="I11" s="11"/>
      <c r="J11" s="9">
        <f t="shared" si="0"/>
        <v>282</v>
      </c>
      <c r="K11" s="9">
        <v>282</v>
      </c>
      <c r="L11" s="9">
        <f t="shared" si="1"/>
        <v>0</v>
      </c>
    </row>
    <row r="12" spans="1:12" ht="18.75">
      <c r="A12" s="6">
        <v>5</v>
      </c>
      <c r="B12" s="15" t="s">
        <v>18</v>
      </c>
      <c r="C12" s="6" t="s">
        <v>17</v>
      </c>
      <c r="D12" s="9">
        <f>VLOOKUP($B12,'0104'!$B12:$K26,10,0)</f>
        <v>190</v>
      </c>
      <c r="E12" s="14">
        <v>90</v>
      </c>
      <c r="F12" s="11">
        <v>20</v>
      </c>
      <c r="G12" s="11">
        <v>130</v>
      </c>
      <c r="H12" s="11"/>
      <c r="I12" s="11"/>
      <c r="J12" s="9">
        <f t="shared" si="0"/>
        <v>130</v>
      </c>
      <c r="K12" s="9">
        <v>130</v>
      </c>
      <c r="L12" s="9">
        <f t="shared" si="1"/>
        <v>0</v>
      </c>
    </row>
    <row r="13" spans="1:12" ht="18.75">
      <c r="A13" s="6">
        <v>6</v>
      </c>
      <c r="B13" s="16" t="s">
        <v>19</v>
      </c>
      <c r="C13" s="17" t="s">
        <v>17</v>
      </c>
      <c r="D13" s="9">
        <f>VLOOKUP($B13,'0104'!$B13:$K27,10,0)</f>
        <v>110</v>
      </c>
      <c r="E13" s="14">
        <v>76</v>
      </c>
      <c r="F13" s="11">
        <v>10</v>
      </c>
      <c r="G13" s="11">
        <v>80</v>
      </c>
      <c r="H13" s="11"/>
      <c r="I13" s="11"/>
      <c r="J13" s="9">
        <f t="shared" si="0"/>
        <v>96</v>
      </c>
      <c r="K13" s="9">
        <v>96</v>
      </c>
      <c r="L13" s="9">
        <f t="shared" si="1"/>
        <v>0</v>
      </c>
    </row>
    <row r="14" spans="1:12" ht="18.75">
      <c r="A14" s="6">
        <v>7</v>
      </c>
      <c r="B14" s="12" t="s">
        <v>20</v>
      </c>
      <c r="C14" s="6" t="s">
        <v>21</v>
      </c>
      <c r="D14" s="9">
        <f>VLOOKUP($B14,'0104'!$B14:$K28,10,0)</f>
        <v>2</v>
      </c>
      <c r="E14" s="14"/>
      <c r="F14" s="11"/>
      <c r="G14" s="11">
        <v>2</v>
      </c>
      <c r="H14" s="11"/>
      <c r="I14" s="11"/>
      <c r="J14" s="9">
        <f t="shared" si="0"/>
        <v>0</v>
      </c>
      <c r="K14" s="9">
        <v>0</v>
      </c>
      <c r="L14" s="9">
        <f t="shared" si="1"/>
        <v>0</v>
      </c>
    </row>
    <row r="15" spans="1:12" ht="18.75">
      <c r="A15" s="6">
        <v>8</v>
      </c>
      <c r="B15" s="12" t="s">
        <v>22</v>
      </c>
      <c r="C15" s="18" t="s">
        <v>21</v>
      </c>
      <c r="D15" s="9">
        <f>VLOOKUP($B15,'0104'!$B15:$K29,10,0)</f>
        <v>0</v>
      </c>
      <c r="E15" s="14">
        <v>2</v>
      </c>
      <c r="F15" s="11"/>
      <c r="G15" s="11"/>
      <c r="H15" s="11"/>
      <c r="I15" s="11"/>
      <c r="J15" s="9">
        <f t="shared" si="0"/>
        <v>2</v>
      </c>
      <c r="K15" s="9">
        <v>2</v>
      </c>
      <c r="L15" s="9">
        <f t="shared" si="1"/>
        <v>0</v>
      </c>
    </row>
    <row r="16" spans="1:12" ht="18.75">
      <c r="A16" s="6">
        <v>9</v>
      </c>
      <c r="B16" s="15" t="s">
        <v>23</v>
      </c>
      <c r="C16" s="8" t="s">
        <v>24</v>
      </c>
      <c r="D16" s="9">
        <f>VLOOKUP($B16,'0104'!$B16:$K30,10,0)</f>
        <v>3</v>
      </c>
      <c r="E16" s="14">
        <v>2</v>
      </c>
      <c r="F16" s="11"/>
      <c r="G16" s="11">
        <v>2</v>
      </c>
      <c r="H16" s="11"/>
      <c r="I16" s="11"/>
      <c r="J16" s="9">
        <f t="shared" si="0"/>
        <v>3</v>
      </c>
      <c r="K16" s="9">
        <v>3</v>
      </c>
      <c r="L16" s="9">
        <f t="shared" si="1"/>
        <v>0</v>
      </c>
    </row>
    <row r="17" spans="1:12" ht="18.75">
      <c r="A17" s="6">
        <v>10</v>
      </c>
      <c r="B17" s="19" t="s">
        <v>25</v>
      </c>
      <c r="C17" s="6" t="s">
        <v>21</v>
      </c>
      <c r="D17" s="9">
        <f>VLOOKUP($B17,'0104'!$B17:$K31,10,0)</f>
        <v>4</v>
      </c>
      <c r="E17" s="14"/>
      <c r="F17" s="11"/>
      <c r="G17" s="11">
        <v>2</v>
      </c>
      <c r="H17" s="11"/>
      <c r="I17" s="11"/>
      <c r="J17" s="9">
        <f t="shared" si="0"/>
        <v>2</v>
      </c>
      <c r="K17" s="9">
        <v>2</v>
      </c>
      <c r="L17" s="9">
        <f t="shared" si="1"/>
        <v>0</v>
      </c>
    </row>
    <row r="18" spans="1:12" ht="18.75">
      <c r="A18" s="6">
        <v>11</v>
      </c>
      <c r="B18" s="12" t="s">
        <v>26</v>
      </c>
      <c r="C18" s="6" t="s">
        <v>27</v>
      </c>
      <c r="D18" s="9">
        <f>VLOOKUP($B18,'0104'!$B18:$K32,10,0)</f>
        <v>1</v>
      </c>
      <c r="E18" s="14"/>
      <c r="F18" s="11"/>
      <c r="G18" s="11">
        <v>1</v>
      </c>
      <c r="H18" s="11"/>
      <c r="I18" s="11"/>
      <c r="J18" s="9">
        <f t="shared" si="0"/>
        <v>0</v>
      </c>
      <c r="K18" s="9">
        <v>0</v>
      </c>
      <c r="L18" s="9">
        <f t="shared" si="1"/>
        <v>0</v>
      </c>
    </row>
    <row r="19" spans="1:12" ht="18.75">
      <c r="A19" s="6">
        <v>12</v>
      </c>
      <c r="B19" s="12" t="s">
        <v>28</v>
      </c>
      <c r="C19" s="6" t="s">
        <v>27</v>
      </c>
      <c r="D19" s="9">
        <f>VLOOKUP($B19,'0104'!$B19:$K33,10,0)</f>
        <v>1</v>
      </c>
      <c r="E19" s="14"/>
      <c r="F19" s="11"/>
      <c r="G19" s="11"/>
      <c r="H19" s="11"/>
      <c r="I19" s="11"/>
      <c r="J19" s="9">
        <f t="shared" si="0"/>
        <v>1</v>
      </c>
      <c r="K19" s="9">
        <v>1</v>
      </c>
      <c r="L19" s="9">
        <f t="shared" si="1"/>
        <v>0</v>
      </c>
    </row>
    <row r="20" spans="1:12" ht="18.75">
      <c r="A20" s="6">
        <v>13</v>
      </c>
      <c r="B20" s="12" t="s">
        <v>29</v>
      </c>
      <c r="C20" s="6" t="s">
        <v>17</v>
      </c>
      <c r="D20" s="9">
        <f>VLOOKUP($B20,'0104'!$B20:$K34,10,0)</f>
        <v>0</v>
      </c>
      <c r="E20" s="14"/>
      <c r="F20" s="11"/>
      <c r="G20" s="11"/>
      <c r="H20" s="11"/>
      <c r="I20" s="11"/>
      <c r="J20" s="9"/>
      <c r="K20" s="9"/>
      <c r="L20" s="9"/>
    </row>
    <row r="21" spans="1:12" ht="18.75">
      <c r="A21" s="6">
        <v>14</v>
      </c>
      <c r="B21" s="20" t="s">
        <v>30</v>
      </c>
      <c r="C21" s="6" t="s">
        <v>17</v>
      </c>
      <c r="D21" s="9">
        <f>VLOOKUP($B21,'0104'!$B21:$K35,10,0)</f>
        <v>4</v>
      </c>
      <c r="E21" s="14"/>
      <c r="F21" s="11"/>
      <c r="G21" s="11">
        <v>4</v>
      </c>
      <c r="H21" s="11"/>
      <c r="I21" s="11"/>
      <c r="J21" s="9">
        <f>D21+E21-SUM(F21:I21)</f>
        <v>0</v>
      </c>
      <c r="K21" s="9"/>
      <c r="L21" s="9">
        <f t="shared" ref="L21" si="2">K21-J21</f>
        <v>0</v>
      </c>
    </row>
    <row r="22" spans="1:12" ht="18.75">
      <c r="A22" s="6">
        <v>15</v>
      </c>
      <c r="B22" s="20" t="s">
        <v>31</v>
      </c>
      <c r="C22" s="6" t="s">
        <v>17</v>
      </c>
      <c r="D22" s="9">
        <f>VLOOKUP($B22,'0104'!$B22:$K36,10,0)</f>
        <v>6</v>
      </c>
      <c r="E22" s="14"/>
      <c r="F22" s="11"/>
      <c r="G22" s="11">
        <v>6</v>
      </c>
      <c r="H22" s="11"/>
      <c r="I22" s="11"/>
      <c r="J22" s="9">
        <f>D22+E22-SUM(F22:I22)</f>
        <v>0</v>
      </c>
      <c r="K22" s="9"/>
      <c r="L22" s="9">
        <f>K22-J22</f>
        <v>0</v>
      </c>
    </row>
    <row r="23" spans="1:12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>
        <f>K23-J23</f>
        <v>0</v>
      </c>
    </row>
    <row r="24" spans="1:12" ht="18.75">
      <c r="A24" s="6"/>
      <c r="B24" s="20" t="s">
        <v>32</v>
      </c>
      <c r="C24" s="6"/>
      <c r="D24" s="9">
        <f t="shared" ref="D24" si="3">SUM(D8:D22)</f>
        <v>1134</v>
      </c>
      <c r="E24" s="9">
        <f t="shared" ref="E24:K24" si="4">SUM(E8:E22)</f>
        <v>641</v>
      </c>
      <c r="F24" s="9">
        <f t="shared" si="4"/>
        <v>84</v>
      </c>
      <c r="G24" s="9">
        <f t="shared" si="4"/>
        <v>802</v>
      </c>
      <c r="H24" s="9">
        <f t="shared" si="4"/>
        <v>0</v>
      </c>
      <c r="I24" s="9">
        <f t="shared" si="4"/>
        <v>0</v>
      </c>
      <c r="J24" s="9">
        <f t="shared" si="4"/>
        <v>889</v>
      </c>
      <c r="K24" s="9">
        <f t="shared" si="4"/>
        <v>889</v>
      </c>
      <c r="L24" s="9">
        <f>K24-J24</f>
        <v>0</v>
      </c>
    </row>
    <row r="25" spans="1:12" ht="18.75">
      <c r="A25" s="22"/>
      <c r="B25" s="23"/>
      <c r="C25" s="22"/>
      <c r="D25" s="24"/>
      <c r="E25" s="24"/>
      <c r="F25" s="25" t="s">
        <v>33</v>
      </c>
      <c r="G25" s="24"/>
      <c r="H25" s="24"/>
      <c r="I25" s="24"/>
      <c r="J25" s="24"/>
      <c r="K25" s="24"/>
      <c r="L25" s="24"/>
    </row>
    <row r="26" spans="1:12" ht="18.75">
      <c r="A26" s="6">
        <v>1</v>
      </c>
      <c r="B26" s="20" t="s">
        <v>34</v>
      </c>
      <c r="C26" s="6" t="s">
        <v>17</v>
      </c>
      <c r="D26" s="9">
        <f>VLOOKUP($B26,'0104'!$B26:$K29,10,0)</f>
        <v>206</v>
      </c>
      <c r="E26" s="10">
        <v>187</v>
      </c>
      <c r="F26" s="9">
        <v>179</v>
      </c>
      <c r="G26" s="11"/>
      <c r="H26" s="9"/>
      <c r="I26" s="9"/>
      <c r="J26" s="9">
        <f t="shared" ref="J26" si="5">D26+E26-F26</f>
        <v>214</v>
      </c>
      <c r="K26" s="9">
        <v>214</v>
      </c>
      <c r="L26" s="9">
        <f t="shared" ref="L26" si="6">K26-J26</f>
        <v>0</v>
      </c>
    </row>
    <row r="27" spans="1:12" ht="18.75">
      <c r="A27" s="6">
        <v>2</v>
      </c>
      <c r="B27" s="20" t="s">
        <v>35</v>
      </c>
      <c r="C27" s="6" t="s">
        <v>17</v>
      </c>
      <c r="D27" s="9">
        <f>VLOOKUP($B27,'0104'!$B27:$K30,10,0)</f>
        <v>130</v>
      </c>
      <c r="E27" s="9"/>
      <c r="F27" s="9">
        <v>40</v>
      </c>
      <c r="G27" s="11"/>
      <c r="H27" s="9"/>
      <c r="I27" s="9"/>
      <c r="J27" s="9">
        <f>D27+E27-F27</f>
        <v>90</v>
      </c>
      <c r="K27" s="9">
        <v>90</v>
      </c>
      <c r="L27" s="9">
        <f>K27-J27</f>
        <v>0</v>
      </c>
    </row>
    <row r="28" spans="1:12" ht="18.75">
      <c r="A28" s="6">
        <v>3</v>
      </c>
      <c r="B28" s="20" t="s">
        <v>36</v>
      </c>
      <c r="C28" s="6" t="s">
        <v>17</v>
      </c>
      <c r="D28" s="9">
        <f>VLOOKUP($B28,'0104'!$B28:$K31,10,0)</f>
        <v>290</v>
      </c>
      <c r="E28" s="9">
        <v>285</v>
      </c>
      <c r="F28" s="9">
        <v>216</v>
      </c>
      <c r="G28" s="11"/>
      <c r="H28" s="9"/>
      <c r="I28" s="9"/>
      <c r="J28" s="9">
        <f>D28+E28-F28</f>
        <v>359</v>
      </c>
      <c r="K28" s="9">
        <v>359</v>
      </c>
      <c r="L28" s="9">
        <f>K28-J28</f>
        <v>0</v>
      </c>
    </row>
    <row r="29" spans="1:12" ht="18.75">
      <c r="A29" s="6">
        <v>4</v>
      </c>
      <c r="B29" s="20" t="s">
        <v>37</v>
      </c>
      <c r="C29" s="6" t="s">
        <v>17</v>
      </c>
      <c r="D29" s="9">
        <f>VLOOKUP($B29,'0104'!$B29:$K32,10,0)</f>
        <v>134</v>
      </c>
      <c r="E29" s="9"/>
      <c r="F29" s="9">
        <v>52</v>
      </c>
      <c r="G29" s="11"/>
      <c r="H29" s="9"/>
      <c r="I29" s="9"/>
      <c r="J29" s="9">
        <f>D29+E29-F29</f>
        <v>82</v>
      </c>
      <c r="K29" s="9">
        <v>82</v>
      </c>
      <c r="L29" s="9">
        <f>K29-J29</f>
        <v>0</v>
      </c>
    </row>
    <row r="30" spans="1:12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</row>
    <row r="31" spans="1:12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</row>
  </sheetData>
  <mergeCells count="12">
    <mergeCell ref="K6:K7"/>
    <mergeCell ref="L6:L7"/>
    <mergeCell ref="B2:L2"/>
    <mergeCell ref="A5:C5"/>
    <mergeCell ref="E5:L5"/>
    <mergeCell ref="A6:A7"/>
    <mergeCell ref="B6:B7"/>
    <mergeCell ref="C6:C7"/>
    <mergeCell ref="D6:D7"/>
    <mergeCell ref="E6:E7"/>
    <mergeCell ref="F6:I6"/>
    <mergeCell ref="J6:J7"/>
  </mergeCells>
  <conditionalFormatting sqref="D23">
    <cfRule type="cellIs" dxfId="7" priority="1" stopIfTrue="1" operator="lessThan">
      <formula>0</formula>
    </cfRule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DATE(2015,4,19)</f>
        <v>42113</v>
      </c>
      <c r="E5" s="293">
        <f>D5+1</f>
        <v>42114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42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45</v>
      </c>
      <c r="H7" s="5" t="s">
        <v>53</v>
      </c>
      <c r="I7" s="5" t="s">
        <v>52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VLOOKUP($B8,'1904'!$B8:$M22,11,0)</f>
        <v>170</v>
      </c>
      <c r="E8" s="10">
        <f>87+124+160</f>
        <v>371</v>
      </c>
      <c r="F8" s="11">
        <v>50</v>
      </c>
      <c r="G8" s="11">
        <v>80</v>
      </c>
      <c r="H8" s="11"/>
      <c r="I8" s="11">
        <v>200</v>
      </c>
      <c r="J8" s="11"/>
      <c r="K8" s="9">
        <f>D8+E8-SUM(F8:J8)</f>
        <v>211</v>
      </c>
      <c r="L8" s="9">
        <v>211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VLOOKUP($B9,'1904'!$B9:$M23,11,0)</f>
        <v>300</v>
      </c>
      <c r="E9" s="14"/>
      <c r="F9" s="11"/>
      <c r="G9" s="11">
        <v>60</v>
      </c>
      <c r="H9" s="11">
        <v>100</v>
      </c>
      <c r="I9" s="11"/>
      <c r="J9" s="11"/>
      <c r="K9" s="9">
        <f t="shared" ref="K9:K19" si="1">D9+E9-SUM(F9:J9)</f>
        <v>140</v>
      </c>
      <c r="L9" s="9">
        <v>140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VLOOKUP($B10,'1904'!$B10:$M24,11,0)</f>
        <v>217</v>
      </c>
      <c r="E10" s="10"/>
      <c r="F10" s="11"/>
      <c r="G10" s="11">
        <v>64</v>
      </c>
      <c r="H10" s="11">
        <v>40</v>
      </c>
      <c r="I10" s="11">
        <v>113</v>
      </c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VLOOKUP($B11,'1904'!$B11:$M25,11,0)</f>
        <v>265</v>
      </c>
      <c r="E11" s="10">
        <f>155+285</f>
        <v>440</v>
      </c>
      <c r="F11" s="11"/>
      <c r="G11" s="11">
        <v>40</v>
      </c>
      <c r="H11" s="11"/>
      <c r="I11" s="11"/>
      <c r="J11" s="11"/>
      <c r="K11" s="9">
        <f t="shared" si="1"/>
        <v>665</v>
      </c>
      <c r="L11" s="9">
        <f>225+440</f>
        <v>665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VLOOKUP($B12,'1904'!$B12:$M26,11,0)</f>
        <v>486</v>
      </c>
      <c r="E12" s="14">
        <v>172</v>
      </c>
      <c r="F12" s="11"/>
      <c r="G12" s="11">
        <v>60</v>
      </c>
      <c r="H12" s="11"/>
      <c r="I12" s="11">
        <v>200</v>
      </c>
      <c r="J12" s="11"/>
      <c r="K12" s="9">
        <f t="shared" si="1"/>
        <v>398</v>
      </c>
      <c r="L12" s="9">
        <f>160+68+170</f>
        <v>398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VLOOKUP($B13,'1904'!$B13:$M27,11,0)</f>
        <v>216</v>
      </c>
      <c r="E13" s="14">
        <v>11</v>
      </c>
      <c r="F13" s="11"/>
      <c r="G13" s="11"/>
      <c r="H13" s="11">
        <v>30</v>
      </c>
      <c r="I13" s="11">
        <v>150</v>
      </c>
      <c r="J13" s="11"/>
      <c r="K13" s="9">
        <f t="shared" si="1"/>
        <v>47</v>
      </c>
      <c r="L13" s="9">
        <v>47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VLOOKUP($B14,'1904'!$B14:$M28,11,0)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VLOOKUP($B15,'1904'!$B15:$M29,11,0)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VLOOKUP($B16,'1904'!$B16:$M30,11,0)</f>
        <v>5</v>
      </c>
      <c r="E16" s="14"/>
      <c r="F16" s="11"/>
      <c r="G16" s="11">
        <v>1</v>
      </c>
      <c r="H16" s="11">
        <v>1</v>
      </c>
      <c r="I16" s="11">
        <v>3</v>
      </c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VLOOKUP($B17,'1904'!$B17:$M31,11,0)</f>
        <v>2</v>
      </c>
      <c r="E17" s="14"/>
      <c r="F17" s="11"/>
      <c r="G17" s="11">
        <v>1</v>
      </c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VLOOKUP($B18,'1904'!$B18:$M32,11,0)</f>
        <v>1</v>
      </c>
      <c r="E18" s="14"/>
      <c r="F18" s="11"/>
      <c r="G18" s="11"/>
      <c r="H18" s="11">
        <v>1</v>
      </c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VLOOKUP($B19,'1904'!$B19:$M33,11,0)</f>
        <v>2</v>
      </c>
      <c r="E19" s="14">
        <v>2</v>
      </c>
      <c r="F19" s="11"/>
      <c r="G19" s="11"/>
      <c r="H19" s="11">
        <v>1</v>
      </c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VLOOKUP($B20,'1904'!$B20:$M34,11,0)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VLOOKUP($B21,'1904'!$B21:$M35,11,0)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VLOOKUP($B22,'1904'!$B22:$M36,11,0)</f>
        <v>1</v>
      </c>
      <c r="E22" s="14"/>
      <c r="F22" s="11">
        <v>1</v>
      </c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998</v>
      </c>
      <c r="F24" s="9"/>
      <c r="G24" s="9"/>
      <c r="H24" s="9"/>
      <c r="I24" s="9"/>
      <c r="J24" s="9"/>
      <c r="K24" s="9">
        <f t="shared" si="3"/>
        <v>1467</v>
      </c>
      <c r="L24" s="9">
        <f t="shared" si="3"/>
        <v>1467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VLOOKUP($B26,'1904'!$B26:$M29,11,0)</f>
        <v>241</v>
      </c>
      <c r="E26" s="10">
        <v>60</v>
      </c>
      <c r="F26" s="9">
        <v>140</v>
      </c>
      <c r="G26" s="11"/>
      <c r="H26" s="9"/>
      <c r="I26" s="9"/>
      <c r="J26" s="9"/>
      <c r="K26" s="9">
        <f t="shared" ref="K26" si="4">D26+E26-F26</f>
        <v>161</v>
      </c>
      <c r="L26" s="9">
        <v>161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VLOOKUP($B27,'1904'!$B27:$M30,11,0)</f>
        <v>95</v>
      </c>
      <c r="E27" s="9">
        <v>55</v>
      </c>
      <c r="F27" s="9">
        <v>45</v>
      </c>
      <c r="G27" s="11"/>
      <c r="H27" s="9"/>
      <c r="I27" s="9"/>
      <c r="J27" s="9"/>
      <c r="K27" s="9">
        <f>D27+E27-F27</f>
        <v>105</v>
      </c>
      <c r="L27" s="9">
        <v>105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VLOOKUP($B28,'1904'!$B28:$M31,11,0)</f>
        <v>497</v>
      </c>
      <c r="E28" s="9">
        <v>160</v>
      </c>
      <c r="F28" s="9">
        <v>241</v>
      </c>
      <c r="G28" s="11"/>
      <c r="H28" s="9"/>
      <c r="I28" s="9"/>
      <c r="J28" s="9"/>
      <c r="K28" s="9">
        <f>D28+E28-F28</f>
        <v>416</v>
      </c>
      <c r="L28" s="9">
        <v>416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VLOOKUP($B29,'1904'!$B29:$M32,11,0)</f>
        <v>167</v>
      </c>
      <c r="E29" s="9">
        <v>86</v>
      </c>
      <c r="F29" s="9">
        <v>110</v>
      </c>
      <c r="G29" s="11"/>
      <c r="H29" s="9"/>
      <c r="I29" s="9"/>
      <c r="J29" s="9"/>
      <c r="K29" s="9">
        <f>D29+E29-F29</f>
        <v>143</v>
      </c>
      <c r="L29" s="9">
        <v>143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DATE(2015,10,16)</f>
        <v>42293</v>
      </c>
      <c r="E5" s="293">
        <f>D5+1</f>
        <v>42294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89"/>
      <c r="M6" s="189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81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'1610'!O8</f>
        <v>491</v>
      </c>
      <c r="E8" s="10">
        <f>79+90</f>
        <v>169</v>
      </c>
      <c r="F8" s="11">
        <v>64</v>
      </c>
      <c r="G8" s="11">
        <v>98</v>
      </c>
      <c r="H8" s="11"/>
      <c r="I8" s="11"/>
      <c r="J8" s="11"/>
      <c r="K8" s="11"/>
      <c r="L8" s="11"/>
      <c r="M8" s="11"/>
      <c r="N8" s="9">
        <f t="shared" ref="N8:N24" si="0">D8+E8-SUM(F8:M8)</f>
        <v>498</v>
      </c>
      <c r="O8" s="9">
        <f>108+120+103+E8</f>
        <v>500</v>
      </c>
      <c r="P8" s="9">
        <f t="shared" ref="P8:P19" si="1">O8-N8</f>
        <v>2</v>
      </c>
    </row>
    <row r="9" spans="1:16" ht="18.75">
      <c r="A9" s="6">
        <v>2</v>
      </c>
      <c r="B9" s="12" t="s">
        <v>14</v>
      </c>
      <c r="C9" s="13" t="s">
        <v>13</v>
      </c>
      <c r="D9" s="9">
        <f>'1610'!O9</f>
        <v>93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93</v>
      </c>
      <c r="O9" s="9">
        <v>93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'1610'!O10</f>
        <v>275</v>
      </c>
      <c r="E10" s="10">
        <v>174</v>
      </c>
      <c r="F10" s="11">
        <v>6</v>
      </c>
      <c r="G10" s="11">
        <v>40</v>
      </c>
      <c r="H10" s="11"/>
      <c r="I10" s="11"/>
      <c r="J10" s="11"/>
      <c r="K10" s="11"/>
      <c r="L10" s="11"/>
      <c r="M10" s="11"/>
      <c r="N10" s="9">
        <f t="shared" si="0"/>
        <v>403</v>
      </c>
      <c r="O10" s="9">
        <f>75+154+E10</f>
        <v>403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'1610'!O11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'1610'!O12</f>
        <v>307</v>
      </c>
      <c r="E12" s="14">
        <v>174</v>
      </c>
      <c r="F12" s="11">
        <v>20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431</v>
      </c>
      <c r="O12" s="9">
        <f>104+153+E12</f>
        <v>431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'1610'!O13</f>
        <v>397</v>
      </c>
      <c r="E13" s="14">
        <v>79</v>
      </c>
      <c r="F13" s="11">
        <v>10</v>
      </c>
      <c r="G13" s="11">
        <v>32</v>
      </c>
      <c r="H13" s="11"/>
      <c r="I13" s="11"/>
      <c r="J13" s="11"/>
      <c r="K13" s="11"/>
      <c r="L13" s="11"/>
      <c r="M13" s="11"/>
      <c r="N13" s="9">
        <f t="shared" si="0"/>
        <v>434</v>
      </c>
      <c r="O13" s="9">
        <f>80+133+142+E13</f>
        <v>434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'1610'!O14</f>
        <v>1</v>
      </c>
      <c r="E14" s="14"/>
      <c r="F14" s="11"/>
      <c r="G14" s="11">
        <v>1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'1610'!O15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'1610'!O16</f>
        <v>11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13</v>
      </c>
      <c r="O16" s="9">
        <v>13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'1610'!O17</f>
        <v>1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'1610'!O18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'1610'!O19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'1610'!O20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'1610'!O21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'1610'!O22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'1610'!O23</f>
        <v>32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'1610'!O24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'1610'!O26</f>
        <v>194</v>
      </c>
      <c r="E26" s="10">
        <v>137</v>
      </c>
      <c r="F26" s="9">
        <v>91</v>
      </c>
      <c r="G26" s="11"/>
      <c r="H26" s="9"/>
      <c r="I26" s="9"/>
      <c r="J26" s="9"/>
      <c r="K26" s="9"/>
      <c r="L26" s="9"/>
      <c r="M26" s="9"/>
      <c r="N26" s="9">
        <f>D26+E26-SUM(F26:M26)</f>
        <v>240</v>
      </c>
      <c r="O26" s="9">
        <v>240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'1610'!O27</f>
        <v>124</v>
      </c>
      <c r="E27" s="9"/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108</v>
      </c>
      <c r="O27" s="9">
        <v>108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'1610'!O28</f>
        <v>392</v>
      </c>
      <c r="E28" s="9">
        <v>144</v>
      </c>
      <c r="F28" s="9">
        <v>252</v>
      </c>
      <c r="G28" s="11"/>
      <c r="H28" s="9"/>
      <c r="I28" s="9"/>
      <c r="J28" s="9"/>
      <c r="K28" s="9"/>
      <c r="L28" s="9"/>
      <c r="M28" s="9"/>
      <c r="N28" s="9">
        <f>D28+E28-SUM(F28:M28)</f>
        <v>284</v>
      </c>
      <c r="O28" s="9">
        <v>284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'1610'!O29</f>
        <v>171</v>
      </c>
      <c r="E29" s="9"/>
      <c r="F29" s="9">
        <v>50</v>
      </c>
      <c r="G29" s="11"/>
      <c r="H29" s="9"/>
      <c r="I29" s="9"/>
      <c r="J29" s="9"/>
      <c r="K29" s="9"/>
      <c r="L29" s="9"/>
      <c r="M29" s="9"/>
      <c r="N29" s="9">
        <f>D29+E29-SUM(F29:M29)</f>
        <v>121</v>
      </c>
      <c r="O29" s="9">
        <v>121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DATE(2015,10,18)</f>
        <v>42295</v>
      </c>
      <c r="E5" s="293">
        <f>D5+1</f>
        <v>42296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90"/>
      <c r="M6" s="190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/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'1710'!O8</f>
        <v>500</v>
      </c>
      <c r="E8" s="10"/>
      <c r="F8" s="11">
        <v>75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425</v>
      </c>
      <c r="O8" s="9">
        <f>129+103+38+90+E8+65</f>
        <v>425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'1710'!O9</f>
        <v>93</v>
      </c>
      <c r="E9" s="14">
        <f>75+90+76</f>
        <v>241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334</v>
      </c>
      <c r="O9" s="9">
        <v>334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'1710'!O10</f>
        <v>403</v>
      </c>
      <c r="E10" s="10">
        <v>175</v>
      </c>
      <c r="F10" s="11">
        <v>40</v>
      </c>
      <c r="G10" s="11"/>
      <c r="H10" s="11"/>
      <c r="I10" s="11"/>
      <c r="J10" s="11"/>
      <c r="K10" s="11"/>
      <c r="L10" s="11"/>
      <c r="M10" s="11"/>
      <c r="N10" s="9">
        <f t="shared" si="0"/>
        <v>538</v>
      </c>
      <c r="O10" s="9">
        <f>65+144+154+E10</f>
        <v>538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'1710'!O11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'1710'!O12</f>
        <v>431</v>
      </c>
      <c r="E12" s="14">
        <v>85</v>
      </c>
      <c r="F12" s="11">
        <v>20</v>
      </c>
      <c r="G12" s="11"/>
      <c r="H12" s="11"/>
      <c r="I12" s="11"/>
      <c r="J12" s="11"/>
      <c r="K12" s="11"/>
      <c r="L12" s="11"/>
      <c r="M12" s="11"/>
      <c r="N12" s="9">
        <f t="shared" si="0"/>
        <v>496</v>
      </c>
      <c r="O12" s="9">
        <f>154+153+104+E12</f>
        <v>496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'1710'!O13</f>
        <v>434</v>
      </c>
      <c r="E13" s="14">
        <f>51+150</f>
        <v>201</v>
      </c>
      <c r="F13" s="11">
        <v>19</v>
      </c>
      <c r="G13" s="11"/>
      <c r="H13" s="11"/>
      <c r="I13" s="11"/>
      <c r="J13" s="11"/>
      <c r="K13" s="11"/>
      <c r="L13" s="11"/>
      <c r="M13" s="11"/>
      <c r="N13" s="9">
        <f t="shared" si="0"/>
        <v>616</v>
      </c>
      <c r="O13" s="9">
        <f>60+133+132+90+E13</f>
        <v>616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'1710'!O14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'1710'!O15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'1710'!O16</f>
        <v>13</v>
      </c>
      <c r="E16" s="14"/>
      <c r="F16" s="11"/>
      <c r="G16" s="11"/>
      <c r="H16" s="11"/>
      <c r="I16" s="11"/>
      <c r="J16" s="11"/>
      <c r="K16" s="11"/>
      <c r="L16" s="11"/>
      <c r="M16" s="11"/>
      <c r="N16" s="9">
        <f t="shared" si="0"/>
        <v>13</v>
      </c>
      <c r="O16" s="9">
        <v>13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'1710'!O17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'1710'!O18</f>
        <v>0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'1710'!O19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'1710'!O20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'1710'!O21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'1710'!O22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'1710'!O23</f>
        <v>32</v>
      </c>
      <c r="E23" s="14">
        <v>32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'1710'!O24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'1710'!O26</f>
        <v>240</v>
      </c>
      <c r="E26" s="10">
        <v>134</v>
      </c>
      <c r="F26" s="9">
        <v>170</v>
      </c>
      <c r="G26" s="11"/>
      <c r="H26" s="9"/>
      <c r="I26" s="9"/>
      <c r="J26" s="9"/>
      <c r="K26" s="9"/>
      <c r="L26" s="9"/>
      <c r="M26" s="9"/>
      <c r="N26" s="9">
        <f>D26+E26-SUM(F26:M26)</f>
        <v>204</v>
      </c>
      <c r="O26" s="9">
        <v>204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'1710'!O27</f>
        <v>108</v>
      </c>
      <c r="E27" s="9"/>
      <c r="F27" s="9">
        <v>8</v>
      </c>
      <c r="G27" s="11"/>
      <c r="H27" s="9"/>
      <c r="I27" s="9"/>
      <c r="J27" s="9"/>
      <c r="K27" s="9"/>
      <c r="L27" s="9"/>
      <c r="M27" s="9"/>
      <c r="N27" s="9">
        <f>D27+E27-SUM(F27:M27)</f>
        <v>100</v>
      </c>
      <c r="O27" s="9">
        <v>100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'1710'!O28</f>
        <v>284</v>
      </c>
      <c r="E28" s="9"/>
      <c r="F28" s="9">
        <v>22</v>
      </c>
      <c r="G28" s="11"/>
      <c r="H28" s="9"/>
      <c r="I28" s="9"/>
      <c r="J28" s="9"/>
      <c r="K28" s="9"/>
      <c r="L28" s="9"/>
      <c r="M28" s="9"/>
      <c r="N28" s="9">
        <f>D28+E28-SUM(F28:M28)</f>
        <v>262</v>
      </c>
      <c r="O28" s="9">
        <v>262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'1710'!O29</f>
        <v>121</v>
      </c>
      <c r="E29" s="9">
        <v>85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131</v>
      </c>
      <c r="O29" s="9">
        <v>131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DATE(2015,10,18)</f>
        <v>42295</v>
      </c>
      <c r="E5" s="293">
        <f>D5+1</f>
        <v>42296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90"/>
      <c r="M6" s="190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/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'1810'!O8</f>
        <v>425</v>
      </c>
      <c r="E8" s="10">
        <f>95+85+90+52</f>
        <v>322</v>
      </c>
      <c r="F8" s="11">
        <v>75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672</v>
      </c>
      <c r="O8" s="9">
        <f>200+93+38+9+10+322</f>
        <v>672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'1810'!O9</f>
        <v>334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334</v>
      </c>
      <c r="O9" s="9">
        <f>240+97+E9</f>
        <v>337</v>
      </c>
      <c r="P9" s="9">
        <f t="shared" si="1"/>
        <v>3</v>
      </c>
    </row>
    <row r="10" spans="1:16" ht="18.75">
      <c r="A10" s="6">
        <v>3</v>
      </c>
      <c r="B10" s="12" t="s">
        <v>15</v>
      </c>
      <c r="C10" s="8" t="s">
        <v>13</v>
      </c>
      <c r="D10" s="9">
        <f>'1810'!O10</f>
        <v>538</v>
      </c>
      <c r="E10" s="10">
        <v>85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613</v>
      </c>
      <c r="O10" s="9">
        <f>164+57+150+175+E103+67</f>
        <v>613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'1810'!O11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'1810'!O12</f>
        <v>496</v>
      </c>
      <c r="E12" s="14">
        <v>128</v>
      </c>
      <c r="F12" s="11">
        <v>21</v>
      </c>
      <c r="G12" s="11"/>
      <c r="H12" s="11"/>
      <c r="I12" s="11"/>
      <c r="J12" s="11"/>
      <c r="K12" s="11"/>
      <c r="L12" s="11"/>
      <c r="M12" s="11"/>
      <c r="N12" s="9">
        <f t="shared" si="0"/>
        <v>603</v>
      </c>
      <c r="O12" s="9">
        <f>104+132+154+85+E12</f>
        <v>603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'1810'!O13</f>
        <v>616</v>
      </c>
      <c r="E13" s="14">
        <v>77</v>
      </c>
      <c r="F13" s="11">
        <v>13</v>
      </c>
      <c r="G13" s="11"/>
      <c r="H13" s="11"/>
      <c r="I13" s="11"/>
      <c r="J13" s="11"/>
      <c r="K13" s="11"/>
      <c r="L13" s="11"/>
      <c r="M13" s="11"/>
      <c r="N13" s="9">
        <f t="shared" si="0"/>
        <v>680</v>
      </c>
      <c r="O13" s="9">
        <f>142+133+47+80+201+E13</f>
        <v>680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'1810'!O14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'1810'!O15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'1810'!O16</f>
        <v>13</v>
      </c>
      <c r="E16" s="14"/>
      <c r="F16" s="11"/>
      <c r="G16" s="11"/>
      <c r="H16" s="11"/>
      <c r="I16" s="11"/>
      <c r="J16" s="11"/>
      <c r="K16" s="11"/>
      <c r="L16" s="11"/>
      <c r="M16" s="11"/>
      <c r="N16" s="9">
        <f t="shared" si="0"/>
        <v>13</v>
      </c>
      <c r="O16" s="9">
        <v>13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'1810'!O17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'1810'!O18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'1810'!O19</f>
        <v>2</v>
      </c>
      <c r="E19" s="14">
        <v>3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5</v>
      </c>
      <c r="O19" s="9">
        <v>5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'1810'!O20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'1810'!O21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'1810'!O22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'1810'!O23</f>
        <v>64</v>
      </c>
      <c r="E23" s="14">
        <v>48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112</v>
      </c>
      <c r="O23" s="9">
        <v>112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'1810'!O24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'1810'!O26</f>
        <v>204</v>
      </c>
      <c r="E26" s="10">
        <v>131</v>
      </c>
      <c r="F26" s="9">
        <v>170</v>
      </c>
      <c r="G26" s="11"/>
      <c r="H26" s="9"/>
      <c r="I26" s="9"/>
      <c r="J26" s="9"/>
      <c r="K26" s="9"/>
      <c r="L26" s="9"/>
      <c r="M26" s="9"/>
      <c r="N26" s="9">
        <f>D26+E26-SUM(F26:M26)</f>
        <v>165</v>
      </c>
      <c r="O26" s="9">
        <v>165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'1810'!O27</f>
        <v>100</v>
      </c>
      <c r="E27" s="9"/>
      <c r="F27" s="9">
        <v>11</v>
      </c>
      <c r="G27" s="11"/>
      <c r="H27" s="9"/>
      <c r="I27" s="9"/>
      <c r="J27" s="9"/>
      <c r="K27" s="9"/>
      <c r="L27" s="9"/>
      <c r="M27" s="9"/>
      <c r="N27" s="9">
        <f>D27+E27-SUM(F27:M27)</f>
        <v>89</v>
      </c>
      <c r="O27" s="9">
        <v>89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'1810'!O28</f>
        <v>262</v>
      </c>
      <c r="E28" s="9">
        <v>140</v>
      </c>
      <c r="F28" s="9">
        <v>126</v>
      </c>
      <c r="G28" s="11"/>
      <c r="H28" s="9"/>
      <c r="I28" s="9"/>
      <c r="J28" s="9"/>
      <c r="K28" s="9"/>
      <c r="L28" s="9"/>
      <c r="M28" s="9"/>
      <c r="N28" s="9">
        <f>D28+E28-SUM(F28:M28)</f>
        <v>276</v>
      </c>
      <c r="O28" s="9">
        <v>276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'1810'!O29</f>
        <v>131</v>
      </c>
      <c r="E29" s="9">
        <v>79</v>
      </c>
      <c r="F29" s="9">
        <v>72</v>
      </c>
      <c r="G29" s="11"/>
      <c r="H29" s="9"/>
      <c r="I29" s="9"/>
      <c r="J29" s="9"/>
      <c r="K29" s="9"/>
      <c r="L29" s="9"/>
      <c r="M29" s="9"/>
      <c r="N29" s="9">
        <f>D29+E29-SUM(F29:M29)</f>
        <v>138</v>
      </c>
      <c r="O29" s="9">
        <v>138</v>
      </c>
      <c r="P29" s="9">
        <f>O29-N29</f>
        <v>0</v>
      </c>
    </row>
    <row r="30" spans="1:16" ht="18.75">
      <c r="A30" s="26"/>
      <c r="B30" s="26" t="s">
        <v>102</v>
      </c>
      <c r="C30" s="26" t="s">
        <v>103</v>
      </c>
      <c r="D30" s="27"/>
      <c r="E30" s="27">
        <v>3</v>
      </c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3</v>
      </c>
      <c r="O30" s="27">
        <v>3</v>
      </c>
      <c r="P30" s="9">
        <f>O30-N30</f>
        <v>0</v>
      </c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DATE(2015,10,19)</f>
        <v>42296</v>
      </c>
      <c r="E5" s="293">
        <f>D5+1</f>
        <v>42297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90"/>
      <c r="M6" s="190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82</v>
      </c>
      <c r="H7" s="5" t="s">
        <v>62</v>
      </c>
      <c r="I7" s="5" t="s">
        <v>80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'1910'!O8</f>
        <v>672</v>
      </c>
      <c r="E8" s="10">
        <f>85+90+35</f>
        <v>210</v>
      </c>
      <c r="F8" s="11">
        <v>73</v>
      </c>
      <c r="G8" s="11">
        <v>50</v>
      </c>
      <c r="H8" s="11">
        <v>20</v>
      </c>
      <c r="I8" s="11">
        <v>70</v>
      </c>
      <c r="J8" s="11"/>
      <c r="K8" s="11"/>
      <c r="L8" s="11"/>
      <c r="M8" s="11"/>
      <c r="N8" s="9">
        <f t="shared" ref="N8:N24" si="0">D8+E8-SUM(F8:M8)</f>
        <v>669</v>
      </c>
      <c r="O8" s="9">
        <f>29+120+200+110+E8</f>
        <v>669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'1910'!O9</f>
        <v>337</v>
      </c>
      <c r="E9" s="14"/>
      <c r="F9" s="11"/>
      <c r="G9" s="11">
        <v>50</v>
      </c>
      <c r="H9" s="11">
        <v>20</v>
      </c>
      <c r="I9" s="11">
        <v>20</v>
      </c>
      <c r="J9" s="11"/>
      <c r="K9" s="11"/>
      <c r="L9" s="11"/>
      <c r="M9" s="11"/>
      <c r="N9" s="9">
        <f t="shared" si="0"/>
        <v>247</v>
      </c>
      <c r="O9" s="9">
        <f>30+97+120</f>
        <v>247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'1910'!O10</f>
        <v>613</v>
      </c>
      <c r="E10" s="10">
        <v>123</v>
      </c>
      <c r="F10" s="11"/>
      <c r="G10" s="11">
        <v>40</v>
      </c>
      <c r="H10" s="11">
        <v>20</v>
      </c>
      <c r="I10" s="11">
        <v>60</v>
      </c>
      <c r="J10" s="11"/>
      <c r="K10" s="11"/>
      <c r="L10" s="11"/>
      <c r="M10" s="11"/>
      <c r="N10" s="9">
        <f t="shared" si="0"/>
        <v>616</v>
      </c>
      <c r="O10" s="9">
        <f>230+175+86+E10</f>
        <v>614</v>
      </c>
      <c r="P10" s="9">
        <f t="shared" si="1"/>
        <v>-2</v>
      </c>
    </row>
    <row r="11" spans="1:16" ht="18.75">
      <c r="A11" s="6">
        <v>4</v>
      </c>
      <c r="B11" s="15" t="s">
        <v>16</v>
      </c>
      <c r="C11" s="6" t="s">
        <v>17</v>
      </c>
      <c r="D11" s="9">
        <f>'1910'!O11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'1910'!O12</f>
        <v>603</v>
      </c>
      <c r="E12" s="14">
        <v>85</v>
      </c>
      <c r="F12" s="11">
        <v>21</v>
      </c>
      <c r="G12" s="11">
        <v>40</v>
      </c>
      <c r="H12" s="11">
        <v>24</v>
      </c>
      <c r="I12" s="11">
        <v>63</v>
      </c>
      <c r="J12" s="11"/>
      <c r="K12" s="11"/>
      <c r="L12" s="11"/>
      <c r="M12" s="11"/>
      <c r="N12" s="9">
        <f t="shared" si="0"/>
        <v>540</v>
      </c>
      <c r="O12" s="9">
        <f>154+81+85+135+E12</f>
        <v>540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'1910'!O13</f>
        <v>680</v>
      </c>
      <c r="E13" s="14">
        <v>75</v>
      </c>
      <c r="F13" s="11">
        <v>21</v>
      </c>
      <c r="G13" s="11">
        <v>30</v>
      </c>
      <c r="H13" s="11">
        <v>30</v>
      </c>
      <c r="I13" s="11">
        <v>30</v>
      </c>
      <c r="J13" s="11"/>
      <c r="K13" s="11"/>
      <c r="L13" s="11"/>
      <c r="M13" s="11"/>
      <c r="N13" s="9">
        <f t="shared" si="0"/>
        <v>644</v>
      </c>
      <c r="O13" s="9">
        <f>133+78+80+77+201+E13</f>
        <v>644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'1910'!O14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'1910'!O15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'1910'!O16</f>
        <v>13</v>
      </c>
      <c r="E16" s="14"/>
      <c r="F16" s="11"/>
      <c r="G16" s="11">
        <v>1</v>
      </c>
      <c r="H16" s="11">
        <v>2</v>
      </c>
      <c r="I16" s="11">
        <v>1</v>
      </c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'1910'!O17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'1910'!O18</f>
        <v>2</v>
      </c>
      <c r="E18" s="14"/>
      <c r="F18" s="11"/>
      <c r="G18" s="11"/>
      <c r="H18" s="11"/>
      <c r="I18" s="11">
        <v>1</v>
      </c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'1910'!O19</f>
        <v>5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'1910'!O20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'1910'!O21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'1910'!O22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'1910'!O23</f>
        <v>112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152</v>
      </c>
      <c r="O23" s="9">
        <v>152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'1910'!O24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'1910'!O26</f>
        <v>165</v>
      </c>
      <c r="E26" s="10">
        <v>131</v>
      </c>
      <c r="F26" s="9">
        <v>73</v>
      </c>
      <c r="G26" s="11"/>
      <c r="H26" s="9"/>
      <c r="I26" s="9"/>
      <c r="J26" s="9"/>
      <c r="K26" s="9"/>
      <c r="L26" s="9"/>
      <c r="M26" s="9"/>
      <c r="N26" s="9">
        <f>D26+E26-SUM(F26:M26)</f>
        <v>223</v>
      </c>
      <c r="O26" s="9">
        <v>223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'1910'!O27</f>
        <v>89</v>
      </c>
      <c r="E27" s="9"/>
      <c r="F27" s="9">
        <v>9</v>
      </c>
      <c r="G27" s="11"/>
      <c r="H27" s="9"/>
      <c r="I27" s="9"/>
      <c r="J27" s="9"/>
      <c r="K27" s="9"/>
      <c r="L27" s="9"/>
      <c r="M27" s="9"/>
      <c r="N27" s="9">
        <f>D27+E27-SUM(F27:M27)</f>
        <v>80</v>
      </c>
      <c r="O27" s="9">
        <v>80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'1910'!O28</f>
        <v>276</v>
      </c>
      <c r="E28" s="9">
        <f>153+71</f>
        <v>224</v>
      </c>
      <c r="F28" s="9">
        <v>194</v>
      </c>
      <c r="G28" s="11"/>
      <c r="H28" s="9"/>
      <c r="I28" s="9"/>
      <c r="J28" s="9"/>
      <c r="K28" s="9"/>
      <c r="L28" s="9"/>
      <c r="M28" s="9"/>
      <c r="N28" s="9">
        <f>D28+E28-SUM(F28:M28)</f>
        <v>306</v>
      </c>
      <c r="O28" s="9">
        <v>306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'1910'!O29</f>
        <v>138</v>
      </c>
      <c r="E29" s="9">
        <f>80+14</f>
        <v>94</v>
      </c>
      <c r="F29" s="9">
        <v>39</v>
      </c>
      <c r="G29" s="11"/>
      <c r="H29" s="9"/>
      <c r="I29" s="9"/>
      <c r="J29" s="9"/>
      <c r="K29" s="9"/>
      <c r="L29" s="9"/>
      <c r="M29" s="9"/>
      <c r="N29" s="9">
        <f>D29+E29-SUM(F29:M29)</f>
        <v>193</v>
      </c>
      <c r="O29" s="9">
        <v>193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DATE(2015,10,20)</f>
        <v>42297</v>
      </c>
      <c r="E5" s="293">
        <f>D5+1</f>
        <v>42298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91"/>
      <c r="M6" s="191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39</v>
      </c>
      <c r="H7" s="5" t="s">
        <v>40</v>
      </c>
      <c r="I7" s="5" t="s">
        <v>38</v>
      </c>
      <c r="J7" s="5" t="s">
        <v>71</v>
      </c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'2010'!O8</f>
        <v>669</v>
      </c>
      <c r="E8" s="10"/>
      <c r="F8" s="11">
        <v>22</v>
      </c>
      <c r="G8" s="11">
        <v>40</v>
      </c>
      <c r="H8" s="11">
        <v>23</v>
      </c>
      <c r="I8" s="11">
        <v>30</v>
      </c>
      <c r="J8" s="11"/>
      <c r="K8" s="11"/>
      <c r="L8" s="11"/>
      <c r="M8" s="11"/>
      <c r="N8" s="9">
        <f t="shared" ref="N8:N24" si="0">D8+E8-SUM(F8:M8)</f>
        <v>554</v>
      </c>
      <c r="O8" s="9">
        <f>16+240+250+E8+48</f>
        <v>554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'2010'!O9</f>
        <v>247</v>
      </c>
      <c r="E9" s="10">
        <f>90+83+38</f>
        <v>211</v>
      </c>
      <c r="F9" s="11"/>
      <c r="G9" s="11">
        <v>47</v>
      </c>
      <c r="H9" s="11">
        <v>30</v>
      </c>
      <c r="I9" s="11">
        <v>30</v>
      </c>
      <c r="J9" s="11"/>
      <c r="K9" s="11"/>
      <c r="L9" s="11"/>
      <c r="M9" s="11"/>
      <c r="N9" s="9">
        <f t="shared" si="0"/>
        <v>351</v>
      </c>
      <c r="O9" s="9">
        <f>140+211</f>
        <v>351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'2010'!O10</f>
        <v>614</v>
      </c>
      <c r="E10" s="10">
        <v>169</v>
      </c>
      <c r="F10" s="11">
        <v>18</v>
      </c>
      <c r="G10" s="11">
        <v>50</v>
      </c>
      <c r="H10" s="11">
        <v>40</v>
      </c>
      <c r="I10" s="11">
        <v>30</v>
      </c>
      <c r="J10" s="11"/>
      <c r="K10" s="11"/>
      <c r="L10" s="11"/>
      <c r="M10" s="11"/>
      <c r="N10" s="9">
        <f t="shared" si="0"/>
        <v>645</v>
      </c>
      <c r="O10" s="9">
        <f>95+175+206+E10</f>
        <v>645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'2010'!O11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'2010'!O12</f>
        <v>540</v>
      </c>
      <c r="E12" s="14">
        <v>208</v>
      </c>
      <c r="F12" s="11">
        <v>21</v>
      </c>
      <c r="G12" s="11">
        <v>40</v>
      </c>
      <c r="H12" s="11">
        <v>80</v>
      </c>
      <c r="I12" s="11">
        <v>40</v>
      </c>
      <c r="J12" s="11"/>
      <c r="K12" s="11"/>
      <c r="L12" s="11"/>
      <c r="M12" s="11"/>
      <c r="N12" s="9">
        <f t="shared" si="0"/>
        <v>567</v>
      </c>
      <c r="O12" s="9">
        <f>149+85+125+E12</f>
        <v>567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'2010'!O13</f>
        <v>644</v>
      </c>
      <c r="E13" s="14"/>
      <c r="F13" s="11">
        <v>13</v>
      </c>
      <c r="G13" s="11">
        <v>40</v>
      </c>
      <c r="H13" s="11">
        <v>40</v>
      </c>
      <c r="I13" s="11">
        <v>42</v>
      </c>
      <c r="J13" s="11"/>
      <c r="K13" s="11"/>
      <c r="L13" s="11"/>
      <c r="M13" s="11"/>
      <c r="N13" s="9">
        <f t="shared" si="0"/>
        <v>509</v>
      </c>
      <c r="O13" s="9">
        <f>150+77+6+201+75+E13</f>
        <v>509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'2010'!O14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'2010'!O15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'2010'!O16</f>
        <v>9</v>
      </c>
      <c r="E16" s="14">
        <v>3</v>
      </c>
      <c r="F16" s="11"/>
      <c r="G16" s="11">
        <v>2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'2010'!O17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'2010'!O18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'2010'!O19</f>
        <v>4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'2010'!O20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'2010'!O21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'2010'!O22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'2010'!O23</f>
        <v>152</v>
      </c>
      <c r="E23" s="14">
        <v>20</v>
      </c>
      <c r="F23" s="9">
        <v>20</v>
      </c>
      <c r="G23" s="9"/>
      <c r="H23" s="9"/>
      <c r="I23" s="9"/>
      <c r="J23" s="9">
        <v>120</v>
      </c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'2010'!O24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'2010'!O26</f>
        <v>223</v>
      </c>
      <c r="E26" s="10">
        <v>71</v>
      </c>
      <c r="F26" s="9">
        <v>92</v>
      </c>
      <c r="G26" s="11"/>
      <c r="H26" s="9"/>
      <c r="I26" s="9"/>
      <c r="J26" s="9"/>
      <c r="K26" s="9"/>
      <c r="L26" s="9"/>
      <c r="M26" s="9"/>
      <c r="N26" s="9">
        <f>D26+E26-SUM(F26:M26)</f>
        <v>202</v>
      </c>
      <c r="O26" s="9">
        <v>202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'2010'!O27</f>
        <v>80</v>
      </c>
      <c r="E27" s="9">
        <v>68</v>
      </c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133</v>
      </c>
      <c r="O27" s="9">
        <v>133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'2010'!O28</f>
        <v>306</v>
      </c>
      <c r="E28" s="9">
        <v>140</v>
      </c>
      <c r="F28" s="9">
        <v>114</v>
      </c>
      <c r="G28" s="11"/>
      <c r="H28" s="9"/>
      <c r="I28" s="9"/>
      <c r="J28" s="9"/>
      <c r="K28" s="9"/>
      <c r="L28" s="9"/>
      <c r="M28" s="9"/>
      <c r="N28" s="9">
        <f>D28+E28-SUM(F28:M28)</f>
        <v>332</v>
      </c>
      <c r="O28" s="9">
        <v>332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'2010'!O29</f>
        <v>193</v>
      </c>
      <c r="E29" s="9"/>
      <c r="F29" s="9">
        <v>50</v>
      </c>
      <c r="G29" s="11"/>
      <c r="H29" s="9"/>
      <c r="I29" s="9"/>
      <c r="J29" s="9"/>
      <c r="K29" s="9"/>
      <c r="L29" s="9"/>
      <c r="M29" s="9"/>
      <c r="N29" s="9">
        <f>D29+E29-SUM(F29:M29)</f>
        <v>143</v>
      </c>
      <c r="O29" s="9">
        <v>143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DATE(2015,10,21)</f>
        <v>42298</v>
      </c>
      <c r="E5" s="293">
        <f>D5+1</f>
        <v>42299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91"/>
      <c r="M6" s="191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104</v>
      </c>
      <c r="H7" s="5" t="s">
        <v>52</v>
      </c>
      <c r="I7" s="5" t="s">
        <v>71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'2110'!O8</f>
        <v>554</v>
      </c>
      <c r="E8" s="10">
        <f>80+95+104+48</f>
        <v>327</v>
      </c>
      <c r="F8" s="11">
        <v>72</v>
      </c>
      <c r="G8" s="11">
        <v>120</v>
      </c>
      <c r="H8" s="11">
        <v>300</v>
      </c>
      <c r="I8" s="11"/>
      <c r="J8" s="11"/>
      <c r="K8" s="11"/>
      <c r="L8" s="11"/>
      <c r="M8" s="11"/>
      <c r="N8" s="9">
        <f t="shared" ref="N8:N24" si="0">D8+E8-SUM(F8:M8)</f>
        <v>389</v>
      </c>
      <c r="O8" s="9">
        <f>64+E8</f>
        <v>391</v>
      </c>
      <c r="P8" s="9">
        <f t="shared" ref="P8:P19" si="1">O8-N8</f>
        <v>2</v>
      </c>
    </row>
    <row r="9" spans="1:16" ht="18.75">
      <c r="A9" s="6">
        <v>2</v>
      </c>
      <c r="B9" s="12" t="s">
        <v>14</v>
      </c>
      <c r="C9" s="13" t="s">
        <v>13</v>
      </c>
      <c r="D9" s="9">
        <f>'2110'!O9</f>
        <v>351</v>
      </c>
      <c r="E9" s="14"/>
      <c r="F9" s="11"/>
      <c r="G9" s="11">
        <v>60</v>
      </c>
      <c r="H9" s="11">
        <v>100</v>
      </c>
      <c r="I9" s="11"/>
      <c r="J9" s="11"/>
      <c r="K9" s="11"/>
      <c r="L9" s="11"/>
      <c r="M9" s="11"/>
      <c r="N9" s="9">
        <f t="shared" si="0"/>
        <v>191</v>
      </c>
      <c r="O9" s="9">
        <f>190</f>
        <v>190</v>
      </c>
      <c r="P9" s="9">
        <f t="shared" si="1"/>
        <v>-1</v>
      </c>
    </row>
    <row r="10" spans="1:16" ht="18.75">
      <c r="A10" s="6">
        <v>3</v>
      </c>
      <c r="B10" s="12" t="s">
        <v>15</v>
      </c>
      <c r="C10" s="8" t="s">
        <v>13</v>
      </c>
      <c r="D10" s="9">
        <f>'2110'!O10</f>
        <v>645</v>
      </c>
      <c r="E10" s="10"/>
      <c r="F10" s="11"/>
      <c r="G10" s="11">
        <v>60</v>
      </c>
      <c r="H10" s="11">
        <v>250</v>
      </c>
      <c r="I10" s="11"/>
      <c r="J10" s="11"/>
      <c r="K10" s="11"/>
      <c r="L10" s="11"/>
      <c r="M10" s="11"/>
      <c r="N10" s="9">
        <f t="shared" si="0"/>
        <v>335</v>
      </c>
      <c r="O10" s="9">
        <f>159+91+85+E10</f>
        <v>335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'2110'!O11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'2110'!O12</f>
        <v>567</v>
      </c>
      <c r="E12" s="14">
        <v>177</v>
      </c>
      <c r="F12" s="11">
        <v>20</v>
      </c>
      <c r="G12" s="11">
        <v>69</v>
      </c>
      <c r="H12" s="11">
        <v>300</v>
      </c>
      <c r="I12" s="11"/>
      <c r="J12" s="11"/>
      <c r="K12" s="11"/>
      <c r="L12" s="11"/>
      <c r="M12" s="11"/>
      <c r="N12" s="9">
        <f t="shared" si="0"/>
        <v>355</v>
      </c>
      <c r="O12" s="9">
        <f>178+E12</f>
        <v>355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'2110'!O13</f>
        <v>509</v>
      </c>
      <c r="E13" s="14">
        <v>121</v>
      </c>
      <c r="F13" s="11">
        <v>6</v>
      </c>
      <c r="G13" s="11">
        <v>40</v>
      </c>
      <c r="H13" s="11">
        <v>100</v>
      </c>
      <c r="I13" s="11"/>
      <c r="J13" s="11"/>
      <c r="K13" s="11"/>
      <c r="L13" s="11"/>
      <c r="M13" s="11"/>
      <c r="N13" s="9">
        <f t="shared" si="0"/>
        <v>484</v>
      </c>
      <c r="O13" s="9">
        <f>77+191+95+E13</f>
        <v>484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'2110'!O14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'2110'!O15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'2110'!O16</f>
        <v>8</v>
      </c>
      <c r="E16" s="14">
        <v>3</v>
      </c>
      <c r="F16" s="11">
        <v>1</v>
      </c>
      <c r="G16" s="11">
        <v>2</v>
      </c>
      <c r="H16" s="11">
        <v>3</v>
      </c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'2110'!O17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'2110'!O18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'2110'!O19</f>
        <v>3</v>
      </c>
      <c r="E19" s="14">
        <v>2</v>
      </c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'2110'!O20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'2110'!O21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'2110'!O22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'2110'!O23</f>
        <v>32</v>
      </c>
      <c r="E23" s="14">
        <f>20+36</f>
        <v>56</v>
      </c>
      <c r="F23" s="9">
        <v>20</v>
      </c>
      <c r="G23" s="9"/>
      <c r="H23" s="9"/>
      <c r="I23" s="9">
        <v>32</v>
      </c>
      <c r="J23" s="9"/>
      <c r="K23" s="9"/>
      <c r="L23" s="9"/>
      <c r="M23" s="9"/>
      <c r="N23" s="9">
        <f t="shared" si="0"/>
        <v>36</v>
      </c>
      <c r="O23" s="9">
        <v>36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'2110'!O24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'2110'!O26</f>
        <v>202</v>
      </c>
      <c r="E26" s="10">
        <v>136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228</v>
      </c>
      <c r="O26" s="9">
        <v>228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'2110'!O27</f>
        <v>133</v>
      </c>
      <c r="E27" s="9"/>
      <c r="F27" s="9">
        <v>40</v>
      </c>
      <c r="G27" s="11"/>
      <c r="H27" s="9"/>
      <c r="I27" s="9"/>
      <c r="J27" s="9"/>
      <c r="K27" s="9"/>
      <c r="L27" s="9"/>
      <c r="M27" s="9"/>
      <c r="N27" s="9">
        <f>D27+E27-SUM(F27:M27)</f>
        <v>93</v>
      </c>
      <c r="O27" s="9">
        <v>93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'2110'!O28</f>
        <v>332</v>
      </c>
      <c r="E28" s="9">
        <v>70</v>
      </c>
      <c r="F28" s="9">
        <v>118</v>
      </c>
      <c r="G28" s="11"/>
      <c r="H28" s="9"/>
      <c r="I28" s="9"/>
      <c r="J28" s="9"/>
      <c r="K28" s="9"/>
      <c r="L28" s="9"/>
      <c r="M28" s="9"/>
      <c r="N28" s="9">
        <f>D28+E28-SUM(F28:M28)</f>
        <v>284</v>
      </c>
      <c r="O28" s="9">
        <v>284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'2110'!O29</f>
        <v>143</v>
      </c>
      <c r="E29" s="9">
        <v>94</v>
      </c>
      <c r="F29" s="9">
        <v>86</v>
      </c>
      <c r="G29" s="11"/>
      <c r="H29" s="9"/>
      <c r="I29" s="9"/>
      <c r="J29" s="9"/>
      <c r="K29" s="9"/>
      <c r="L29" s="9"/>
      <c r="M29" s="9"/>
      <c r="N29" s="9">
        <f>D29+E29-SUM(F29:M29)</f>
        <v>151</v>
      </c>
      <c r="O29" s="9">
        <v>151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DATE(2015,10,22)</f>
        <v>42299</v>
      </c>
      <c r="E5" s="293">
        <f>D5+1</f>
        <v>42300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92"/>
      <c r="M6" s="192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49</v>
      </c>
      <c r="H7" s="5" t="s">
        <v>77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'2210'!O8</f>
        <v>391</v>
      </c>
      <c r="E8" s="10">
        <f>95+103+41</f>
        <v>239</v>
      </c>
      <c r="F8" s="11">
        <v>72</v>
      </c>
      <c r="G8" s="11">
        <v>120</v>
      </c>
      <c r="H8" s="11">
        <v>80</v>
      </c>
      <c r="I8" s="11"/>
      <c r="J8" s="11"/>
      <c r="K8" s="11"/>
      <c r="L8" s="11"/>
      <c r="M8" s="11"/>
      <c r="N8" s="9">
        <f t="shared" ref="N8:N24" si="0">D8+E8-SUM(F8:M8)</f>
        <v>358</v>
      </c>
      <c r="O8" s="9">
        <f>23+95+E8</f>
        <v>357</v>
      </c>
      <c r="P8" s="9">
        <f t="shared" ref="P8:P19" si="1">O8-N8</f>
        <v>-1</v>
      </c>
    </row>
    <row r="9" spans="1:16" ht="18.75">
      <c r="A9" s="6">
        <v>2</v>
      </c>
      <c r="B9" s="12" t="s">
        <v>14</v>
      </c>
      <c r="C9" s="13" t="s">
        <v>13</v>
      </c>
      <c r="D9" s="9">
        <f>'2210'!O9</f>
        <v>190</v>
      </c>
      <c r="E9" s="14"/>
      <c r="F9" s="11"/>
      <c r="G9" s="11">
        <v>92</v>
      </c>
      <c r="H9" s="11">
        <v>60</v>
      </c>
      <c r="I9" s="11"/>
      <c r="J9" s="11"/>
      <c r="K9" s="11"/>
      <c r="L9" s="11"/>
      <c r="M9" s="11"/>
      <c r="N9" s="9">
        <f t="shared" si="0"/>
        <v>38</v>
      </c>
      <c r="O9" s="9">
        <v>40</v>
      </c>
      <c r="P9" s="9">
        <f t="shared" si="1"/>
        <v>2</v>
      </c>
    </row>
    <row r="10" spans="1:16" ht="18.75">
      <c r="A10" s="6">
        <v>3</v>
      </c>
      <c r="B10" s="12" t="s">
        <v>15</v>
      </c>
      <c r="C10" s="8" t="s">
        <v>13</v>
      </c>
      <c r="D10" s="9">
        <f>'2210'!O10</f>
        <v>335</v>
      </c>
      <c r="E10" s="10">
        <v>93</v>
      </c>
      <c r="F10" s="11">
        <v>5</v>
      </c>
      <c r="G10" s="11">
        <v>120</v>
      </c>
      <c r="H10" s="11">
        <v>91</v>
      </c>
      <c r="I10" s="11"/>
      <c r="J10" s="11"/>
      <c r="K10" s="11"/>
      <c r="L10" s="11"/>
      <c r="M10" s="11"/>
      <c r="N10" s="9">
        <f t="shared" si="0"/>
        <v>212</v>
      </c>
      <c r="O10" s="9">
        <f>119+E10</f>
        <v>212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'2210'!O11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'2210'!O12</f>
        <v>355</v>
      </c>
      <c r="E12" s="14">
        <v>186</v>
      </c>
      <c r="F12" s="11">
        <v>14</v>
      </c>
      <c r="G12" s="11">
        <v>120</v>
      </c>
      <c r="H12" s="11">
        <v>151</v>
      </c>
      <c r="I12" s="11"/>
      <c r="J12" s="11"/>
      <c r="K12" s="11"/>
      <c r="L12" s="11"/>
      <c r="M12" s="11"/>
      <c r="N12" s="9">
        <f t="shared" si="0"/>
        <v>256</v>
      </c>
      <c r="O12" s="9">
        <f>70+E12</f>
        <v>256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'2210'!O13</f>
        <v>484</v>
      </c>
      <c r="E13" s="14">
        <v>163</v>
      </c>
      <c r="F13" s="11">
        <v>10</v>
      </c>
      <c r="G13" s="11">
        <v>120</v>
      </c>
      <c r="H13" s="11">
        <v>80</v>
      </c>
      <c r="I13" s="11"/>
      <c r="J13" s="11"/>
      <c r="K13" s="11"/>
      <c r="L13" s="11"/>
      <c r="M13" s="11"/>
      <c r="N13" s="9">
        <f t="shared" si="0"/>
        <v>437</v>
      </c>
      <c r="O13" s="9">
        <f>75+119+80+E13</f>
        <v>437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'2210'!O14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'2210'!O15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'2210'!O16</f>
        <v>5</v>
      </c>
      <c r="E16" s="14">
        <v>3</v>
      </c>
      <c r="F16" s="11">
        <v>1</v>
      </c>
      <c r="G16" s="11">
        <v>3</v>
      </c>
      <c r="H16" s="11">
        <v>2</v>
      </c>
      <c r="I16" s="11"/>
      <c r="J16" s="11"/>
      <c r="K16" s="11"/>
      <c r="L16" s="11"/>
      <c r="M16" s="11"/>
      <c r="N16" s="9">
        <f t="shared" si="0"/>
        <v>2</v>
      </c>
      <c r="O16" s="9">
        <v>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'2210'!O17</f>
        <v>0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'2210'!O18</f>
        <v>0</v>
      </c>
      <c r="E18" s="14">
        <v>1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'2210'!O19</f>
        <v>3</v>
      </c>
      <c r="E19" s="14"/>
      <c r="F19" s="11"/>
      <c r="G19" s="11">
        <v>1</v>
      </c>
      <c r="H19" s="11">
        <v>2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'2210'!O20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'2210'!O21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'2210'!O22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'2210'!O23</f>
        <v>36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76</v>
      </c>
      <c r="O23" s="9">
        <v>76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'2210'!O24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'2210'!O26</f>
        <v>228</v>
      </c>
      <c r="E26" s="10">
        <v>109</v>
      </c>
      <c r="F26" s="9">
        <v>185</v>
      </c>
      <c r="G26" s="11"/>
      <c r="H26" s="9"/>
      <c r="I26" s="9"/>
      <c r="J26" s="9"/>
      <c r="K26" s="9"/>
      <c r="L26" s="9"/>
      <c r="M26" s="9"/>
      <c r="N26" s="9">
        <f>D26+E26-SUM(F26:M26)</f>
        <v>152</v>
      </c>
      <c r="O26" s="9">
        <v>152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'2210'!O27</f>
        <v>93</v>
      </c>
      <c r="E27" s="9"/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78</v>
      </c>
      <c r="O27" s="9">
        <v>78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'2210'!O28</f>
        <v>284</v>
      </c>
      <c r="E28" s="9">
        <v>168</v>
      </c>
      <c r="F28" s="9">
        <v>69</v>
      </c>
      <c r="G28" s="11"/>
      <c r="H28" s="9"/>
      <c r="I28" s="9"/>
      <c r="J28" s="9"/>
      <c r="K28" s="9"/>
      <c r="L28" s="9"/>
      <c r="M28" s="9"/>
      <c r="N28" s="9">
        <f>D28+E28-SUM(F28:M28)</f>
        <v>383</v>
      </c>
      <c r="O28" s="9">
        <v>383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'2210'!O29</f>
        <v>151</v>
      </c>
      <c r="E29" s="9"/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96</v>
      </c>
      <c r="O29" s="9">
        <v>96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DATE(2015,10,23)</f>
        <v>42300</v>
      </c>
      <c r="E5" s="293">
        <f>D5+1</f>
        <v>42301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93"/>
      <c r="M6" s="193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81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'2310'!O8</f>
        <v>357</v>
      </c>
      <c r="E8" s="10">
        <f>90+95+95</f>
        <v>280</v>
      </c>
      <c r="F8" s="11">
        <f>64+11</f>
        <v>75</v>
      </c>
      <c r="G8" s="11">
        <v>155</v>
      </c>
      <c r="H8" s="11"/>
      <c r="I8" s="11"/>
      <c r="J8" s="11"/>
      <c r="K8" s="11"/>
      <c r="L8" s="11"/>
      <c r="M8" s="11"/>
      <c r="N8" s="9">
        <f t="shared" ref="N8:N24" si="0">D8+E8-SUM(F8:M8)</f>
        <v>407</v>
      </c>
      <c r="O8" s="9">
        <f>127+E8</f>
        <v>407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'2310'!O9</f>
        <v>40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40</v>
      </c>
      <c r="O9" s="9">
        <v>40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'2310'!O10</f>
        <v>212</v>
      </c>
      <c r="E10" s="10"/>
      <c r="F10" s="11">
        <v>14</v>
      </c>
      <c r="G10" s="11">
        <v>79</v>
      </c>
      <c r="H10" s="11"/>
      <c r="I10" s="11"/>
      <c r="J10" s="11"/>
      <c r="K10" s="11"/>
      <c r="L10" s="11"/>
      <c r="M10" s="11"/>
      <c r="N10" s="9">
        <f t="shared" si="0"/>
        <v>119</v>
      </c>
      <c r="O10" s="9">
        <v>119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'2310'!O11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'2310'!O12</f>
        <v>256</v>
      </c>
      <c r="E12" s="14">
        <v>168</v>
      </c>
      <c r="F12" s="11">
        <v>31</v>
      </c>
      <c r="G12" s="11"/>
      <c r="H12" s="11"/>
      <c r="I12" s="11"/>
      <c r="J12" s="11"/>
      <c r="K12" s="11"/>
      <c r="L12" s="11"/>
      <c r="M12" s="11"/>
      <c r="N12" s="9">
        <f t="shared" si="0"/>
        <v>393</v>
      </c>
      <c r="O12" s="9">
        <f>50+175+E12</f>
        <v>393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'2310'!O13</f>
        <v>437</v>
      </c>
      <c r="E13" s="14">
        <v>120</v>
      </c>
      <c r="F13" s="11">
        <v>22</v>
      </c>
      <c r="G13" s="11">
        <v>67</v>
      </c>
      <c r="H13" s="11"/>
      <c r="I13" s="11"/>
      <c r="J13" s="11"/>
      <c r="K13" s="11"/>
      <c r="L13" s="11"/>
      <c r="M13" s="11"/>
      <c r="N13" s="9">
        <f t="shared" si="0"/>
        <v>468</v>
      </c>
      <c r="O13" s="9">
        <f>105+93+150+E13</f>
        <v>468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'2310'!O14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'2310'!O15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'2310'!O16</f>
        <v>2</v>
      </c>
      <c r="E16" s="14">
        <v>6</v>
      </c>
      <c r="F16" s="11"/>
      <c r="G16" s="11">
        <v>2</v>
      </c>
      <c r="H16" s="11"/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'2310'!O17</f>
        <v>2</v>
      </c>
      <c r="E17" s="14"/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'2310'!O18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'2310'!O19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'2310'!O20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'2310'!O21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'2310'!O22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'2310'!O23</f>
        <v>76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116</v>
      </c>
      <c r="O23" s="9">
        <v>116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'2310'!O24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 t="s">
        <v>105</v>
      </c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'2310'!O26</f>
        <v>152</v>
      </c>
      <c r="E26" s="10">
        <f>126+76</f>
        <v>202</v>
      </c>
      <c r="F26" s="9">
        <f>110</f>
        <v>110</v>
      </c>
      <c r="G26" s="11"/>
      <c r="H26" s="9"/>
      <c r="I26" s="9"/>
      <c r="J26" s="9"/>
      <c r="K26" s="9"/>
      <c r="L26" s="9"/>
      <c r="M26" s="9"/>
      <c r="N26" s="9">
        <f>D26+E26-SUM(F26:M26)</f>
        <v>244</v>
      </c>
      <c r="O26" s="9">
        <v>244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'2310'!O27</f>
        <v>78</v>
      </c>
      <c r="E27" s="9">
        <v>63</v>
      </c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126</v>
      </c>
      <c r="O27" s="9">
        <v>126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'2310'!O28</f>
        <v>383</v>
      </c>
      <c r="E28" s="9">
        <v>77</v>
      </c>
      <c r="F28" s="9">
        <v>152</v>
      </c>
      <c r="G28" s="11"/>
      <c r="H28" s="9"/>
      <c r="I28" s="9"/>
      <c r="J28" s="9"/>
      <c r="K28" s="9"/>
      <c r="L28" s="9"/>
      <c r="M28" s="9"/>
      <c r="N28" s="9">
        <f>D28+E28-SUM(F28:M28)</f>
        <v>308</v>
      </c>
      <c r="O28" s="9">
        <v>308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'2310'!O29</f>
        <v>96</v>
      </c>
      <c r="E29" s="9">
        <v>91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112</v>
      </c>
      <c r="O29" s="9">
        <v>112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DATE(2015,10,24)</f>
        <v>42301</v>
      </c>
      <c r="E5" s="293">
        <f>D5+1</f>
        <v>42302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93"/>
      <c r="M6" s="193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/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'2410'!O8</f>
        <v>407</v>
      </c>
      <c r="E8" s="10"/>
      <c r="F8" s="11">
        <v>62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345</v>
      </c>
      <c r="O8" s="9">
        <f>104+120+37+32+E8+52</f>
        <v>345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'2410'!O9</f>
        <v>40</v>
      </c>
      <c r="E9" s="14">
        <f>63+90+86</f>
        <v>239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279</v>
      </c>
      <c r="O9" s="9">
        <f>40+E9</f>
        <v>279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'2410'!O10</f>
        <v>119</v>
      </c>
      <c r="E10" s="10">
        <v>82</v>
      </c>
      <c r="F10" s="11">
        <v>6</v>
      </c>
      <c r="G10" s="11"/>
      <c r="H10" s="11"/>
      <c r="I10" s="11"/>
      <c r="J10" s="11"/>
      <c r="K10" s="11"/>
      <c r="L10" s="11"/>
      <c r="M10" s="11"/>
      <c r="N10" s="9">
        <f t="shared" si="0"/>
        <v>195</v>
      </c>
      <c r="O10" s="9">
        <f>113+E10</f>
        <v>195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'2410'!O11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'2410'!O12</f>
        <v>393</v>
      </c>
      <c r="E12" s="14">
        <v>170</v>
      </c>
      <c r="F12" s="11">
        <v>18</v>
      </c>
      <c r="G12" s="11"/>
      <c r="H12" s="11"/>
      <c r="I12" s="11"/>
      <c r="J12" s="11"/>
      <c r="K12" s="11"/>
      <c r="L12" s="11"/>
      <c r="M12" s="11"/>
      <c r="N12" s="9">
        <f t="shared" si="0"/>
        <v>545</v>
      </c>
      <c r="O12" s="9">
        <f>30+175+170+E12</f>
        <v>545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'2410'!O13</f>
        <v>468</v>
      </c>
      <c r="E13" s="14">
        <v>119</v>
      </c>
      <c r="F13" s="11">
        <v>20</v>
      </c>
      <c r="G13" s="11"/>
      <c r="H13" s="11"/>
      <c r="I13" s="11"/>
      <c r="J13" s="11"/>
      <c r="K13" s="11"/>
      <c r="L13" s="11"/>
      <c r="M13" s="11"/>
      <c r="N13" s="9">
        <f t="shared" si="0"/>
        <v>567</v>
      </c>
      <c r="O13" s="9">
        <f>93+91+150+E13+114</f>
        <v>567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'2410'!O14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'2410'!O15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'2410'!O16</f>
        <v>6</v>
      </c>
      <c r="E16" s="14">
        <v>4</v>
      </c>
      <c r="F16" s="11">
        <v>2</v>
      </c>
      <c r="G16" s="11"/>
      <c r="H16" s="11"/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'2410'!O17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'2410'!O18</f>
        <v>0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'2410'!O19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'2410'!O20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'2410'!O21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'2410'!O22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'2410'!O23</f>
        <v>116</v>
      </c>
      <c r="E23" s="14">
        <v>26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142</v>
      </c>
      <c r="O23" s="9">
        <v>142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'2410'!O24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'2410'!O26</f>
        <v>244</v>
      </c>
      <c r="E26" s="10">
        <v>128</v>
      </c>
      <c r="F26" s="9">
        <v>153</v>
      </c>
      <c r="G26" s="11"/>
      <c r="H26" s="9"/>
      <c r="I26" s="9"/>
      <c r="J26" s="9"/>
      <c r="K26" s="9"/>
      <c r="L26" s="9"/>
      <c r="M26" s="9"/>
      <c r="N26" s="9">
        <f>D26+E26-SUM(F26:M26)</f>
        <v>219</v>
      </c>
      <c r="O26" s="9">
        <v>219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'2410'!O27</f>
        <v>126</v>
      </c>
      <c r="E27" s="9"/>
      <c r="F27" s="9">
        <v>17</v>
      </c>
      <c r="G27" s="11"/>
      <c r="H27" s="9"/>
      <c r="I27" s="9"/>
      <c r="J27" s="9"/>
      <c r="K27" s="9"/>
      <c r="L27" s="9"/>
      <c r="M27" s="9"/>
      <c r="N27" s="9">
        <f>D27+E27-SUM(F27:M27)</f>
        <v>109</v>
      </c>
      <c r="O27" s="9">
        <v>109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'2410'!O28</f>
        <v>308</v>
      </c>
      <c r="E28" s="9">
        <v>145</v>
      </c>
      <c r="F28" s="9">
        <v>109</v>
      </c>
      <c r="G28" s="11"/>
      <c r="H28" s="9"/>
      <c r="I28" s="9"/>
      <c r="J28" s="9"/>
      <c r="K28" s="9"/>
      <c r="L28" s="9"/>
      <c r="M28" s="9"/>
      <c r="N28" s="9">
        <f>D28+E28-SUM(F28:M28)</f>
        <v>344</v>
      </c>
      <c r="O28" s="9">
        <v>344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'2410'!O29</f>
        <v>112</v>
      </c>
      <c r="E29" s="9">
        <v>82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129</v>
      </c>
      <c r="O29" s="9">
        <v>129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DATE(2015,10,25)</f>
        <v>42302</v>
      </c>
      <c r="E5" s="293">
        <f>D5+1</f>
        <v>42303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93"/>
      <c r="M6" s="193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82</v>
      </c>
      <c r="H7" s="5" t="s">
        <v>71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'2510'!O8</f>
        <v>345</v>
      </c>
      <c r="E8" s="10">
        <f>95+95+50</f>
        <v>240</v>
      </c>
      <c r="F8" s="11">
        <f>62+2</f>
        <v>64</v>
      </c>
      <c r="G8" s="11">
        <v>50</v>
      </c>
      <c r="H8" s="11"/>
      <c r="I8" s="11"/>
      <c r="J8" s="11"/>
      <c r="K8" s="11"/>
      <c r="L8" s="11"/>
      <c r="M8" s="11"/>
      <c r="N8" s="9">
        <f t="shared" ref="N8:N24" si="0">D8+E8-SUM(F8:M8)</f>
        <v>471</v>
      </c>
      <c r="O8" s="9">
        <f>74+37+120+E8</f>
        <v>471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'2510'!O9</f>
        <v>279</v>
      </c>
      <c r="E9" s="14"/>
      <c r="F9" s="11"/>
      <c r="G9" s="11">
        <v>50</v>
      </c>
      <c r="H9" s="11"/>
      <c r="I9" s="11"/>
      <c r="J9" s="11"/>
      <c r="K9" s="11"/>
      <c r="L9" s="11"/>
      <c r="M9" s="11"/>
      <c r="N9" s="9">
        <f t="shared" si="0"/>
        <v>229</v>
      </c>
      <c r="O9" s="9">
        <f>110+120</f>
        <v>230</v>
      </c>
      <c r="P9" s="9">
        <f t="shared" si="1"/>
        <v>1</v>
      </c>
    </row>
    <row r="10" spans="1:16" ht="18.75">
      <c r="A10" s="6">
        <v>3</v>
      </c>
      <c r="B10" s="12" t="s">
        <v>15</v>
      </c>
      <c r="C10" s="8" t="s">
        <v>13</v>
      </c>
      <c r="D10" s="9">
        <f>'2510'!O10</f>
        <v>195</v>
      </c>
      <c r="E10" s="10"/>
      <c r="F10" s="11">
        <v>10</v>
      </c>
      <c r="G10" s="11">
        <v>40</v>
      </c>
      <c r="H10" s="11"/>
      <c r="I10" s="11"/>
      <c r="J10" s="11"/>
      <c r="K10" s="11"/>
      <c r="L10" s="11"/>
      <c r="M10" s="11"/>
      <c r="N10" s="9">
        <f t="shared" si="0"/>
        <v>145</v>
      </c>
      <c r="O10" s="9">
        <f>72+73+E10</f>
        <v>145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'2510'!O11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'2510'!O12</f>
        <v>545</v>
      </c>
      <c r="E12" s="14">
        <v>180</v>
      </c>
      <c r="F12" s="11">
        <v>15</v>
      </c>
      <c r="G12" s="11">
        <v>50</v>
      </c>
      <c r="H12" s="11"/>
      <c r="I12" s="11"/>
      <c r="J12" s="11"/>
      <c r="K12" s="11"/>
      <c r="L12" s="11"/>
      <c r="M12" s="11"/>
      <c r="N12" s="9">
        <f t="shared" si="0"/>
        <v>660</v>
      </c>
      <c r="O12" s="9">
        <f>140+340+E12</f>
        <v>660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'2510'!O13</f>
        <v>567</v>
      </c>
      <c r="E13" s="14"/>
      <c r="F13" s="11">
        <v>9</v>
      </c>
      <c r="G13" s="11">
        <v>40</v>
      </c>
      <c r="H13" s="11"/>
      <c r="I13" s="11"/>
      <c r="J13" s="11"/>
      <c r="K13" s="11"/>
      <c r="L13" s="11"/>
      <c r="M13" s="11"/>
      <c r="N13" s="9">
        <f t="shared" si="0"/>
        <v>518</v>
      </c>
      <c r="O13" s="9">
        <f>128+270+120+E13</f>
        <v>518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'2510'!O14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'2510'!O15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'2510'!O16</f>
        <v>8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'2510'!O17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'2510'!O18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'2510'!O19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'2510'!O20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'2510'!O21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'2510'!O22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'2510'!O23</f>
        <v>142</v>
      </c>
      <c r="E23" s="14"/>
      <c r="F23" s="9"/>
      <c r="G23" s="9"/>
      <c r="H23" s="9">
        <v>142</v>
      </c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'2510'!O24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'2510'!O26</f>
        <v>219</v>
      </c>
      <c r="E26" s="10">
        <v>130</v>
      </c>
      <c r="F26" s="9">
        <f>155</f>
        <v>155</v>
      </c>
      <c r="G26" s="11"/>
      <c r="H26" s="9"/>
      <c r="I26" s="9"/>
      <c r="J26" s="9"/>
      <c r="K26" s="9"/>
      <c r="L26" s="9"/>
      <c r="M26" s="9"/>
      <c r="N26" s="9">
        <f>D26+E26-SUM(F26:M26)</f>
        <v>194</v>
      </c>
      <c r="O26" s="9">
        <v>194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'2510'!O27</f>
        <v>109</v>
      </c>
      <c r="E27" s="9"/>
      <c r="F27" s="9">
        <v>14</v>
      </c>
      <c r="G27" s="11"/>
      <c r="H27" s="9"/>
      <c r="I27" s="9"/>
      <c r="J27" s="9"/>
      <c r="K27" s="9"/>
      <c r="L27" s="9"/>
      <c r="M27" s="9"/>
      <c r="N27" s="9">
        <f>D27+E27-SUM(F27:M27)</f>
        <v>95</v>
      </c>
      <c r="O27" s="9">
        <v>95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'2510'!O28</f>
        <v>344</v>
      </c>
      <c r="E28" s="9">
        <v>75</v>
      </c>
      <c r="F28" s="9">
        <v>131</v>
      </c>
      <c r="G28" s="11"/>
      <c r="H28" s="9"/>
      <c r="I28" s="9"/>
      <c r="J28" s="9"/>
      <c r="K28" s="9"/>
      <c r="L28" s="9"/>
      <c r="M28" s="9"/>
      <c r="N28" s="9">
        <f>D28+E28-SUM(F28:M28)</f>
        <v>288</v>
      </c>
      <c r="O28" s="9">
        <v>288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'2510'!O29</f>
        <v>129</v>
      </c>
      <c r="E29" s="9">
        <v>90</v>
      </c>
      <c r="F29" s="9">
        <v>120</v>
      </c>
      <c r="G29" s="11"/>
      <c r="H29" s="9"/>
      <c r="I29" s="9"/>
      <c r="J29" s="9"/>
      <c r="K29" s="9"/>
      <c r="L29" s="9"/>
      <c r="M29" s="9"/>
      <c r="N29" s="9">
        <f>D29+E29-SUM(F29:M29)</f>
        <v>99</v>
      </c>
      <c r="O29" s="9">
        <v>99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5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DATE(2015,4,20)</f>
        <v>42114</v>
      </c>
      <c r="E5" s="293">
        <f>D5+1</f>
        <v>42115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43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54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VLOOKUP($B8,'2004'!$B8:$M22,11,0)</f>
        <v>211</v>
      </c>
      <c r="E8" s="10"/>
      <c r="F8" s="11">
        <v>100</v>
      </c>
      <c r="G8" s="11">
        <v>30</v>
      </c>
      <c r="H8" s="11"/>
      <c r="I8" s="11"/>
      <c r="J8" s="11"/>
      <c r="K8" s="9">
        <f>D8+E8-SUM(F8:J8)</f>
        <v>81</v>
      </c>
      <c r="L8" s="9">
        <v>81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VLOOKUP($B9,'2004'!$B9:$M23,11,0)</f>
        <v>140</v>
      </c>
      <c r="E9" s="14"/>
      <c r="F9" s="11"/>
      <c r="G9" s="11">
        <v>60</v>
      </c>
      <c r="H9" s="11"/>
      <c r="I9" s="11"/>
      <c r="J9" s="11"/>
      <c r="K9" s="9">
        <f t="shared" ref="K9:K19" si="1">D9+E9-SUM(F9:J9)</f>
        <v>80</v>
      </c>
      <c r="L9" s="9">
        <v>80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VLOOKUP($B10,'2004'!$B10:$M24,11,0)</f>
        <v>0</v>
      </c>
      <c r="E10" s="10"/>
      <c r="F10" s="11"/>
      <c r="G10" s="11"/>
      <c r="H10" s="11"/>
      <c r="I10" s="11"/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VLOOKUP($B11,'2004'!$B11:$M25,11,0)</f>
        <v>665</v>
      </c>
      <c r="E11" s="10"/>
      <c r="F11" s="11"/>
      <c r="G11" s="11">
        <v>345</v>
      </c>
      <c r="H11" s="11"/>
      <c r="I11" s="11"/>
      <c r="J11" s="11"/>
      <c r="K11" s="9">
        <f t="shared" si="1"/>
        <v>320</v>
      </c>
      <c r="L11" s="9">
        <v>320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VLOOKUP($B12,'2004'!$B12:$M26,11,0)</f>
        <v>398</v>
      </c>
      <c r="E12" s="14"/>
      <c r="F12" s="11"/>
      <c r="G12" s="11">
        <v>10</v>
      </c>
      <c r="H12" s="11"/>
      <c r="I12" s="11"/>
      <c r="J12" s="11"/>
      <c r="K12" s="9">
        <f t="shared" si="1"/>
        <v>388</v>
      </c>
      <c r="L12" s="9">
        <v>388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VLOOKUP($B13,'2004'!$B13:$M27,11,0)</f>
        <v>47</v>
      </c>
      <c r="E13" s="14"/>
      <c r="F13" s="11">
        <v>37</v>
      </c>
      <c r="G13" s="11">
        <v>10</v>
      </c>
      <c r="H13" s="11"/>
      <c r="I13" s="11"/>
      <c r="J13" s="11"/>
      <c r="K13" s="9">
        <f t="shared" si="1"/>
        <v>0</v>
      </c>
      <c r="L13" s="9"/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VLOOKUP($B14,'2004'!$B14:$M28,11,0)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VLOOKUP($B15,'2004'!$B15:$M29,11,0)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VLOOKUP($B16,'2004'!$B16:$M30,11,0)</f>
        <v>0</v>
      </c>
      <c r="E16" s="14"/>
      <c r="F16" s="11"/>
      <c r="G16" s="11"/>
      <c r="H16" s="11"/>
      <c r="I16" s="11"/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VLOOKUP($B17,'2004'!$B17:$M31,11,0)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VLOOKUP($B18,'2004'!$B18:$M32,11,0)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VLOOKUP($B19,'2004'!$B19:$M33,11,0)</f>
        <v>3</v>
      </c>
      <c r="E19" s="14">
        <v>3</v>
      </c>
      <c r="F19" s="11"/>
      <c r="G19" s="11"/>
      <c r="H19" s="11"/>
      <c r="I19" s="11"/>
      <c r="J19" s="11"/>
      <c r="K19" s="9">
        <f t="shared" si="1"/>
        <v>6</v>
      </c>
      <c r="L19" s="9">
        <v>6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VLOOKUP($B20,'2004'!$B20:$M34,11,0)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VLOOKUP($B21,'2004'!$B21:$M35,11,0)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VLOOKUP($B22,'2004'!$B22:$M36,11,0)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3</v>
      </c>
      <c r="F24" s="9"/>
      <c r="G24" s="9"/>
      <c r="H24" s="9"/>
      <c r="I24" s="9"/>
      <c r="J24" s="9"/>
      <c r="K24" s="9">
        <f t="shared" si="3"/>
        <v>878</v>
      </c>
      <c r="L24" s="9">
        <f t="shared" si="3"/>
        <v>878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VLOOKUP($B26,'2004'!$B26:$M29,11,0)</f>
        <v>161</v>
      </c>
      <c r="E26" s="10"/>
      <c r="F26" s="9">
        <v>13</v>
      </c>
      <c r="G26" s="11"/>
      <c r="H26" s="9"/>
      <c r="I26" s="9"/>
      <c r="J26" s="9"/>
      <c r="K26" s="9">
        <f t="shared" ref="K26" si="4">D26+E26-F26</f>
        <v>148</v>
      </c>
      <c r="L26" s="9">
        <v>148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VLOOKUP($B27,'2004'!$B27:$M30,11,0)</f>
        <v>105</v>
      </c>
      <c r="E27" s="9">
        <v>68</v>
      </c>
      <c r="F27" s="9">
        <v>45</v>
      </c>
      <c r="G27" s="11"/>
      <c r="H27" s="9"/>
      <c r="I27" s="9"/>
      <c r="J27" s="9"/>
      <c r="K27" s="9">
        <f>D27+E27-F27</f>
        <v>128</v>
      </c>
      <c r="L27" s="9">
        <v>128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VLOOKUP($B28,'2004'!$B28:$M31,11,0)</f>
        <v>416</v>
      </c>
      <c r="E28" s="9">
        <v>162</v>
      </c>
      <c r="F28" s="9">
        <v>212</v>
      </c>
      <c r="G28" s="11"/>
      <c r="H28" s="9"/>
      <c r="I28" s="9"/>
      <c r="J28" s="9"/>
      <c r="K28" s="9">
        <f>D28+E28-F28</f>
        <v>366</v>
      </c>
      <c r="L28" s="9">
        <v>366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VLOOKUP($B29,'2004'!$B29:$M32,11,0)</f>
        <v>143</v>
      </c>
      <c r="E29" s="9">
        <v>98</v>
      </c>
      <c r="F29" s="9">
        <v>56</v>
      </c>
      <c r="G29" s="11"/>
      <c r="H29" s="9"/>
      <c r="I29" s="9"/>
      <c r="J29" s="9"/>
      <c r="K29" s="9">
        <f>D29+E29-F29</f>
        <v>185</v>
      </c>
      <c r="L29" s="9">
        <v>185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DATE(2015,10,26)</f>
        <v>42303</v>
      </c>
      <c r="E5" s="293">
        <f>D5+1</f>
        <v>42304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93"/>
      <c r="M6" s="193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62</v>
      </c>
      <c r="H7" s="5" t="s">
        <v>80</v>
      </c>
      <c r="I7" s="5" t="s">
        <v>71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'2610'!O8</f>
        <v>471</v>
      </c>
      <c r="E8" s="10">
        <f>103+81+95</f>
        <v>279</v>
      </c>
      <c r="F8" s="11">
        <v>62</v>
      </c>
      <c r="G8" s="11">
        <v>30</v>
      </c>
      <c r="H8" s="11">
        <v>40</v>
      </c>
      <c r="I8" s="11"/>
      <c r="J8" s="11"/>
      <c r="K8" s="11"/>
      <c r="L8" s="11"/>
      <c r="M8" s="11"/>
      <c r="N8" s="9">
        <f t="shared" ref="N8:N24" si="0">D8+E8-SUM(F8:M8)</f>
        <v>618</v>
      </c>
      <c r="O8" s="9">
        <f>34+120+41+120+24+E8</f>
        <v>618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'2610'!O9</f>
        <v>230</v>
      </c>
      <c r="E9" s="14"/>
      <c r="F9" s="11"/>
      <c r="G9" s="11">
        <v>30</v>
      </c>
      <c r="H9" s="11">
        <v>40</v>
      </c>
      <c r="I9" s="11"/>
      <c r="J9" s="11"/>
      <c r="K9" s="11"/>
      <c r="L9" s="11"/>
      <c r="M9" s="11"/>
      <c r="N9" s="9">
        <f t="shared" si="0"/>
        <v>160</v>
      </c>
      <c r="O9" s="9">
        <v>160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'2610'!O10</f>
        <v>145</v>
      </c>
      <c r="E10" s="10">
        <v>179</v>
      </c>
      <c r="F10" s="11">
        <v>10</v>
      </c>
      <c r="G10" s="11">
        <v>33</v>
      </c>
      <c r="H10" s="11">
        <v>60</v>
      </c>
      <c r="I10" s="11"/>
      <c r="J10" s="11"/>
      <c r="K10" s="11"/>
      <c r="L10" s="11"/>
      <c r="M10" s="11"/>
      <c r="N10" s="9">
        <f t="shared" si="0"/>
        <v>221</v>
      </c>
      <c r="O10" s="9">
        <f>42+E10</f>
        <v>221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'2610'!O11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'2610'!O12</f>
        <v>660</v>
      </c>
      <c r="E12" s="14">
        <f>136+125</f>
        <v>261</v>
      </c>
      <c r="F12" s="11">
        <v>20</v>
      </c>
      <c r="G12" s="11">
        <v>30</v>
      </c>
      <c r="H12" s="11">
        <v>40</v>
      </c>
      <c r="I12" s="11"/>
      <c r="J12" s="11"/>
      <c r="K12" s="11"/>
      <c r="L12" s="11"/>
      <c r="M12" s="11"/>
      <c r="N12" s="9">
        <f t="shared" si="0"/>
        <v>831</v>
      </c>
      <c r="O12" s="9">
        <f>200+170+20+180+E12</f>
        <v>831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'2610'!O13</f>
        <v>518</v>
      </c>
      <c r="E13" s="14">
        <v>65</v>
      </c>
      <c r="F13" s="11"/>
      <c r="G13" s="11">
        <v>30</v>
      </c>
      <c r="H13" s="11">
        <v>60</v>
      </c>
      <c r="I13" s="11"/>
      <c r="J13" s="11"/>
      <c r="K13" s="11"/>
      <c r="L13" s="11"/>
      <c r="M13" s="11"/>
      <c r="N13" s="9">
        <f t="shared" si="0"/>
        <v>493</v>
      </c>
      <c r="O13" s="9">
        <f>120+230+120+23</f>
        <v>493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'2610'!O14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'2610'!O15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'2610'!O16</f>
        <v>10</v>
      </c>
      <c r="E16" s="14">
        <v>4</v>
      </c>
      <c r="F16" s="11"/>
      <c r="G16" s="11">
        <v>2</v>
      </c>
      <c r="H16" s="11">
        <v>1</v>
      </c>
      <c r="I16" s="11"/>
      <c r="J16" s="11"/>
      <c r="K16" s="11"/>
      <c r="L16" s="11"/>
      <c r="M16" s="11"/>
      <c r="N16" s="9">
        <f t="shared" si="0"/>
        <v>11</v>
      </c>
      <c r="O16" s="9">
        <v>11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'2610'!O17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'2610'!O18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'2610'!O19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'2610'!O20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'2610'!O21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'2610'!O22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'2610'!O23</f>
        <v>0</v>
      </c>
      <c r="E23" s="14">
        <v>64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'2610'!O24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'2610'!O26</f>
        <v>194</v>
      </c>
      <c r="E26" s="10">
        <v>70</v>
      </c>
      <c r="F26" s="9">
        <v>80</v>
      </c>
      <c r="G26" s="11"/>
      <c r="H26" s="9"/>
      <c r="I26" s="9"/>
      <c r="J26" s="9"/>
      <c r="K26" s="9"/>
      <c r="L26" s="9"/>
      <c r="M26" s="9"/>
      <c r="N26" s="9">
        <f>D26+E26-SUM(F26:M26)</f>
        <v>184</v>
      </c>
      <c r="O26" s="9">
        <v>184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'2610'!O27</f>
        <v>95</v>
      </c>
      <c r="E27" s="9">
        <v>57</v>
      </c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136</v>
      </c>
      <c r="O27" s="9">
        <v>136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'2610'!O28</f>
        <v>288</v>
      </c>
      <c r="E28" s="9">
        <v>153</v>
      </c>
      <c r="F28" s="9">
        <v>105</v>
      </c>
      <c r="G28" s="11"/>
      <c r="H28" s="9"/>
      <c r="I28" s="9"/>
      <c r="J28" s="9"/>
      <c r="K28" s="9"/>
      <c r="L28" s="9"/>
      <c r="M28" s="9"/>
      <c r="N28" s="9">
        <f>D28+E28-SUM(F28:M28)</f>
        <v>336</v>
      </c>
      <c r="O28" s="9">
        <v>336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'2610'!O29</f>
        <v>99</v>
      </c>
      <c r="E29" s="9">
        <v>91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125</v>
      </c>
      <c r="O29" s="9">
        <v>125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DATE(2015,10,27)</f>
        <v>42304</v>
      </c>
      <c r="E5" s="293">
        <f>D5+1</f>
        <v>42305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94"/>
      <c r="M6" s="194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39</v>
      </c>
      <c r="H7" s="5" t="s">
        <v>40</v>
      </c>
      <c r="I7" s="5" t="s">
        <v>38</v>
      </c>
      <c r="J7" s="5" t="s">
        <v>71</v>
      </c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'2710'!O8</f>
        <v>618</v>
      </c>
      <c r="E8" s="10">
        <f>98+95+95+49</f>
        <v>337</v>
      </c>
      <c r="F8" s="11">
        <f>98+3</f>
        <v>101</v>
      </c>
      <c r="G8" s="11">
        <v>40</v>
      </c>
      <c r="H8" s="11">
        <v>10</v>
      </c>
      <c r="I8" s="11">
        <v>23</v>
      </c>
      <c r="J8" s="11"/>
      <c r="K8" s="11"/>
      <c r="L8" s="11"/>
      <c r="M8" s="11"/>
      <c r="N8" s="9">
        <f t="shared" ref="N8:N24" si="0">D8+E8-SUM(F8:M8)</f>
        <v>781</v>
      </c>
      <c r="O8" s="9">
        <f>200+58+176+10+E8</f>
        <v>781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'2710'!O9</f>
        <v>160</v>
      </c>
      <c r="E9" s="14">
        <f>83+76</f>
        <v>159</v>
      </c>
      <c r="F9" s="11"/>
      <c r="G9" s="11">
        <v>40</v>
      </c>
      <c r="H9" s="11">
        <v>20</v>
      </c>
      <c r="I9" s="11">
        <v>20</v>
      </c>
      <c r="J9" s="11"/>
      <c r="K9" s="11"/>
      <c r="L9" s="11"/>
      <c r="M9" s="11"/>
      <c r="N9" s="9">
        <f t="shared" si="0"/>
        <v>239</v>
      </c>
      <c r="O9" s="9">
        <f>80+E9</f>
        <v>239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'2710'!O10</f>
        <v>221</v>
      </c>
      <c r="E10" s="10">
        <v>177</v>
      </c>
      <c r="F10" s="11">
        <v>10</v>
      </c>
      <c r="G10" s="11">
        <v>40</v>
      </c>
      <c r="H10" s="11">
        <v>41</v>
      </c>
      <c r="I10" s="11">
        <v>10</v>
      </c>
      <c r="J10" s="11"/>
      <c r="K10" s="11"/>
      <c r="L10" s="11"/>
      <c r="M10" s="11"/>
      <c r="N10" s="9">
        <f t="shared" si="0"/>
        <v>297</v>
      </c>
      <c r="O10" s="9">
        <f>120+E10</f>
        <v>297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'2710'!O11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'2710'!O12</f>
        <v>831</v>
      </c>
      <c r="E12" s="14">
        <v>127</v>
      </c>
      <c r="F12" s="11">
        <v>21</v>
      </c>
      <c r="G12" s="11">
        <v>60</v>
      </c>
      <c r="H12" s="11">
        <v>70</v>
      </c>
      <c r="I12" s="11">
        <v>40</v>
      </c>
      <c r="J12" s="11"/>
      <c r="K12" s="11"/>
      <c r="L12" s="11"/>
      <c r="M12" s="11"/>
      <c r="N12" s="9">
        <f t="shared" si="0"/>
        <v>767</v>
      </c>
      <c r="O12" s="9">
        <f>200+180+140+120+E12</f>
        <v>767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'2710'!O13</f>
        <v>493</v>
      </c>
      <c r="E13" s="14">
        <v>120</v>
      </c>
      <c r="F13" s="11">
        <v>15</v>
      </c>
      <c r="G13" s="11">
        <v>50</v>
      </c>
      <c r="H13" s="11">
        <v>40</v>
      </c>
      <c r="I13" s="11">
        <v>20</v>
      </c>
      <c r="J13" s="11"/>
      <c r="K13" s="11"/>
      <c r="L13" s="11"/>
      <c r="M13" s="11"/>
      <c r="N13" s="9">
        <f t="shared" si="0"/>
        <v>488</v>
      </c>
      <c r="O13" s="9">
        <f>120+48+200+E13</f>
        <v>488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'2710'!O14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'2710'!O15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'2710'!O16</f>
        <v>11</v>
      </c>
      <c r="E16" s="14">
        <v>2</v>
      </c>
      <c r="F16" s="11">
        <v>1</v>
      </c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'2710'!O17</f>
        <v>0</v>
      </c>
      <c r="E17" s="14">
        <v>1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'2710'!O18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'2710'!O19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'2710'!O20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'2710'!O21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'2710'!O22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'2710'!O23</f>
        <v>64</v>
      </c>
      <c r="E23" s="14"/>
      <c r="F23" s="9"/>
      <c r="G23" s="9"/>
      <c r="H23" s="9"/>
      <c r="I23" s="9"/>
      <c r="J23" s="9">
        <v>32</v>
      </c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'2710'!O24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'2710'!O26</f>
        <v>184</v>
      </c>
      <c r="E26" s="10">
        <v>137</v>
      </c>
      <c r="F26" s="9">
        <v>105</v>
      </c>
      <c r="G26" s="11"/>
      <c r="H26" s="9"/>
      <c r="I26" s="9"/>
      <c r="J26" s="9"/>
      <c r="K26" s="9"/>
      <c r="L26" s="9"/>
      <c r="M26" s="9"/>
      <c r="N26" s="9">
        <f>D26+E26-SUM(F26:M26)</f>
        <v>216</v>
      </c>
      <c r="O26" s="9">
        <v>216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'2710'!O27</f>
        <v>136</v>
      </c>
      <c r="E27" s="9"/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121</v>
      </c>
      <c r="O27" s="9">
        <v>121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'2710'!O28</f>
        <v>336</v>
      </c>
      <c r="E28" s="9">
        <v>79</v>
      </c>
      <c r="F28" s="9">
        <v>89</v>
      </c>
      <c r="G28" s="11"/>
      <c r="H28" s="9"/>
      <c r="I28" s="9"/>
      <c r="J28" s="9"/>
      <c r="K28" s="9"/>
      <c r="L28" s="9"/>
      <c r="M28" s="9"/>
      <c r="N28" s="9">
        <f>D28+E28-SUM(F28:M28)</f>
        <v>326</v>
      </c>
      <c r="O28" s="9">
        <v>326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'2710'!O29</f>
        <v>125</v>
      </c>
      <c r="E29" s="9">
        <v>92</v>
      </c>
      <c r="F29" s="9">
        <v>63</v>
      </c>
      <c r="G29" s="11"/>
      <c r="H29" s="9"/>
      <c r="I29" s="9"/>
      <c r="J29" s="9"/>
      <c r="K29" s="9"/>
      <c r="L29" s="9"/>
      <c r="M29" s="9"/>
      <c r="N29" s="9">
        <f>D29+E29-SUM(F29:M29)</f>
        <v>154</v>
      </c>
      <c r="O29" s="9">
        <v>154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DATE(2015,10,28)</f>
        <v>42305</v>
      </c>
      <c r="E5" s="293">
        <f>D5+1</f>
        <v>42306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95"/>
      <c r="M6" s="195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48</v>
      </c>
      <c r="H7" s="5" t="s">
        <v>52</v>
      </c>
      <c r="I7" s="5" t="s">
        <v>71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'2810'!O8</f>
        <v>781</v>
      </c>
      <c r="E8" s="10">
        <f>95+26</f>
        <v>121</v>
      </c>
      <c r="F8" s="11">
        <v>134</v>
      </c>
      <c r="G8" s="11">
        <v>150</v>
      </c>
      <c r="H8" s="11">
        <v>322</v>
      </c>
      <c r="I8" s="11"/>
      <c r="J8" s="11"/>
      <c r="K8" s="11"/>
      <c r="L8" s="11"/>
      <c r="M8" s="11"/>
      <c r="N8" s="9">
        <f t="shared" ref="N8:N24" si="0">D8+E8-SUM(F8:M8)</f>
        <v>296</v>
      </c>
      <c r="O8" s="9">
        <f>115+E8+60</f>
        <v>296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'2810'!O9</f>
        <v>239</v>
      </c>
      <c r="E9" s="14">
        <f>76+90</f>
        <v>166</v>
      </c>
      <c r="F9" s="11"/>
      <c r="G9" s="11">
        <v>100</v>
      </c>
      <c r="H9" s="11">
        <v>100</v>
      </c>
      <c r="I9" s="11"/>
      <c r="J9" s="11"/>
      <c r="K9" s="11"/>
      <c r="L9" s="11"/>
      <c r="M9" s="11"/>
      <c r="N9" s="9">
        <f t="shared" si="0"/>
        <v>205</v>
      </c>
      <c r="O9" s="9">
        <f>39+E9</f>
        <v>205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'2810'!O10</f>
        <v>297</v>
      </c>
      <c r="E10" s="10">
        <v>168</v>
      </c>
      <c r="F10" s="11">
        <v>10</v>
      </c>
      <c r="G10" s="11">
        <v>80</v>
      </c>
      <c r="H10" s="11">
        <v>180</v>
      </c>
      <c r="I10" s="11"/>
      <c r="J10" s="11"/>
      <c r="K10" s="11"/>
      <c r="L10" s="11"/>
      <c r="M10" s="11"/>
      <c r="N10" s="9">
        <f t="shared" si="0"/>
        <v>195</v>
      </c>
      <c r="O10" s="9">
        <f>27+E10</f>
        <v>195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'2810'!O11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'2810'!O12</f>
        <v>767</v>
      </c>
      <c r="E12" s="14">
        <f>88+120</f>
        <v>208</v>
      </c>
      <c r="F12" s="11">
        <v>20</v>
      </c>
      <c r="G12" s="11">
        <v>100</v>
      </c>
      <c r="H12" s="11">
        <v>400</v>
      </c>
      <c r="I12" s="11"/>
      <c r="J12" s="11"/>
      <c r="K12" s="11"/>
      <c r="L12" s="11"/>
      <c r="M12" s="11"/>
      <c r="N12" s="9">
        <f t="shared" si="0"/>
        <v>455</v>
      </c>
      <c r="O12" s="9">
        <f>127+120+E12</f>
        <v>455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'2810'!O13</f>
        <v>488</v>
      </c>
      <c r="E13" s="14">
        <v>77</v>
      </c>
      <c r="F13" s="11">
        <v>15</v>
      </c>
      <c r="G13" s="11">
        <v>78</v>
      </c>
      <c r="H13" s="11">
        <v>100</v>
      </c>
      <c r="I13" s="11"/>
      <c r="J13" s="11"/>
      <c r="K13" s="11"/>
      <c r="L13" s="11"/>
      <c r="M13" s="11"/>
      <c r="N13" s="9">
        <f t="shared" si="0"/>
        <v>372</v>
      </c>
      <c r="O13" s="9">
        <f>185+110+E13</f>
        <v>372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'2810'!O14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'2810'!O15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'2810'!O16</f>
        <v>9</v>
      </c>
      <c r="E16" s="14">
        <v>4</v>
      </c>
      <c r="F16" s="11"/>
      <c r="G16" s="11"/>
      <c r="H16" s="11">
        <v>3</v>
      </c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'2810'!O17</f>
        <v>1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'2810'!O18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'2810'!O19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'2810'!O20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'2810'!O21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'2810'!O22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'2810'!O23</f>
        <v>32</v>
      </c>
      <c r="E23" s="14">
        <v>48</v>
      </c>
      <c r="F23" s="9"/>
      <c r="G23" s="9"/>
      <c r="H23" s="9"/>
      <c r="I23" s="9">
        <v>32</v>
      </c>
      <c r="J23" s="9"/>
      <c r="K23" s="9"/>
      <c r="L23" s="9"/>
      <c r="M23" s="9"/>
      <c r="N23" s="9">
        <f t="shared" si="0"/>
        <v>48</v>
      </c>
      <c r="O23" s="9">
        <v>48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'2810'!O24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'2810'!O26</f>
        <v>216</v>
      </c>
      <c r="E26" s="10">
        <v>65</v>
      </c>
      <c r="F26" s="9">
        <v>98</v>
      </c>
      <c r="G26" s="11"/>
      <c r="H26" s="9"/>
      <c r="I26" s="9"/>
      <c r="J26" s="9"/>
      <c r="K26" s="9"/>
      <c r="L26" s="9"/>
      <c r="M26" s="9"/>
      <c r="N26" s="9">
        <f>D26+E26-SUM(F26:M26)</f>
        <v>183</v>
      </c>
      <c r="O26" s="9">
        <v>183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'2810'!O27</f>
        <v>121</v>
      </c>
      <c r="E27" s="9"/>
      <c r="F27" s="9">
        <v>13</v>
      </c>
      <c r="G27" s="11"/>
      <c r="H27" s="9"/>
      <c r="I27" s="9"/>
      <c r="J27" s="9"/>
      <c r="K27" s="9"/>
      <c r="L27" s="9"/>
      <c r="M27" s="9"/>
      <c r="N27" s="9">
        <f>D27+E27-SUM(F27:M27)</f>
        <v>108</v>
      </c>
      <c r="O27" s="9">
        <v>108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'2810'!O28</f>
        <v>326</v>
      </c>
      <c r="E28" s="9">
        <v>145</v>
      </c>
      <c r="F28" s="9">
        <v>131</v>
      </c>
      <c r="G28" s="11"/>
      <c r="H28" s="9"/>
      <c r="I28" s="9"/>
      <c r="J28" s="9"/>
      <c r="K28" s="9"/>
      <c r="L28" s="9"/>
      <c r="M28" s="9"/>
      <c r="N28" s="9">
        <f>D28+E28-SUM(F28:M28)</f>
        <v>340</v>
      </c>
      <c r="O28" s="9">
        <v>340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'2810'!O29</f>
        <v>154</v>
      </c>
      <c r="E29" s="9">
        <v>89</v>
      </c>
      <c r="F29" s="9">
        <v>62</v>
      </c>
      <c r="G29" s="11"/>
      <c r="H29" s="9"/>
      <c r="I29" s="9"/>
      <c r="J29" s="9"/>
      <c r="K29" s="9"/>
      <c r="L29" s="9"/>
      <c r="M29" s="9"/>
      <c r="N29" s="9">
        <f>D29+E29-SUM(F29:M29)</f>
        <v>181</v>
      </c>
      <c r="O29" s="9">
        <v>181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9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DATE(2015,10,29)</f>
        <v>42306</v>
      </c>
      <c r="E5" s="293">
        <f>D5+1</f>
        <v>42307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96"/>
      <c r="M6" s="196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49</v>
      </c>
      <c r="H7" s="5" t="s">
        <v>77</v>
      </c>
      <c r="I7" s="5" t="s">
        <v>71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'2910'!O8</f>
        <v>296</v>
      </c>
      <c r="E8" s="10">
        <f>103+97</f>
        <v>200</v>
      </c>
      <c r="F8" s="11">
        <v>81</v>
      </c>
      <c r="G8" s="11">
        <v>145</v>
      </c>
      <c r="H8" s="11">
        <v>70</v>
      </c>
      <c r="I8" s="11"/>
      <c r="J8" s="11"/>
      <c r="K8" s="11"/>
      <c r="L8" s="11"/>
      <c r="M8" s="11"/>
      <c r="N8" s="9">
        <f t="shared" ref="N8:N24" si="0">D8+E8-SUM(F8:M8)</f>
        <v>200</v>
      </c>
      <c r="O8" s="9">
        <f>E8</f>
        <v>200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'2910'!O9</f>
        <v>205</v>
      </c>
      <c r="E9" s="14"/>
      <c r="F9" s="11"/>
      <c r="G9" s="11">
        <v>88</v>
      </c>
      <c r="H9" s="11">
        <v>100</v>
      </c>
      <c r="I9" s="11"/>
      <c r="J9" s="11"/>
      <c r="K9" s="11"/>
      <c r="L9" s="11"/>
      <c r="M9" s="11"/>
      <c r="N9" s="9">
        <f t="shared" si="0"/>
        <v>17</v>
      </c>
      <c r="O9" s="9">
        <v>18</v>
      </c>
      <c r="P9" s="9">
        <f t="shared" si="1"/>
        <v>1</v>
      </c>
    </row>
    <row r="10" spans="1:16" ht="18.75">
      <c r="A10" s="6">
        <v>3</v>
      </c>
      <c r="B10" s="12" t="s">
        <v>15</v>
      </c>
      <c r="C10" s="8" t="s">
        <v>13</v>
      </c>
      <c r="D10" s="9">
        <f>'2910'!O10</f>
        <v>195</v>
      </c>
      <c r="E10" s="10">
        <v>121</v>
      </c>
      <c r="F10" s="11"/>
      <c r="G10" s="11">
        <v>118</v>
      </c>
      <c r="H10" s="11">
        <v>77</v>
      </c>
      <c r="I10" s="11"/>
      <c r="J10" s="11"/>
      <c r="K10" s="11"/>
      <c r="L10" s="11"/>
      <c r="M10" s="11"/>
      <c r="N10" s="9">
        <f t="shared" si="0"/>
        <v>121</v>
      </c>
      <c r="O10" s="9">
        <f>E10</f>
        <v>121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'2910'!O11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'2910'!O12</f>
        <v>455</v>
      </c>
      <c r="E12" s="14">
        <f>81+135</f>
        <v>216</v>
      </c>
      <c r="F12" s="11">
        <v>19</v>
      </c>
      <c r="G12" s="11">
        <v>167</v>
      </c>
      <c r="H12" s="11">
        <v>101</v>
      </c>
      <c r="I12" s="11"/>
      <c r="J12" s="11"/>
      <c r="K12" s="11"/>
      <c r="L12" s="11"/>
      <c r="M12" s="11"/>
      <c r="N12" s="9">
        <f t="shared" si="0"/>
        <v>384</v>
      </c>
      <c r="O12" s="9">
        <f>168+E12</f>
        <v>384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'2910'!O13</f>
        <v>372</v>
      </c>
      <c r="E13" s="14">
        <f>75+80</f>
        <v>155</v>
      </c>
      <c r="F13" s="11">
        <v>15</v>
      </c>
      <c r="G13" s="11">
        <v>150</v>
      </c>
      <c r="H13" s="11">
        <v>30</v>
      </c>
      <c r="I13" s="11"/>
      <c r="J13" s="11"/>
      <c r="K13" s="11"/>
      <c r="L13" s="11"/>
      <c r="M13" s="11"/>
      <c r="N13" s="9">
        <f t="shared" si="0"/>
        <v>332</v>
      </c>
      <c r="O13" s="9">
        <f>77+100+E13</f>
        <v>332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'2910'!O14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'2910'!O15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'2910'!O16</f>
        <v>10</v>
      </c>
      <c r="E16" s="14"/>
      <c r="F16" s="11">
        <v>1</v>
      </c>
      <c r="G16" s="11">
        <v>4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'2910'!O17</f>
        <v>0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'2910'!O18</f>
        <v>2</v>
      </c>
      <c r="E18" s="14"/>
      <c r="F18" s="11"/>
      <c r="G18" s="11">
        <v>2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'2910'!O19</f>
        <v>2</v>
      </c>
      <c r="E19" s="14">
        <v>2</v>
      </c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'2910'!O20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'2910'!O21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'2910'!O22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'2910'!O23</f>
        <v>48</v>
      </c>
      <c r="E23" s="14">
        <v>30</v>
      </c>
      <c r="F23" s="9">
        <v>30</v>
      </c>
      <c r="G23" s="9"/>
      <c r="H23" s="9"/>
      <c r="I23" s="9">
        <v>32</v>
      </c>
      <c r="J23" s="9"/>
      <c r="K23" s="9"/>
      <c r="L23" s="9"/>
      <c r="M23" s="9"/>
      <c r="N23" s="9">
        <f t="shared" si="0"/>
        <v>16</v>
      </c>
      <c r="O23" s="9">
        <v>16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'2910'!O24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'2910'!O26</f>
        <v>183</v>
      </c>
      <c r="E26" s="10">
        <v>139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222</v>
      </c>
      <c r="O26" s="9">
        <v>222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'2910'!O27</f>
        <v>108</v>
      </c>
      <c r="E27" s="9"/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92</v>
      </c>
      <c r="O27" s="9">
        <v>92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'2910'!O28</f>
        <v>340</v>
      </c>
      <c r="E28" s="9">
        <v>77</v>
      </c>
      <c r="F28" s="9">
        <v>90</v>
      </c>
      <c r="G28" s="11"/>
      <c r="H28" s="9"/>
      <c r="I28" s="9"/>
      <c r="J28" s="9"/>
      <c r="K28" s="9"/>
      <c r="L28" s="9"/>
      <c r="M28" s="9"/>
      <c r="N28" s="9">
        <f>D28+E28-SUM(F28:M28)</f>
        <v>327</v>
      </c>
      <c r="O28" s="9">
        <v>327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'2910'!O29</f>
        <v>181</v>
      </c>
      <c r="E29" s="9"/>
      <c r="F29" s="9">
        <v>45</v>
      </c>
      <c r="G29" s="11"/>
      <c r="H29" s="9"/>
      <c r="I29" s="9"/>
      <c r="J29" s="9"/>
      <c r="K29" s="9"/>
      <c r="L29" s="9"/>
      <c r="M29" s="9"/>
      <c r="N29" s="9">
        <f>D29+E29-SUM(F29:M29)</f>
        <v>136</v>
      </c>
      <c r="O29" s="9">
        <v>136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E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DATE(2015,10,30)</f>
        <v>42307</v>
      </c>
      <c r="E5" s="293">
        <f>D5+1</f>
        <v>42308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96"/>
      <c r="M6" s="196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81</v>
      </c>
      <c r="H7" s="5" t="s">
        <v>71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'3010'!O8</f>
        <v>200</v>
      </c>
      <c r="E8" s="10">
        <f>95+95+53</f>
        <v>243</v>
      </c>
      <c r="F8" s="11">
        <v>55</v>
      </c>
      <c r="G8" s="11">
        <v>100</v>
      </c>
      <c r="H8" s="11"/>
      <c r="I8" s="11"/>
      <c r="J8" s="11"/>
      <c r="K8" s="11"/>
      <c r="L8" s="11"/>
      <c r="M8" s="11"/>
      <c r="N8" s="9">
        <f t="shared" ref="N8:N24" si="0">D8+E8-SUM(F8:M8)</f>
        <v>288</v>
      </c>
      <c r="O8" s="9">
        <f>45+E8</f>
        <v>288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'3010'!O9</f>
        <v>18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18</v>
      </c>
      <c r="O9" s="9">
        <v>18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'3010'!O10</f>
        <v>121</v>
      </c>
      <c r="E10" s="10">
        <v>128</v>
      </c>
      <c r="F10" s="11">
        <v>21</v>
      </c>
      <c r="G10" s="11">
        <v>100</v>
      </c>
      <c r="H10" s="11"/>
      <c r="I10" s="11"/>
      <c r="J10" s="11"/>
      <c r="K10" s="11"/>
      <c r="L10" s="11"/>
      <c r="M10" s="11"/>
      <c r="N10" s="9">
        <f t="shared" si="0"/>
        <v>128</v>
      </c>
      <c r="O10" s="9">
        <f>E10</f>
        <v>128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'3010'!O11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'3010'!O12</f>
        <v>384</v>
      </c>
      <c r="E12" s="14">
        <v>168</v>
      </c>
      <c r="F12" s="11">
        <v>20</v>
      </c>
      <c r="G12" s="11">
        <v>90</v>
      </c>
      <c r="H12" s="11"/>
      <c r="I12" s="11"/>
      <c r="J12" s="11"/>
      <c r="K12" s="11"/>
      <c r="L12" s="11"/>
      <c r="M12" s="11"/>
      <c r="N12" s="9">
        <f t="shared" si="0"/>
        <v>442</v>
      </c>
      <c r="O12" s="9">
        <f>23+121+130+E12</f>
        <v>442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'3010'!O13</f>
        <v>332</v>
      </c>
      <c r="E13" s="14">
        <f>72+85</f>
        <v>157</v>
      </c>
      <c r="F13" s="11">
        <v>18</v>
      </c>
      <c r="G13" s="11">
        <v>60</v>
      </c>
      <c r="H13" s="11"/>
      <c r="I13" s="11"/>
      <c r="J13" s="11"/>
      <c r="K13" s="11"/>
      <c r="L13" s="11"/>
      <c r="M13" s="11"/>
      <c r="N13" s="9">
        <f t="shared" si="0"/>
        <v>411</v>
      </c>
      <c r="O13" s="9">
        <f>150+30+74+E13</f>
        <v>411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'3010'!O14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'3010'!O15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'3010'!O16</f>
        <v>5</v>
      </c>
      <c r="E16" s="14">
        <v>8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13</v>
      </c>
      <c r="O16" s="9">
        <v>13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'3010'!O17</f>
        <v>2</v>
      </c>
      <c r="E17" s="14"/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'3010'!O18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'3010'!O19</f>
        <v>2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'3010'!O20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'3010'!O21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'3010'!O22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'3010'!O23</f>
        <v>16</v>
      </c>
      <c r="E23" s="14"/>
      <c r="F23" s="9"/>
      <c r="G23" s="9"/>
      <c r="H23" s="9">
        <v>16</v>
      </c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'3010'!O24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'3010'!O26</f>
        <v>222</v>
      </c>
      <c r="E26" s="10">
        <v>71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183</v>
      </c>
      <c r="O26" s="9">
        <v>183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'3010'!O27</f>
        <v>92</v>
      </c>
      <c r="E27" s="9"/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76</v>
      </c>
      <c r="O27" s="9">
        <v>76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'3010'!O28</f>
        <v>327</v>
      </c>
      <c r="E28" s="9">
        <v>75</v>
      </c>
      <c r="F28" s="9">
        <v>108</v>
      </c>
      <c r="G28" s="11"/>
      <c r="H28" s="9"/>
      <c r="I28" s="9"/>
      <c r="J28" s="9"/>
      <c r="K28" s="9"/>
      <c r="L28" s="9"/>
      <c r="M28" s="9"/>
      <c r="N28" s="9">
        <f>D28+E28-SUM(F28:M28)</f>
        <v>294</v>
      </c>
      <c r="O28" s="9">
        <v>294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'3010'!O29</f>
        <v>136</v>
      </c>
      <c r="E29" s="9">
        <v>49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120</v>
      </c>
      <c r="O29" s="9">
        <v>120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DATE(2015,10,31)</f>
        <v>42308</v>
      </c>
      <c r="E5" s="293">
        <f>D5+1</f>
        <v>42309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97"/>
      <c r="M6" s="197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/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'3110'!O8</f>
        <v>288</v>
      </c>
      <c r="E8" s="10"/>
      <c r="F8" s="11">
        <v>70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218</v>
      </c>
      <c r="O8" s="9">
        <f>25+6+100+87</f>
        <v>218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'3110'!O9</f>
        <v>18</v>
      </c>
      <c r="E9" s="14">
        <f>97+74+94</f>
        <v>265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283</v>
      </c>
      <c r="O9" s="9">
        <f>18+E9</f>
        <v>283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'3110'!O10</f>
        <v>128</v>
      </c>
      <c r="E10" s="10">
        <f>131+216</f>
        <v>347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465</v>
      </c>
      <c r="O10" s="9">
        <f>118+E10</f>
        <v>465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'3110'!O11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'3110'!O12</f>
        <v>442</v>
      </c>
      <c r="E12" s="14"/>
      <c r="F12" s="11">
        <v>18</v>
      </c>
      <c r="G12" s="11"/>
      <c r="H12" s="11"/>
      <c r="I12" s="11"/>
      <c r="J12" s="11"/>
      <c r="K12" s="11"/>
      <c r="L12" s="11"/>
      <c r="M12" s="11"/>
      <c r="N12" s="9">
        <f t="shared" si="0"/>
        <v>424</v>
      </c>
      <c r="O12" s="9">
        <f>190+66+168+E12</f>
        <v>424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'3110'!O13</f>
        <v>411</v>
      </c>
      <c r="E13" s="14"/>
      <c r="F13" s="11">
        <v>10</v>
      </c>
      <c r="G13" s="11"/>
      <c r="H13" s="11"/>
      <c r="I13" s="11"/>
      <c r="J13" s="11"/>
      <c r="K13" s="11"/>
      <c r="L13" s="11"/>
      <c r="M13" s="11"/>
      <c r="N13" s="9">
        <f t="shared" si="0"/>
        <v>401</v>
      </c>
      <c r="O13" s="9">
        <f>74+90+80+157</f>
        <v>401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'3110'!O14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'3110'!O15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'3110'!O16</f>
        <v>13</v>
      </c>
      <c r="E16" s="14"/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12</v>
      </c>
      <c r="O16" s="9">
        <v>12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'3110'!O17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'3110'!O18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'3110'!O19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'3110'!O20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'3110'!O21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'3110'!O22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'3110'!O23</f>
        <v>0</v>
      </c>
      <c r="E23" s="14">
        <v>32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'3110'!O24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'3110'!O26</f>
        <v>183</v>
      </c>
      <c r="E26" s="10">
        <v>128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221</v>
      </c>
      <c r="O26" s="9">
        <v>221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'3110'!O27</f>
        <v>76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66</v>
      </c>
      <c r="O27" s="9">
        <v>66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'3110'!O28</f>
        <v>294</v>
      </c>
      <c r="E28" s="9">
        <v>177</v>
      </c>
      <c r="F28" s="9">
        <v>97</v>
      </c>
      <c r="G28" s="11"/>
      <c r="H28" s="9"/>
      <c r="I28" s="9"/>
      <c r="J28" s="9"/>
      <c r="K28" s="9"/>
      <c r="L28" s="9"/>
      <c r="M28" s="9"/>
      <c r="N28" s="9">
        <f>D28+E28-SUM(F28:M28)</f>
        <v>374</v>
      </c>
      <c r="O28" s="9">
        <v>374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'3110'!O29</f>
        <v>120</v>
      </c>
      <c r="E29" s="9">
        <v>40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105</v>
      </c>
      <c r="O29" s="9">
        <v>105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DATE(2015,11,1)</f>
        <v>42309</v>
      </c>
      <c r="E5" s="293">
        <f>D5+1</f>
        <v>42310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97"/>
      <c r="M6" s="197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82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'0111'!O8</f>
        <v>218</v>
      </c>
      <c r="E8" s="10">
        <f>105+39+90</f>
        <v>234</v>
      </c>
      <c r="F8" s="11">
        <v>93</v>
      </c>
      <c r="G8" s="11">
        <v>50</v>
      </c>
      <c r="H8" s="11"/>
      <c r="I8" s="11"/>
      <c r="J8" s="11"/>
      <c r="K8" s="11"/>
      <c r="L8" s="11"/>
      <c r="M8" s="11"/>
      <c r="N8" s="9">
        <f t="shared" ref="N8:N24" si="0">D8+E8-SUM(F8:M8)</f>
        <v>309</v>
      </c>
      <c r="O8" s="9">
        <f>75+E8</f>
        <v>309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'0111'!O9</f>
        <v>283</v>
      </c>
      <c r="E9" s="14"/>
      <c r="F9" s="11"/>
      <c r="G9" s="11">
        <v>40</v>
      </c>
      <c r="H9" s="11"/>
      <c r="I9" s="11"/>
      <c r="J9" s="11"/>
      <c r="K9" s="11"/>
      <c r="L9" s="11"/>
      <c r="M9" s="11"/>
      <c r="N9" s="9">
        <f t="shared" si="0"/>
        <v>243</v>
      </c>
      <c r="O9" s="9">
        <f>210+18+E9</f>
        <v>228</v>
      </c>
      <c r="P9" s="9">
        <f t="shared" si="1"/>
        <v>-15</v>
      </c>
    </row>
    <row r="10" spans="1:16" ht="18.75">
      <c r="A10" s="6">
        <v>3</v>
      </c>
      <c r="B10" s="12" t="s">
        <v>15</v>
      </c>
      <c r="C10" s="8" t="s">
        <v>13</v>
      </c>
      <c r="D10" s="9">
        <f>'0111'!O10</f>
        <v>465</v>
      </c>
      <c r="E10" s="10">
        <v>206</v>
      </c>
      <c r="F10" s="11">
        <f>460+10</f>
        <v>470</v>
      </c>
      <c r="G10" s="11">
        <v>48</v>
      </c>
      <c r="H10" s="11"/>
      <c r="I10" s="11"/>
      <c r="J10" s="11"/>
      <c r="K10" s="11"/>
      <c r="L10" s="11"/>
      <c r="M10" s="11"/>
      <c r="N10" s="9">
        <f t="shared" si="0"/>
        <v>153</v>
      </c>
      <c r="O10" s="9">
        <v>153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'0111'!O11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'0111'!O12</f>
        <v>424</v>
      </c>
      <c r="E12" s="14">
        <v>166</v>
      </c>
      <c r="F12" s="11">
        <v>20</v>
      </c>
      <c r="G12" s="11">
        <v>50</v>
      </c>
      <c r="H12" s="11"/>
      <c r="I12" s="11"/>
      <c r="J12" s="11"/>
      <c r="K12" s="11"/>
      <c r="L12" s="11"/>
      <c r="M12" s="11"/>
      <c r="N12" s="9">
        <f t="shared" si="0"/>
        <v>520</v>
      </c>
      <c r="O12" s="9">
        <f>120+66+168+E12</f>
        <v>520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'0111'!O13</f>
        <v>401</v>
      </c>
      <c r="E13" s="14">
        <v>123</v>
      </c>
      <c r="F13" s="11">
        <v>15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479</v>
      </c>
      <c r="O13" s="9">
        <f>74+80+60+137+5+E13</f>
        <v>479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'0111'!O14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'0111'!O15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'0111'!O16</f>
        <v>12</v>
      </c>
      <c r="E16" s="14"/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11</v>
      </c>
      <c r="O16" s="9">
        <v>11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'0111'!O17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'0111'!O18</f>
        <v>0</v>
      </c>
      <c r="E18" s="14">
        <v>4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4</v>
      </c>
      <c r="O18" s="9">
        <v>4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'0111'!O19</f>
        <v>1</v>
      </c>
      <c r="E19" s="14">
        <v>1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'0111'!O20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'0111'!O21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'0111'!O22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'0111'!O23</f>
        <v>32</v>
      </c>
      <c r="E23" s="14">
        <v>20</v>
      </c>
      <c r="F23" s="9">
        <v>20</v>
      </c>
      <c r="G23" s="9"/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'0111'!O24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'0111'!O26</f>
        <v>221</v>
      </c>
      <c r="E26" s="10">
        <v>66</v>
      </c>
      <c r="F26" s="9">
        <v>105</v>
      </c>
      <c r="G26" s="11"/>
      <c r="H26" s="9"/>
      <c r="I26" s="9"/>
      <c r="J26" s="9"/>
      <c r="K26" s="9"/>
      <c r="L26" s="9"/>
      <c r="M26" s="9"/>
      <c r="N26" s="9">
        <f>D26+E26-SUM(F26:M26)</f>
        <v>182</v>
      </c>
      <c r="O26" s="9">
        <v>182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'0111'!O27</f>
        <v>66</v>
      </c>
      <c r="E27" s="9">
        <v>61</v>
      </c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112</v>
      </c>
      <c r="O27" s="9">
        <v>112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'0111'!O28</f>
        <v>374</v>
      </c>
      <c r="E28" s="9">
        <v>69</v>
      </c>
      <c r="F28" s="9">
        <v>103</v>
      </c>
      <c r="G28" s="11"/>
      <c r="H28" s="9"/>
      <c r="I28" s="9"/>
      <c r="J28" s="9"/>
      <c r="K28" s="9"/>
      <c r="L28" s="9"/>
      <c r="M28" s="9"/>
      <c r="N28" s="9">
        <f>D28+E28-SUM(F28:M28)</f>
        <v>340</v>
      </c>
      <c r="O28" s="9">
        <v>340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'0111'!O29</f>
        <v>105</v>
      </c>
      <c r="E29" s="9">
        <v>85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135</v>
      </c>
      <c r="O29" s="9">
        <v>135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DATE(2015,11,2)</f>
        <v>42310</v>
      </c>
      <c r="E5" s="293">
        <f>D5+1</f>
        <v>42311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98"/>
      <c r="M6" s="198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62</v>
      </c>
      <c r="H7" s="5" t="s">
        <v>80</v>
      </c>
      <c r="I7" s="5" t="s">
        <v>38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'0211'!O8</f>
        <v>309</v>
      </c>
      <c r="E8" s="10">
        <f>100+160</f>
        <v>260</v>
      </c>
      <c r="F8" s="11">
        <v>85</v>
      </c>
      <c r="G8" s="11">
        <v>60</v>
      </c>
      <c r="H8" s="11">
        <v>60</v>
      </c>
      <c r="I8" s="11"/>
      <c r="J8" s="11"/>
      <c r="K8" s="11"/>
      <c r="L8" s="11"/>
      <c r="M8" s="11"/>
      <c r="N8" s="9">
        <f t="shared" ref="N8:N24" si="0">D8+E8-SUM(F8:M8)</f>
        <v>364</v>
      </c>
      <c r="O8" s="9">
        <f>104+E8</f>
        <v>364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'0211'!O9</f>
        <v>228</v>
      </c>
      <c r="E9" s="14"/>
      <c r="F9" s="11"/>
      <c r="G9" s="11">
        <v>56</v>
      </c>
      <c r="H9" s="11">
        <v>40</v>
      </c>
      <c r="I9" s="11"/>
      <c r="J9" s="11"/>
      <c r="K9" s="11"/>
      <c r="L9" s="11"/>
      <c r="M9" s="11"/>
      <c r="N9" s="9">
        <f t="shared" si="0"/>
        <v>132</v>
      </c>
      <c r="O9" s="9">
        <f>130</f>
        <v>130</v>
      </c>
      <c r="P9" s="9">
        <f t="shared" si="1"/>
        <v>-2</v>
      </c>
    </row>
    <row r="10" spans="1:16" ht="18.75">
      <c r="A10" s="6">
        <v>3</v>
      </c>
      <c r="B10" s="12" t="s">
        <v>15</v>
      </c>
      <c r="C10" s="8" t="s">
        <v>13</v>
      </c>
      <c r="D10" s="9">
        <f>'0211'!O10</f>
        <v>153</v>
      </c>
      <c r="E10" s="10">
        <v>127</v>
      </c>
      <c r="F10" s="11">
        <v>9</v>
      </c>
      <c r="G10" s="11">
        <v>60</v>
      </c>
      <c r="H10" s="11">
        <v>53</v>
      </c>
      <c r="I10" s="11"/>
      <c r="J10" s="11"/>
      <c r="K10" s="11"/>
      <c r="L10" s="11"/>
      <c r="M10" s="11"/>
      <c r="N10" s="9">
        <f t="shared" si="0"/>
        <v>158</v>
      </c>
      <c r="O10" s="9">
        <f>30+E10</f>
        <v>157</v>
      </c>
      <c r="P10" s="9">
        <f t="shared" si="1"/>
        <v>-1</v>
      </c>
    </row>
    <row r="11" spans="1:16" ht="18.75">
      <c r="A11" s="6">
        <v>4</v>
      </c>
      <c r="B11" s="15" t="s">
        <v>16</v>
      </c>
      <c r="C11" s="6" t="s">
        <v>17</v>
      </c>
      <c r="D11" s="9">
        <f>'0211'!O11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'0211'!O12</f>
        <v>520</v>
      </c>
      <c r="E12" s="14">
        <v>136</v>
      </c>
      <c r="F12" s="11">
        <v>20</v>
      </c>
      <c r="G12" s="11">
        <v>60</v>
      </c>
      <c r="H12" s="11">
        <v>66</v>
      </c>
      <c r="I12" s="11"/>
      <c r="J12" s="11"/>
      <c r="K12" s="11"/>
      <c r="L12" s="11"/>
      <c r="M12" s="11"/>
      <c r="N12" s="9">
        <f t="shared" si="0"/>
        <v>510</v>
      </c>
      <c r="O12" s="9">
        <f>50+168+156+E12</f>
        <v>510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'0211'!O13</f>
        <v>479</v>
      </c>
      <c r="E13" s="14">
        <v>81</v>
      </c>
      <c r="F13" s="11">
        <v>16</v>
      </c>
      <c r="G13" s="11">
        <v>60</v>
      </c>
      <c r="H13" s="11">
        <v>60</v>
      </c>
      <c r="I13" s="11">
        <v>30</v>
      </c>
      <c r="J13" s="11"/>
      <c r="K13" s="11"/>
      <c r="L13" s="11"/>
      <c r="M13" s="11"/>
      <c r="N13" s="9">
        <f t="shared" si="0"/>
        <v>394</v>
      </c>
      <c r="O13" s="9">
        <f>54+122+137+E13</f>
        <v>394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'0211'!O14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'0211'!O15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'0211'!O16</f>
        <v>11</v>
      </c>
      <c r="E16" s="14"/>
      <c r="F16" s="11">
        <v>1</v>
      </c>
      <c r="G16" s="11">
        <v>1</v>
      </c>
      <c r="H16" s="11">
        <v>1</v>
      </c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'0211'!O17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'0211'!O18</f>
        <v>4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'0211'!O19</f>
        <v>2</v>
      </c>
      <c r="E19" s="14">
        <v>4</v>
      </c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5</v>
      </c>
      <c r="O19" s="9">
        <f>1+4</f>
        <v>5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'0211'!O20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'0211'!O21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'0211'!O22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'0211'!O23</f>
        <v>32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'0211'!O24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'0211'!O26</f>
        <v>182</v>
      </c>
      <c r="E26" s="10">
        <v>127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219</v>
      </c>
      <c r="O26" s="9">
        <v>219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'0211'!O27</f>
        <v>112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102</v>
      </c>
      <c r="O27" s="9">
        <v>102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'0211'!O28</f>
        <v>340</v>
      </c>
      <c r="E28" s="9"/>
      <c r="F28" s="9">
        <v>55</v>
      </c>
      <c r="G28" s="11"/>
      <c r="H28" s="9"/>
      <c r="I28" s="9"/>
      <c r="J28" s="9"/>
      <c r="K28" s="9"/>
      <c r="L28" s="9"/>
      <c r="M28" s="9"/>
      <c r="N28" s="9">
        <f>D28+E28-SUM(F28:M28)</f>
        <v>285</v>
      </c>
      <c r="O28" s="9">
        <v>285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'0211'!O29</f>
        <v>135</v>
      </c>
      <c r="E29" s="9">
        <v>94</v>
      </c>
      <c r="F29" s="9">
        <v>45</v>
      </c>
      <c r="G29" s="11"/>
      <c r="H29" s="9"/>
      <c r="I29" s="9"/>
      <c r="J29" s="9"/>
      <c r="K29" s="9"/>
      <c r="L29" s="9"/>
      <c r="M29" s="9"/>
      <c r="N29" s="9">
        <f>D29+E29-SUM(F29:M29)</f>
        <v>184</v>
      </c>
      <c r="O29" s="9">
        <v>184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DATE(2015,11,3)</f>
        <v>42311</v>
      </c>
      <c r="E5" s="293">
        <f>D5+1</f>
        <v>42312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98"/>
      <c r="M6" s="198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39</v>
      </c>
      <c r="H7" s="5" t="s">
        <v>40</v>
      </c>
      <c r="I7" s="5" t="s">
        <v>38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'0311'!O8</f>
        <v>364</v>
      </c>
      <c r="E8" s="10">
        <f>110+116+100</f>
        <v>326</v>
      </c>
      <c r="F8" s="11">
        <v>125</v>
      </c>
      <c r="G8" s="11">
        <v>30</v>
      </c>
      <c r="H8" s="11">
        <v>20</v>
      </c>
      <c r="I8" s="11">
        <v>40</v>
      </c>
      <c r="J8" s="11"/>
      <c r="K8" s="11"/>
      <c r="L8" s="11"/>
      <c r="M8" s="11"/>
      <c r="N8" s="9">
        <f t="shared" ref="N8:N24" si="0">D8+E8-SUM(F8:M8)</f>
        <v>475</v>
      </c>
      <c r="O8" s="9">
        <f>124+25+E8</f>
        <v>475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'0311'!O9</f>
        <v>130</v>
      </c>
      <c r="E9" s="14">
        <v>81</v>
      </c>
      <c r="F9" s="11"/>
      <c r="G9" s="11">
        <v>30</v>
      </c>
      <c r="H9" s="11">
        <v>20</v>
      </c>
      <c r="I9" s="11">
        <v>40</v>
      </c>
      <c r="J9" s="11"/>
      <c r="K9" s="11"/>
      <c r="L9" s="11"/>
      <c r="M9" s="11"/>
      <c r="N9" s="9">
        <f t="shared" si="0"/>
        <v>121</v>
      </c>
      <c r="O9" s="9">
        <f>40+E9</f>
        <v>121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'0311'!O10</f>
        <v>157</v>
      </c>
      <c r="E10" s="10">
        <v>218</v>
      </c>
      <c r="F10" s="11">
        <v>10</v>
      </c>
      <c r="G10" s="11">
        <v>40</v>
      </c>
      <c r="H10" s="11">
        <v>30</v>
      </c>
      <c r="I10" s="11">
        <v>30</v>
      </c>
      <c r="J10" s="11"/>
      <c r="K10" s="11"/>
      <c r="L10" s="11"/>
      <c r="M10" s="11"/>
      <c r="N10" s="9">
        <f t="shared" si="0"/>
        <v>265</v>
      </c>
      <c r="O10" s="9">
        <f>E10+47</f>
        <v>265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'0311'!O11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'0311'!O12</f>
        <v>510</v>
      </c>
      <c r="E12" s="14">
        <f>174+172</f>
        <v>346</v>
      </c>
      <c r="F12" s="11">
        <v>20</v>
      </c>
      <c r="G12" s="11">
        <v>40</v>
      </c>
      <c r="H12" s="11">
        <v>60</v>
      </c>
      <c r="I12" s="11">
        <v>40</v>
      </c>
      <c r="J12" s="11"/>
      <c r="K12" s="11"/>
      <c r="L12" s="11"/>
      <c r="M12" s="11"/>
      <c r="N12" s="9">
        <f t="shared" si="0"/>
        <v>696</v>
      </c>
      <c r="O12" s="9">
        <f>156+58+136+E12</f>
        <v>696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'0311'!O13</f>
        <v>394</v>
      </c>
      <c r="E13" s="14"/>
      <c r="F13" s="11">
        <v>14</v>
      </c>
      <c r="G13" s="11">
        <v>40</v>
      </c>
      <c r="H13" s="11">
        <v>30</v>
      </c>
      <c r="I13" s="11">
        <v>39</v>
      </c>
      <c r="J13" s="11"/>
      <c r="K13" s="11"/>
      <c r="L13" s="11"/>
      <c r="M13" s="11"/>
      <c r="N13" s="9">
        <f t="shared" si="0"/>
        <v>271</v>
      </c>
      <c r="O13" s="9">
        <f>70+120+81+E13</f>
        <v>271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'0311'!O14</f>
        <v>0</v>
      </c>
      <c r="E14" s="14">
        <v>3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'0311'!O15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'0311'!O16</f>
        <v>8</v>
      </c>
      <c r="E16" s="14"/>
      <c r="F16" s="11"/>
      <c r="G16" s="11">
        <v>1</v>
      </c>
      <c r="H16" s="11">
        <v>1</v>
      </c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'0311'!O17</f>
        <v>0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'0311'!O18</f>
        <v>3</v>
      </c>
      <c r="E18" s="14"/>
      <c r="F18" s="11"/>
      <c r="G18" s="11"/>
      <c r="H18" s="11">
        <v>1</v>
      </c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'0311'!O19</f>
        <v>5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'0311'!O20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'0311'!O21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'0311'!O22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'0311'!O23</f>
        <v>72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'0311'!O24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'0311'!O26</f>
        <v>219</v>
      </c>
      <c r="E26" s="10">
        <v>67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186</v>
      </c>
      <c r="O26" s="9">
        <v>186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'0311'!O27</f>
        <v>102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92</v>
      </c>
      <c r="O27" s="9">
        <v>92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'0311'!O28</f>
        <v>285</v>
      </c>
      <c r="E28" s="9">
        <v>150</v>
      </c>
      <c r="F28" s="9">
        <v>96</v>
      </c>
      <c r="G28" s="11"/>
      <c r="H28" s="9"/>
      <c r="I28" s="9"/>
      <c r="J28" s="9"/>
      <c r="K28" s="9"/>
      <c r="L28" s="9"/>
      <c r="M28" s="9"/>
      <c r="N28" s="9">
        <f>D28+E28-SUM(F28:M28)</f>
        <v>339</v>
      </c>
      <c r="O28" s="9">
        <v>339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'0311'!O29</f>
        <v>184</v>
      </c>
      <c r="E29" s="9"/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114</v>
      </c>
      <c r="O29" s="9">
        <v>114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DATE(2015,11,4)</f>
        <v>42312</v>
      </c>
      <c r="E5" s="293">
        <f>D5+1</f>
        <v>42313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199"/>
      <c r="M6" s="199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48</v>
      </c>
      <c r="H7" s="5" t="s">
        <v>52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'0411'!O8</f>
        <v>475</v>
      </c>
      <c r="E8" s="10">
        <f>91+95</f>
        <v>186</v>
      </c>
      <c r="F8" s="11">
        <v>82</v>
      </c>
      <c r="G8" s="11">
        <v>253</v>
      </c>
      <c r="H8" s="11">
        <v>140</v>
      </c>
      <c r="I8" s="11"/>
      <c r="J8" s="11"/>
      <c r="K8" s="11"/>
      <c r="L8" s="11"/>
      <c r="M8" s="11"/>
      <c r="N8" s="9">
        <f t="shared" ref="N8:N24" si="0">D8+E8-SUM(F8:M8)</f>
        <v>186</v>
      </c>
      <c r="O8" s="9">
        <f>E8</f>
        <v>186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'0411'!O9</f>
        <v>121</v>
      </c>
      <c r="E9" s="14">
        <v>83</v>
      </c>
      <c r="F9" s="11"/>
      <c r="G9" s="11">
        <v>60</v>
      </c>
      <c r="H9" s="11">
        <v>50</v>
      </c>
      <c r="I9" s="11"/>
      <c r="J9" s="11"/>
      <c r="K9" s="11"/>
      <c r="L9" s="11"/>
      <c r="M9" s="11"/>
      <c r="N9" s="9">
        <f t="shared" si="0"/>
        <v>94</v>
      </c>
      <c r="O9" s="9">
        <f>10+E9</f>
        <v>93</v>
      </c>
      <c r="P9" s="9">
        <f t="shared" si="1"/>
        <v>-1</v>
      </c>
    </row>
    <row r="10" spans="1:16" ht="18.75">
      <c r="A10" s="6">
        <v>3</v>
      </c>
      <c r="B10" s="12" t="s">
        <v>15</v>
      </c>
      <c r="C10" s="8" t="s">
        <v>13</v>
      </c>
      <c r="D10" s="9">
        <f>'0411'!O10</f>
        <v>265</v>
      </c>
      <c r="E10" s="10">
        <v>150</v>
      </c>
      <c r="F10" s="11"/>
      <c r="G10" s="11">
        <v>137</v>
      </c>
      <c r="H10" s="11">
        <v>128</v>
      </c>
      <c r="I10" s="11"/>
      <c r="J10" s="11"/>
      <c r="K10" s="11"/>
      <c r="L10" s="11"/>
      <c r="M10" s="11"/>
      <c r="N10" s="9">
        <f t="shared" si="0"/>
        <v>150</v>
      </c>
      <c r="O10" s="9">
        <f>E10</f>
        <v>150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'0411'!O11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'0411'!O12</f>
        <v>696</v>
      </c>
      <c r="E12" s="14">
        <v>171</v>
      </c>
      <c r="F12" s="11"/>
      <c r="G12" s="11">
        <v>194</v>
      </c>
      <c r="H12" s="11">
        <v>296</v>
      </c>
      <c r="I12" s="11"/>
      <c r="J12" s="11"/>
      <c r="K12" s="11"/>
      <c r="L12" s="11"/>
      <c r="M12" s="11"/>
      <c r="N12" s="9">
        <f t="shared" si="0"/>
        <v>377</v>
      </c>
      <c r="O12" s="9">
        <f>66+140+E12</f>
        <v>377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'0411'!O13</f>
        <v>271</v>
      </c>
      <c r="E13" s="14">
        <v>78</v>
      </c>
      <c r="F13" s="11">
        <v>13</v>
      </c>
      <c r="G13" s="11">
        <v>101</v>
      </c>
      <c r="H13" s="11"/>
      <c r="I13" s="11"/>
      <c r="J13" s="11"/>
      <c r="K13" s="11"/>
      <c r="L13" s="11"/>
      <c r="M13" s="11"/>
      <c r="N13" s="9">
        <f t="shared" si="0"/>
        <v>235</v>
      </c>
      <c r="O13" s="9">
        <f>100+57+E13</f>
        <v>235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'0411'!O14</f>
        <v>3</v>
      </c>
      <c r="E14" s="14"/>
      <c r="F14" s="11"/>
      <c r="G14" s="11">
        <v>3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'0411'!O15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'0411'!O16</f>
        <v>6</v>
      </c>
      <c r="E16" s="14">
        <v>2</v>
      </c>
      <c r="F16" s="11">
        <v>1</v>
      </c>
      <c r="G16" s="11">
        <v>4</v>
      </c>
      <c r="H16" s="11">
        <v>2</v>
      </c>
      <c r="I16" s="11"/>
      <c r="J16" s="11"/>
      <c r="K16" s="11"/>
      <c r="L16" s="11"/>
      <c r="M16" s="11"/>
      <c r="N16" s="9">
        <f t="shared" si="0"/>
        <v>1</v>
      </c>
      <c r="O16" s="9">
        <v>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'0411'!O17</f>
        <v>2</v>
      </c>
      <c r="E17" s="14"/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'0411'!O18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'0411'!O19</f>
        <v>4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'0411'!O20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'0411'!O21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'0411'!O22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'0411'!O23</f>
        <v>72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'0411'!O24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'0411'!O26</f>
        <v>186</v>
      </c>
      <c r="E26" s="10">
        <v>135</v>
      </c>
      <c r="F26" s="9">
        <v>156</v>
      </c>
      <c r="G26" s="11"/>
      <c r="H26" s="9"/>
      <c r="I26" s="9"/>
      <c r="J26" s="9"/>
      <c r="K26" s="9"/>
      <c r="L26" s="9"/>
      <c r="M26" s="9"/>
      <c r="N26" s="9">
        <f>D26+E26-SUM(F26:M26)</f>
        <v>165</v>
      </c>
      <c r="O26" s="9">
        <v>165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'0411'!O27</f>
        <v>92</v>
      </c>
      <c r="E27" s="9">
        <v>61</v>
      </c>
      <c r="F27" s="9">
        <v>86</v>
      </c>
      <c r="G27" s="11"/>
      <c r="H27" s="9"/>
      <c r="I27" s="9"/>
      <c r="J27" s="9"/>
      <c r="K27" s="9"/>
      <c r="L27" s="9"/>
      <c r="M27" s="9"/>
      <c r="N27" s="9">
        <f>D27+E27-SUM(F27:M27)</f>
        <v>67</v>
      </c>
      <c r="O27" s="9">
        <v>67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'0411'!O28</f>
        <v>339</v>
      </c>
      <c r="E28" s="9">
        <v>148</v>
      </c>
      <c r="F28" s="9">
        <v>157</v>
      </c>
      <c r="G28" s="11"/>
      <c r="H28" s="9"/>
      <c r="I28" s="9"/>
      <c r="J28" s="9"/>
      <c r="K28" s="9"/>
      <c r="L28" s="9"/>
      <c r="M28" s="9"/>
      <c r="N28" s="9">
        <f>D28+E28-SUM(F28:M28)</f>
        <v>330</v>
      </c>
      <c r="O28" s="9">
        <v>330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'0411'!O29</f>
        <v>114</v>
      </c>
      <c r="E29" s="9">
        <v>82</v>
      </c>
      <c r="F29" s="9">
        <v>114</v>
      </c>
      <c r="G29" s="11"/>
      <c r="H29" s="9"/>
      <c r="I29" s="9"/>
      <c r="J29" s="9"/>
      <c r="K29" s="9"/>
      <c r="L29" s="9"/>
      <c r="M29" s="9"/>
      <c r="N29" s="9">
        <f>D29+E29-SUM(F29:M29)</f>
        <v>82</v>
      </c>
      <c r="O29" s="9">
        <v>82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DATE(2015,4,21)</f>
        <v>42115</v>
      </c>
      <c r="E5" s="293">
        <f>D5+1</f>
        <v>42116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44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38</v>
      </c>
      <c r="H7" s="5" t="s">
        <v>39</v>
      </c>
      <c r="I7" s="5" t="s">
        <v>40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VLOOKUP($B8,'2104'!$B8:$M22,11,0)</f>
        <v>81</v>
      </c>
      <c r="E8" s="10">
        <f>47+103+76</f>
        <v>226</v>
      </c>
      <c r="F8" s="11"/>
      <c r="G8" s="11"/>
      <c r="H8" s="11"/>
      <c r="I8" s="11">
        <v>32</v>
      </c>
      <c r="J8" s="11"/>
      <c r="K8" s="9">
        <f>D8+E8-SUM(F8:J8)</f>
        <v>275</v>
      </c>
      <c r="L8" s="9">
        <v>275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VLOOKUP($B9,'2104'!$B9:$M23,11,0)</f>
        <v>80</v>
      </c>
      <c r="E9" s="14"/>
      <c r="F9" s="11">
        <v>13</v>
      </c>
      <c r="G9" s="11">
        <v>17</v>
      </c>
      <c r="H9" s="11">
        <v>20</v>
      </c>
      <c r="I9" s="11">
        <v>30</v>
      </c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VLOOKUP($B10,'2104'!$B10:$M24,11,0)</f>
        <v>0</v>
      </c>
      <c r="E10" s="10">
        <v>73</v>
      </c>
      <c r="F10" s="11"/>
      <c r="G10" s="11"/>
      <c r="H10" s="11"/>
      <c r="I10" s="11"/>
      <c r="J10" s="11"/>
      <c r="K10" s="9">
        <f t="shared" si="1"/>
        <v>73</v>
      </c>
      <c r="L10" s="9">
        <v>73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VLOOKUP($B11,'2104'!$B11:$M25,11,0)</f>
        <v>320</v>
      </c>
      <c r="E11" s="10">
        <v>145</v>
      </c>
      <c r="F11" s="11"/>
      <c r="G11" s="11"/>
      <c r="H11" s="11">
        <v>160</v>
      </c>
      <c r="I11" s="11"/>
      <c r="J11" s="11"/>
      <c r="K11" s="9">
        <f t="shared" si="1"/>
        <v>305</v>
      </c>
      <c r="L11" s="9">
        <f>160+145</f>
        <v>305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VLOOKUP($B12,'2104'!$B12:$M26,11,0)</f>
        <v>388</v>
      </c>
      <c r="E12" s="14">
        <v>121</v>
      </c>
      <c r="F12" s="11"/>
      <c r="G12" s="11">
        <v>30</v>
      </c>
      <c r="H12" s="11">
        <v>40</v>
      </c>
      <c r="I12" s="11">
        <v>80</v>
      </c>
      <c r="J12" s="11"/>
      <c r="K12" s="9">
        <f t="shared" si="1"/>
        <v>359</v>
      </c>
      <c r="L12" s="9">
        <v>359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VLOOKUP($B13,'2104'!$B13:$M27,11,0)</f>
        <v>0</v>
      </c>
      <c r="E13" s="14">
        <v>227</v>
      </c>
      <c r="F13" s="11"/>
      <c r="G13" s="11"/>
      <c r="H13" s="11">
        <v>27</v>
      </c>
      <c r="I13" s="11"/>
      <c r="J13" s="11"/>
      <c r="K13" s="9">
        <f t="shared" si="1"/>
        <v>200</v>
      </c>
      <c r="L13" s="9">
        <v>200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VLOOKUP($B14,'2104'!$B14:$M28,11,0)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VLOOKUP($B15,'2104'!$B15:$M29,11,0)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VLOOKUP($B16,'2104'!$B16:$M30,11,0)</f>
        <v>0</v>
      </c>
      <c r="E16" s="14">
        <v>6</v>
      </c>
      <c r="F16" s="11"/>
      <c r="G16" s="11">
        <v>1</v>
      </c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VLOOKUP($B17,'2104'!$B17:$M31,11,0)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VLOOKUP($B18,'2104'!$B18:$M32,11,0)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VLOOKUP($B19,'2104'!$B19:$M33,11,0)</f>
        <v>6</v>
      </c>
      <c r="E19" s="14"/>
      <c r="F19" s="11"/>
      <c r="G19" s="11"/>
      <c r="H19" s="11"/>
      <c r="I19" s="11">
        <v>1</v>
      </c>
      <c r="J19" s="11"/>
      <c r="K19" s="9">
        <f t="shared" si="1"/>
        <v>5</v>
      </c>
      <c r="L19" s="9">
        <v>5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VLOOKUP($B20,'2104'!$B20:$M34,11,0)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VLOOKUP($B21,'2104'!$B21:$M35,11,0)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VLOOKUP($B22,'2104'!$B22:$M36,11,0)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798</v>
      </c>
      <c r="F24" s="9"/>
      <c r="G24" s="9"/>
      <c r="H24" s="9"/>
      <c r="I24" s="9"/>
      <c r="J24" s="9"/>
      <c r="K24" s="9">
        <f t="shared" si="3"/>
        <v>1225</v>
      </c>
      <c r="L24" s="9">
        <f t="shared" si="3"/>
        <v>1225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VLOOKUP($B26,'2104'!$B26:$M29,11,0)</f>
        <v>148</v>
      </c>
      <c r="E26" s="10">
        <f>77+156</f>
        <v>233</v>
      </c>
      <c r="F26" s="9">
        <v>130</v>
      </c>
      <c r="G26" s="11"/>
      <c r="H26" s="9"/>
      <c r="I26" s="9"/>
      <c r="J26" s="9"/>
      <c r="K26" s="9">
        <f t="shared" ref="K26" si="4">D26+E26-F26</f>
        <v>251</v>
      </c>
      <c r="L26" s="9">
        <v>251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VLOOKUP($B27,'2104'!$B27:$M30,11,0)</f>
        <v>128</v>
      </c>
      <c r="E27" s="9"/>
      <c r="F27" s="9">
        <v>25</v>
      </c>
      <c r="G27" s="11"/>
      <c r="H27" s="9"/>
      <c r="I27" s="9"/>
      <c r="J27" s="9"/>
      <c r="K27" s="9">
        <f>D27+E27-F27</f>
        <v>103</v>
      </c>
      <c r="L27" s="9">
        <v>103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VLOOKUP($B28,'2104'!$B28:$M31,11,0)</f>
        <v>366</v>
      </c>
      <c r="E28" s="9">
        <v>207</v>
      </c>
      <c r="F28" s="9">
        <v>162</v>
      </c>
      <c r="G28" s="11"/>
      <c r="H28" s="9"/>
      <c r="I28" s="9"/>
      <c r="J28" s="9"/>
      <c r="K28" s="9">
        <f>D28+E28-F28</f>
        <v>411</v>
      </c>
      <c r="L28" s="9">
        <v>411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VLOOKUP($B29,'2104'!$B29:$M32,11,0)</f>
        <v>185</v>
      </c>
      <c r="E29" s="9">
        <v>90</v>
      </c>
      <c r="F29" s="9">
        <v>87</v>
      </c>
      <c r="G29" s="11"/>
      <c r="H29" s="9"/>
      <c r="I29" s="9"/>
      <c r="J29" s="9"/>
      <c r="K29" s="9">
        <f>D29+E29-F29</f>
        <v>188</v>
      </c>
      <c r="L29" s="9">
        <v>188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DATE(2015,11,5)</f>
        <v>42313</v>
      </c>
      <c r="E5" s="293">
        <f>D5+1</f>
        <v>42314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00"/>
      <c r="M6" s="200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49</v>
      </c>
      <c r="H7" s="5" t="s">
        <v>77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'0511'!O8</f>
        <v>186</v>
      </c>
      <c r="E8" s="10">
        <f>105+103</f>
        <v>208</v>
      </c>
      <c r="F8" s="11">
        <v>76</v>
      </c>
      <c r="G8" s="11">
        <v>100</v>
      </c>
      <c r="H8" s="11"/>
      <c r="I8" s="11"/>
      <c r="J8" s="11"/>
      <c r="K8" s="11"/>
      <c r="L8" s="11"/>
      <c r="M8" s="11"/>
      <c r="N8" s="9">
        <f t="shared" ref="N8:N24" si="0">D8+E8-SUM(F8:M8)</f>
        <v>218</v>
      </c>
      <c r="O8" s="9">
        <f>10+E8</f>
        <v>218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'0511'!O9</f>
        <v>93</v>
      </c>
      <c r="E9" s="14"/>
      <c r="F9" s="11"/>
      <c r="G9" s="11">
        <v>93</v>
      </c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'0511'!O10</f>
        <v>150</v>
      </c>
      <c r="E10" s="10">
        <v>44</v>
      </c>
      <c r="F10" s="11">
        <v>10</v>
      </c>
      <c r="G10" s="11">
        <v>100</v>
      </c>
      <c r="H10" s="11">
        <v>20</v>
      </c>
      <c r="I10" s="11"/>
      <c r="J10" s="11"/>
      <c r="K10" s="11"/>
      <c r="L10" s="11"/>
      <c r="M10" s="11"/>
      <c r="N10" s="9">
        <f t="shared" si="0"/>
        <v>64</v>
      </c>
      <c r="O10" s="9">
        <f>20+E10</f>
        <v>64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'0511'!O11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'0511'!O12</f>
        <v>377</v>
      </c>
      <c r="E12" s="14">
        <v>134</v>
      </c>
      <c r="F12" s="11">
        <v>41</v>
      </c>
      <c r="G12" s="11">
        <v>100</v>
      </c>
      <c r="H12" s="11">
        <v>60</v>
      </c>
      <c r="I12" s="11"/>
      <c r="J12" s="11"/>
      <c r="K12" s="11"/>
      <c r="L12" s="11"/>
      <c r="M12" s="11"/>
      <c r="N12" s="9">
        <f t="shared" si="0"/>
        <v>310</v>
      </c>
      <c r="O12" s="9">
        <f>140+36+E12</f>
        <v>310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'0511'!O13</f>
        <v>235</v>
      </c>
      <c r="E13" s="14">
        <v>79</v>
      </c>
      <c r="F13" s="11"/>
      <c r="G13" s="11">
        <v>100</v>
      </c>
      <c r="H13" s="11">
        <v>30</v>
      </c>
      <c r="I13" s="11"/>
      <c r="J13" s="11"/>
      <c r="K13" s="11"/>
      <c r="L13" s="11"/>
      <c r="M13" s="11"/>
      <c r="N13" s="9">
        <f t="shared" si="0"/>
        <v>184</v>
      </c>
      <c r="O13" s="9">
        <f>98+7+E13</f>
        <v>184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'0511'!O14</f>
        <v>0</v>
      </c>
      <c r="E14" s="14">
        <v>1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'0511'!O15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'0511'!O16</f>
        <v>1</v>
      </c>
      <c r="E16" s="14">
        <v>2</v>
      </c>
      <c r="F16" s="11"/>
      <c r="G16" s="11">
        <v>1</v>
      </c>
      <c r="H16" s="11">
        <v>1</v>
      </c>
      <c r="I16" s="11"/>
      <c r="J16" s="11"/>
      <c r="K16" s="11"/>
      <c r="L16" s="11"/>
      <c r="M16" s="11"/>
      <c r="N16" s="9">
        <f t="shared" si="0"/>
        <v>1</v>
      </c>
      <c r="O16" s="9">
        <v>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'0511'!O17</f>
        <v>0</v>
      </c>
      <c r="E17" s="14">
        <v>1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'0511'!O18</f>
        <v>2</v>
      </c>
      <c r="E18" s="14"/>
      <c r="F18" s="11"/>
      <c r="G18" s="11"/>
      <c r="H18" s="11">
        <v>1</v>
      </c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'0511'!O19</f>
        <v>3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'0511'!O20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'0511'!O21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'0511'!O22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'0511'!O23</f>
        <v>72</v>
      </c>
      <c r="E23" s="14">
        <f>10+20</f>
        <v>30</v>
      </c>
      <c r="F23" s="9">
        <v>30</v>
      </c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'0511'!O24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'0511'!O26</f>
        <v>165</v>
      </c>
      <c r="E26" s="10">
        <v>140</v>
      </c>
      <c r="F26" s="9">
        <v>70</v>
      </c>
      <c r="G26" s="11"/>
      <c r="H26" s="9"/>
      <c r="I26" s="9"/>
      <c r="J26" s="9"/>
      <c r="K26" s="9"/>
      <c r="L26" s="9"/>
      <c r="M26" s="9"/>
      <c r="N26" s="9">
        <f>D26+E26-SUM(F26:M26)</f>
        <v>235</v>
      </c>
      <c r="O26" s="9">
        <v>235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'0511'!O27</f>
        <v>67</v>
      </c>
      <c r="E27" s="9">
        <v>66</v>
      </c>
      <c r="F27" s="9">
        <v>14</v>
      </c>
      <c r="G27" s="11"/>
      <c r="H27" s="9"/>
      <c r="I27" s="9"/>
      <c r="J27" s="9"/>
      <c r="K27" s="9"/>
      <c r="L27" s="9"/>
      <c r="M27" s="9"/>
      <c r="N27" s="9">
        <f>D27+E27-SUM(F27:M27)</f>
        <v>119</v>
      </c>
      <c r="O27" s="9">
        <v>119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'0511'!O28</f>
        <v>330</v>
      </c>
      <c r="E28" s="9">
        <v>75</v>
      </c>
      <c r="F28" s="9">
        <v>77</v>
      </c>
      <c r="G28" s="11"/>
      <c r="H28" s="9"/>
      <c r="I28" s="9"/>
      <c r="J28" s="9"/>
      <c r="K28" s="9"/>
      <c r="L28" s="9"/>
      <c r="M28" s="9"/>
      <c r="N28" s="9">
        <f>D28+E28-SUM(F28:M28)</f>
        <v>328</v>
      </c>
      <c r="O28" s="9">
        <v>328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'0511'!O29</f>
        <v>82</v>
      </c>
      <c r="E29" s="9">
        <v>88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115</v>
      </c>
      <c r="O29" s="9">
        <v>115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DATE(2015,11,6)</f>
        <v>42314</v>
      </c>
      <c r="E5" s="293">
        <f>D5+1</f>
        <v>42315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01"/>
      <c r="M6" s="201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81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'0611'!O8</f>
        <v>218</v>
      </c>
      <c r="E8" s="10">
        <f>95+95+48+90</f>
        <v>328</v>
      </c>
      <c r="F8" s="11">
        <v>72</v>
      </c>
      <c r="G8" s="11">
        <v>100</v>
      </c>
      <c r="H8" s="11"/>
      <c r="I8" s="11"/>
      <c r="J8" s="11"/>
      <c r="K8" s="11"/>
      <c r="L8" s="11"/>
      <c r="M8" s="11"/>
      <c r="N8" s="9">
        <f t="shared" ref="N8:N24" si="0">D8+E8-SUM(F8:M8)</f>
        <v>374</v>
      </c>
      <c r="O8" s="9">
        <f>46+E8</f>
        <v>374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'0611'!O9</f>
        <v>0</v>
      </c>
      <c r="E9" s="14">
        <f>112+42</f>
        <v>154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154</v>
      </c>
      <c r="O9" s="9">
        <f>E9</f>
        <v>154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'0611'!O10</f>
        <v>64</v>
      </c>
      <c r="E10" s="10">
        <v>90</v>
      </c>
      <c r="F10" s="11">
        <v>20</v>
      </c>
      <c r="G10" s="11">
        <v>30</v>
      </c>
      <c r="H10" s="11"/>
      <c r="I10" s="11"/>
      <c r="J10" s="11"/>
      <c r="K10" s="11"/>
      <c r="L10" s="11"/>
      <c r="M10" s="11"/>
      <c r="N10" s="9">
        <f t="shared" si="0"/>
        <v>104</v>
      </c>
      <c r="O10" s="9">
        <f>14+E10</f>
        <v>104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'0611'!O11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'0611'!O12</f>
        <v>310</v>
      </c>
      <c r="E12" s="14">
        <v>175</v>
      </c>
      <c r="F12" s="11">
        <v>20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435</v>
      </c>
      <c r="O12" s="9">
        <f>126+134+E12</f>
        <v>435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'0611'!O13</f>
        <v>184</v>
      </c>
      <c r="E13" s="14">
        <v>123</v>
      </c>
      <c r="F13" s="11">
        <v>29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248</v>
      </c>
      <c r="O13" s="9">
        <f>60+65+E13</f>
        <v>248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'0611'!O14</f>
        <v>1</v>
      </c>
      <c r="E14" s="14"/>
      <c r="F14" s="11"/>
      <c r="G14" s="11">
        <v>1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'0611'!O15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'0611'!O16</f>
        <v>1</v>
      </c>
      <c r="E16" s="14">
        <v>2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2</v>
      </c>
      <c r="O16" s="9">
        <v>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'0611'!O17</f>
        <v>1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'0611'!O18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'0611'!O19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'0611'!O20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'0611'!O21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'0611'!O22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'0611'!O23</f>
        <v>72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'0611'!O24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'0611'!O26</f>
        <v>235</v>
      </c>
      <c r="E26" s="10">
        <v>130</v>
      </c>
      <c r="F26" s="9">
        <v>80</v>
      </c>
      <c r="G26" s="11"/>
      <c r="H26" s="9"/>
      <c r="I26" s="9"/>
      <c r="J26" s="9"/>
      <c r="K26" s="9"/>
      <c r="L26" s="9"/>
      <c r="M26" s="9"/>
      <c r="N26" s="9">
        <f>D26+E26-SUM(F26:M26)</f>
        <v>285</v>
      </c>
      <c r="O26" s="9">
        <v>285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'0611'!O27</f>
        <v>119</v>
      </c>
      <c r="E27" s="9">
        <v>60</v>
      </c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163</v>
      </c>
      <c r="O27" s="9">
        <v>163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'0611'!O28</f>
        <v>328</v>
      </c>
      <c r="E28" s="9">
        <v>143</v>
      </c>
      <c r="F28" s="9">
        <v>128</v>
      </c>
      <c r="G28" s="11"/>
      <c r="H28" s="9"/>
      <c r="I28" s="9"/>
      <c r="J28" s="9"/>
      <c r="K28" s="9"/>
      <c r="L28" s="9"/>
      <c r="M28" s="9"/>
      <c r="N28" s="9">
        <f>D28+E28-SUM(F28:M28)</f>
        <v>343</v>
      </c>
      <c r="O28" s="9">
        <v>343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'0611'!O29</f>
        <v>115</v>
      </c>
      <c r="E29" s="9">
        <f>90+84</f>
        <v>174</v>
      </c>
      <c r="F29" s="9">
        <v>80</v>
      </c>
      <c r="G29" s="11"/>
      <c r="H29" s="9"/>
      <c r="I29" s="9"/>
      <c r="J29" s="9"/>
      <c r="K29" s="9"/>
      <c r="L29" s="9"/>
      <c r="M29" s="9"/>
      <c r="N29" s="9">
        <f>D29+E29-SUM(F29:M29)</f>
        <v>209</v>
      </c>
      <c r="O29" s="9">
        <v>209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DATE(2015,11,7)</f>
        <v>42315</v>
      </c>
      <c r="E5" s="293">
        <f>D5+1</f>
        <v>42316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02"/>
      <c r="M6" s="202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/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'0711'!O8</f>
        <v>374</v>
      </c>
      <c r="E8" s="10"/>
      <c r="F8" s="11">
        <v>80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294</v>
      </c>
      <c r="O8" s="9">
        <f>101+100+E8+93</f>
        <v>294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'0711'!O9</f>
        <v>154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154</v>
      </c>
      <c r="O9" s="9">
        <f>140+10</f>
        <v>150</v>
      </c>
      <c r="P9" s="9">
        <f t="shared" si="1"/>
        <v>-4</v>
      </c>
    </row>
    <row r="10" spans="1:16" ht="18.75">
      <c r="A10" s="6">
        <v>3</v>
      </c>
      <c r="B10" s="12" t="s">
        <v>15</v>
      </c>
      <c r="C10" s="8" t="s">
        <v>13</v>
      </c>
      <c r="D10" s="9">
        <f>'0711'!O10</f>
        <v>104</v>
      </c>
      <c r="E10" s="10">
        <v>165</v>
      </c>
      <c r="F10" s="11">
        <v>5</v>
      </c>
      <c r="G10" s="11"/>
      <c r="H10" s="11"/>
      <c r="I10" s="11"/>
      <c r="J10" s="11"/>
      <c r="K10" s="11"/>
      <c r="L10" s="11"/>
      <c r="M10" s="11"/>
      <c r="N10" s="9">
        <f t="shared" si="0"/>
        <v>264</v>
      </c>
      <c r="O10" s="9">
        <f>14+85+E10</f>
        <v>264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'0711'!O11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'0711'!O12</f>
        <v>435</v>
      </c>
      <c r="E12" s="14"/>
      <c r="F12" s="11">
        <v>21</v>
      </c>
      <c r="G12" s="11"/>
      <c r="H12" s="11"/>
      <c r="I12" s="11"/>
      <c r="J12" s="11"/>
      <c r="K12" s="11"/>
      <c r="L12" s="11"/>
      <c r="M12" s="11"/>
      <c r="N12" s="9">
        <f t="shared" si="0"/>
        <v>414</v>
      </c>
      <c r="O12" s="9">
        <f>106+134+164+10+E12</f>
        <v>414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'0711'!O13</f>
        <v>248</v>
      </c>
      <c r="E13" s="14"/>
      <c r="F13" s="11">
        <v>21</v>
      </c>
      <c r="G13" s="11"/>
      <c r="H13" s="11"/>
      <c r="I13" s="11"/>
      <c r="J13" s="11"/>
      <c r="K13" s="11"/>
      <c r="L13" s="11"/>
      <c r="M13" s="11"/>
      <c r="N13" s="9">
        <f t="shared" si="0"/>
        <v>227</v>
      </c>
      <c r="O13" s="9">
        <f>65+123+39+E13</f>
        <v>227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'0711'!O14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'0711'!O15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'0711'!O16</f>
        <v>2</v>
      </c>
      <c r="E16" s="14">
        <v>4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'0711'!O17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'0711'!O18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'0711'!O19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'0711'!O20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'0711'!O21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'0711'!O22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'0711'!O23</f>
        <v>72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'0711'!O24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'0711'!O26</f>
        <v>285</v>
      </c>
      <c r="E26" s="10">
        <v>64</v>
      </c>
      <c r="F26" s="9">
        <v>116</v>
      </c>
      <c r="G26" s="11"/>
      <c r="H26" s="9"/>
      <c r="I26" s="9"/>
      <c r="J26" s="9"/>
      <c r="K26" s="9"/>
      <c r="L26" s="9"/>
      <c r="M26" s="9"/>
      <c r="N26" s="9">
        <f>D26+E26-SUM(F26:M26)</f>
        <v>233</v>
      </c>
      <c r="O26" s="9">
        <v>233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'0711'!O27</f>
        <v>163</v>
      </c>
      <c r="E27" s="9"/>
      <c r="F27" s="9">
        <v>14</v>
      </c>
      <c r="G27" s="11"/>
      <c r="H27" s="9"/>
      <c r="I27" s="9"/>
      <c r="J27" s="9"/>
      <c r="K27" s="9"/>
      <c r="L27" s="9"/>
      <c r="M27" s="9"/>
      <c r="N27" s="9">
        <f>D27+E27-SUM(F27:M27)</f>
        <v>149</v>
      </c>
      <c r="O27" s="9">
        <v>149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'0711'!O28</f>
        <v>343</v>
      </c>
      <c r="E28" s="9">
        <v>220</v>
      </c>
      <c r="F28" s="9">
        <v>191</v>
      </c>
      <c r="G28" s="11"/>
      <c r="H28" s="9"/>
      <c r="I28" s="9"/>
      <c r="J28" s="9"/>
      <c r="K28" s="9"/>
      <c r="L28" s="9"/>
      <c r="M28" s="9"/>
      <c r="N28" s="9">
        <f>D28+E28-SUM(F28:M28)</f>
        <v>372</v>
      </c>
      <c r="O28" s="9">
        <v>372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'0711'!O29</f>
        <v>209</v>
      </c>
      <c r="E29" s="9"/>
      <c r="F29" s="9">
        <v>90</v>
      </c>
      <c r="G29" s="11"/>
      <c r="H29" s="9"/>
      <c r="I29" s="9"/>
      <c r="J29" s="9"/>
      <c r="K29" s="9"/>
      <c r="L29" s="9"/>
      <c r="M29" s="9"/>
      <c r="N29" s="9">
        <f>D29+E29-SUM(F29:M29)</f>
        <v>119</v>
      </c>
      <c r="O29" s="9">
        <v>119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DATE(2015,11,8)</f>
        <v>42316</v>
      </c>
      <c r="E5" s="293">
        <f>D5+1</f>
        <v>42317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02"/>
      <c r="M6" s="202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82</v>
      </c>
      <c r="H7" s="5" t="s">
        <v>52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'0811'!O8</f>
        <v>294</v>
      </c>
      <c r="E8" s="10">
        <f>107+95+37</f>
        <v>239</v>
      </c>
      <c r="F8" s="11">
        <v>93</v>
      </c>
      <c r="G8" s="11">
        <v>41</v>
      </c>
      <c r="H8" s="11">
        <v>100</v>
      </c>
      <c r="I8" s="11"/>
      <c r="J8" s="11"/>
      <c r="K8" s="11"/>
      <c r="L8" s="11"/>
      <c r="M8" s="11"/>
      <c r="N8" s="9">
        <f t="shared" ref="N8:N24" si="0">D8+E8-SUM(F8:M8)</f>
        <v>299</v>
      </c>
      <c r="O8" s="9">
        <f>60+E8</f>
        <v>299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'0811'!O9</f>
        <v>150</v>
      </c>
      <c r="E9" s="14"/>
      <c r="F9" s="11"/>
      <c r="G9" s="11">
        <v>40</v>
      </c>
      <c r="H9" s="11"/>
      <c r="I9" s="11"/>
      <c r="J9" s="11"/>
      <c r="K9" s="11"/>
      <c r="L9" s="11"/>
      <c r="M9" s="11"/>
      <c r="N9" s="9">
        <f t="shared" si="0"/>
        <v>110</v>
      </c>
      <c r="O9" s="9">
        <f>110</f>
        <v>110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'0811'!O10</f>
        <v>264</v>
      </c>
      <c r="E10" s="10">
        <v>122</v>
      </c>
      <c r="F10" s="11">
        <v>15</v>
      </c>
      <c r="G10" s="11">
        <v>30</v>
      </c>
      <c r="H10" s="11"/>
      <c r="I10" s="11"/>
      <c r="J10" s="11"/>
      <c r="K10" s="11"/>
      <c r="L10" s="11"/>
      <c r="M10" s="11"/>
      <c r="N10" s="9">
        <f t="shared" si="0"/>
        <v>341</v>
      </c>
      <c r="O10" s="9">
        <f>74+145+E10</f>
        <v>341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'0811'!O11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'0811'!O12</f>
        <v>414</v>
      </c>
      <c r="E12" s="14"/>
      <c r="F12" s="11">
        <v>26</v>
      </c>
      <c r="G12" s="11">
        <v>40</v>
      </c>
      <c r="H12" s="11"/>
      <c r="I12" s="11"/>
      <c r="J12" s="11"/>
      <c r="K12" s="11"/>
      <c r="L12" s="11"/>
      <c r="M12" s="11"/>
      <c r="N12" s="9">
        <f t="shared" si="0"/>
        <v>348</v>
      </c>
      <c r="O12" s="9">
        <f>134+40+174+E12</f>
        <v>348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'0811'!O13</f>
        <v>227</v>
      </c>
      <c r="E13" s="14">
        <v>111</v>
      </c>
      <c r="F13" s="11">
        <v>9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299</v>
      </c>
      <c r="O13" s="9">
        <f>65+123+E13</f>
        <v>299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'0811'!O14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'0811'!O15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'0811'!O16</f>
        <v>5</v>
      </c>
      <c r="E16" s="14">
        <v>2</v>
      </c>
      <c r="F16" s="11">
        <v>1</v>
      </c>
      <c r="G16" s="11">
        <v>2</v>
      </c>
      <c r="H16" s="11"/>
      <c r="I16" s="11"/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'0811'!O17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'0811'!O18</f>
        <v>1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'0811'!O19</f>
        <v>2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'0811'!O20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'0811'!O21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'0811'!O22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'0811'!O23</f>
        <v>72</v>
      </c>
      <c r="E23" s="14">
        <v>20</v>
      </c>
      <c r="F23" s="9">
        <f>20-12</f>
        <v>8</v>
      </c>
      <c r="G23" s="9"/>
      <c r="H23" s="9"/>
      <c r="I23" s="9"/>
      <c r="J23" s="9"/>
      <c r="K23" s="9"/>
      <c r="L23" s="9"/>
      <c r="M23" s="9"/>
      <c r="N23" s="9">
        <f t="shared" si="0"/>
        <v>84</v>
      </c>
      <c r="O23" s="9">
        <f>72+12</f>
        <v>84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'0811'!O24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'0811'!O26</f>
        <v>233</v>
      </c>
      <c r="E26" s="10">
        <v>64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207</v>
      </c>
      <c r="O26" s="9">
        <v>207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'0811'!O27</f>
        <v>149</v>
      </c>
      <c r="E27" s="9"/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134</v>
      </c>
      <c r="O27" s="9">
        <v>134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'0811'!O28</f>
        <v>372</v>
      </c>
      <c r="E28" s="9">
        <v>73</v>
      </c>
      <c r="F28" s="9">
        <v>126</v>
      </c>
      <c r="G28" s="11"/>
      <c r="H28" s="9"/>
      <c r="I28" s="9"/>
      <c r="J28" s="9"/>
      <c r="K28" s="9"/>
      <c r="L28" s="9"/>
      <c r="M28" s="9"/>
      <c r="N28" s="9">
        <f>D28+E28-SUM(F28:M28)</f>
        <v>319</v>
      </c>
      <c r="O28" s="9">
        <v>319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'0811'!O29</f>
        <v>119</v>
      </c>
      <c r="E29" s="9">
        <v>80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134</v>
      </c>
      <c r="O29" s="9">
        <v>134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DATE(2015,11,9)</f>
        <v>42317</v>
      </c>
      <c r="E5" s="293">
        <f>D5+1</f>
        <v>42318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/>
      <c r="F6" s="299" t="s">
        <v>7</v>
      </c>
      <c r="G6" s="300"/>
      <c r="H6" s="300"/>
      <c r="I6" s="300"/>
      <c r="J6" s="300"/>
      <c r="K6" s="301"/>
      <c r="L6" s="203"/>
      <c r="M6" s="203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80</v>
      </c>
      <c r="H7" s="5" t="s">
        <v>62</v>
      </c>
      <c r="I7" s="5" t="s">
        <v>71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'0911'!O8</f>
        <v>299</v>
      </c>
      <c r="E8" s="10">
        <f>95+87</f>
        <v>182</v>
      </c>
      <c r="F8" s="11">
        <v>80</v>
      </c>
      <c r="G8" s="11">
        <v>40</v>
      </c>
      <c r="H8" s="11">
        <v>30</v>
      </c>
      <c r="I8" s="11"/>
      <c r="J8" s="11"/>
      <c r="K8" s="11"/>
      <c r="L8" s="11"/>
      <c r="M8" s="11"/>
      <c r="N8" s="9">
        <f t="shared" ref="N8:N24" si="0">D8+E8-SUM(F8:M8)</f>
        <v>331</v>
      </c>
      <c r="O8" s="9">
        <f>68+E8+81</f>
        <v>331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'0911'!O9</f>
        <v>110</v>
      </c>
      <c r="E9" s="14">
        <f>90+85+45</f>
        <v>220</v>
      </c>
      <c r="F9" s="11"/>
      <c r="G9" s="11">
        <v>70</v>
      </c>
      <c r="H9" s="11">
        <v>30</v>
      </c>
      <c r="I9" s="11"/>
      <c r="J9" s="11"/>
      <c r="K9" s="11"/>
      <c r="L9" s="11"/>
      <c r="M9" s="11"/>
      <c r="N9" s="9">
        <f t="shared" si="0"/>
        <v>230</v>
      </c>
      <c r="O9" s="9">
        <f>10+E9</f>
        <v>230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'0911'!O10</f>
        <v>341</v>
      </c>
      <c r="E10" s="10"/>
      <c r="F10" s="11">
        <v>10</v>
      </c>
      <c r="G10" s="11">
        <v>80</v>
      </c>
      <c r="H10" s="11">
        <v>40</v>
      </c>
      <c r="I10" s="11"/>
      <c r="J10" s="11"/>
      <c r="K10" s="11"/>
      <c r="L10" s="11"/>
      <c r="M10" s="11"/>
      <c r="N10" s="9">
        <f t="shared" si="0"/>
        <v>211</v>
      </c>
      <c r="O10" s="9">
        <f>135+76+E10</f>
        <v>211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'0911'!O11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'0911'!O12</f>
        <v>348</v>
      </c>
      <c r="E12" s="14">
        <v>171</v>
      </c>
      <c r="F12" s="11">
        <v>20</v>
      </c>
      <c r="G12" s="11">
        <v>100</v>
      </c>
      <c r="H12" s="11">
        <v>30</v>
      </c>
      <c r="I12" s="11"/>
      <c r="J12" s="11"/>
      <c r="K12" s="11"/>
      <c r="L12" s="11"/>
      <c r="M12" s="11"/>
      <c r="N12" s="9">
        <f t="shared" si="0"/>
        <v>369</v>
      </c>
      <c r="O12" s="9">
        <f>174+E12+24</f>
        <v>369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'0911'!O13</f>
        <v>299</v>
      </c>
      <c r="E13" s="14">
        <v>154</v>
      </c>
      <c r="F13" s="11">
        <v>21</v>
      </c>
      <c r="G13" s="11">
        <v>50</v>
      </c>
      <c r="H13" s="11">
        <v>28</v>
      </c>
      <c r="I13" s="11"/>
      <c r="J13" s="11"/>
      <c r="K13" s="11"/>
      <c r="L13" s="11"/>
      <c r="M13" s="11"/>
      <c r="N13" s="9">
        <f t="shared" si="0"/>
        <v>354</v>
      </c>
      <c r="O13" s="9">
        <f>110+90+E13</f>
        <v>354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'0911'!O14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'0911'!O15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'0911'!O16</f>
        <v>4</v>
      </c>
      <c r="E16" s="14">
        <v>6</v>
      </c>
      <c r="F16" s="11"/>
      <c r="G16" s="11">
        <v>2</v>
      </c>
      <c r="H16" s="11">
        <v>2</v>
      </c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'0911'!O17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'0911'!O18</f>
        <v>3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'0911'!O19</f>
        <v>4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'0911'!O20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'0911'!O21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'0911'!O22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'0911'!O23</f>
        <v>84</v>
      </c>
      <c r="E23" s="14"/>
      <c r="F23" s="9"/>
      <c r="G23" s="9"/>
      <c r="H23" s="9"/>
      <c r="I23" s="9">
        <v>72</v>
      </c>
      <c r="J23" s="9"/>
      <c r="K23" s="9"/>
      <c r="L23" s="9"/>
      <c r="M23" s="9"/>
      <c r="N23" s="9">
        <f t="shared" si="0"/>
        <v>12</v>
      </c>
      <c r="O23" s="9">
        <v>12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'0911'!O24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'0911'!O26</f>
        <v>207</v>
      </c>
      <c r="E26" s="10">
        <v>130</v>
      </c>
      <c r="F26" s="9">
        <v>140</v>
      </c>
      <c r="G26" s="11"/>
      <c r="H26" s="9"/>
      <c r="I26" s="9"/>
      <c r="J26" s="9"/>
      <c r="K26" s="9"/>
      <c r="L26" s="9"/>
      <c r="M26" s="9"/>
      <c r="N26" s="9">
        <f>D26+E26-SUM(F26:M26)</f>
        <v>197</v>
      </c>
      <c r="O26" s="9">
        <v>197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'0911'!O27</f>
        <v>134</v>
      </c>
      <c r="E27" s="9"/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119</v>
      </c>
      <c r="O27" s="9">
        <v>119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'0911'!O28</f>
        <v>319</v>
      </c>
      <c r="E28" s="9">
        <v>156</v>
      </c>
      <c r="F28" s="9">
        <v>196</v>
      </c>
      <c r="G28" s="11"/>
      <c r="H28" s="9"/>
      <c r="I28" s="9"/>
      <c r="J28" s="9"/>
      <c r="K28" s="9"/>
      <c r="L28" s="9"/>
      <c r="M28" s="9"/>
      <c r="N28" s="9">
        <f>D28+E28-SUM(F28:M28)</f>
        <v>279</v>
      </c>
      <c r="O28" s="9">
        <v>279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'0911'!O29</f>
        <v>134</v>
      </c>
      <c r="E29" s="9">
        <v>80</v>
      </c>
      <c r="F29" s="9">
        <v>80</v>
      </c>
      <c r="G29" s="11"/>
      <c r="H29" s="9"/>
      <c r="I29" s="9"/>
      <c r="J29" s="9"/>
      <c r="K29" s="9"/>
      <c r="L29" s="9"/>
      <c r="M29" s="9"/>
      <c r="N29" s="9">
        <f>D29+E29-SUM(F29:M29)</f>
        <v>134</v>
      </c>
      <c r="O29" s="9">
        <v>134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9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DATE(2015,11,10)</f>
        <v>42318</v>
      </c>
      <c r="E5" s="293">
        <f>D5+1</f>
        <v>42319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04"/>
      <c r="M6" s="204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39</v>
      </c>
      <c r="H7" s="5" t="s">
        <v>40</v>
      </c>
      <c r="I7" s="5" t="s">
        <v>38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'1011'!O8</f>
        <v>331</v>
      </c>
      <c r="E8" s="10">
        <f>104+95+85</f>
        <v>284</v>
      </c>
      <c r="F8" s="11">
        <v>81</v>
      </c>
      <c r="G8" s="11">
        <v>30</v>
      </c>
      <c r="H8" s="11">
        <v>30</v>
      </c>
      <c r="I8" s="11">
        <v>40</v>
      </c>
      <c r="J8" s="11"/>
      <c r="K8" s="11"/>
      <c r="L8" s="11"/>
      <c r="M8" s="11"/>
      <c r="N8" s="9">
        <f t="shared" ref="N8:N24" si="0">D8+E8-SUM(F8:M8)</f>
        <v>434</v>
      </c>
      <c r="O8" s="9">
        <f>30+120+E8</f>
        <v>434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'1011'!O9</f>
        <v>230</v>
      </c>
      <c r="E9" s="14"/>
      <c r="F9" s="11"/>
      <c r="G9" s="11">
        <v>30</v>
      </c>
      <c r="H9" s="11">
        <v>30</v>
      </c>
      <c r="I9" s="11">
        <v>40</v>
      </c>
      <c r="J9" s="11"/>
      <c r="K9" s="11"/>
      <c r="L9" s="11"/>
      <c r="M9" s="11"/>
      <c r="N9" s="9">
        <f t="shared" si="0"/>
        <v>130</v>
      </c>
      <c r="O9" s="9">
        <v>130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'1011'!O10</f>
        <v>211</v>
      </c>
      <c r="E10" s="10">
        <v>210</v>
      </c>
      <c r="F10" s="11">
        <v>6</v>
      </c>
      <c r="G10" s="11">
        <v>50</v>
      </c>
      <c r="H10" s="11">
        <v>40</v>
      </c>
      <c r="I10" s="11">
        <v>40</v>
      </c>
      <c r="J10" s="11"/>
      <c r="K10" s="11"/>
      <c r="L10" s="11"/>
      <c r="M10" s="11"/>
      <c r="N10" s="9">
        <f t="shared" si="0"/>
        <v>285</v>
      </c>
      <c r="O10" s="9">
        <f>75+E10</f>
        <v>285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'1011'!O11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'1011'!O12</f>
        <v>369</v>
      </c>
      <c r="E12" s="14">
        <f>130+126</f>
        <v>256</v>
      </c>
      <c r="F12" s="11">
        <v>10</v>
      </c>
      <c r="G12" s="11">
        <v>40</v>
      </c>
      <c r="H12" s="11">
        <v>60</v>
      </c>
      <c r="I12" s="11">
        <v>40</v>
      </c>
      <c r="J12" s="11"/>
      <c r="K12" s="11"/>
      <c r="L12" s="11"/>
      <c r="M12" s="11"/>
      <c r="N12" s="9">
        <f t="shared" si="0"/>
        <v>475</v>
      </c>
      <c r="O12" s="9">
        <f>44+175+E12</f>
        <v>475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'1011'!O13</f>
        <v>354</v>
      </c>
      <c r="E13" s="14"/>
      <c r="F13" s="11">
        <v>15</v>
      </c>
      <c r="G13" s="11">
        <v>40</v>
      </c>
      <c r="H13" s="11">
        <v>40</v>
      </c>
      <c r="I13" s="11">
        <v>40</v>
      </c>
      <c r="J13" s="11"/>
      <c r="K13" s="11"/>
      <c r="L13" s="11"/>
      <c r="M13" s="11"/>
      <c r="N13" s="9">
        <f t="shared" si="0"/>
        <v>219</v>
      </c>
      <c r="O13" s="9">
        <f>70+139+10+E13</f>
        <v>219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'1011'!O14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'1011'!O15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'1011'!O16</f>
        <v>6</v>
      </c>
      <c r="E16" s="14">
        <v>3</v>
      </c>
      <c r="F16" s="11">
        <v>1</v>
      </c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'1011'!O17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'1011'!O18</f>
        <v>2</v>
      </c>
      <c r="E18" s="14">
        <v>1</v>
      </c>
      <c r="F18" s="11"/>
      <c r="G18" s="11">
        <v>1</v>
      </c>
      <c r="H18" s="11">
        <v>1</v>
      </c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'1011'!O19</f>
        <v>3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'1011'!O20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'1011'!O21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'1011'!O22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'1011'!O23</f>
        <v>12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12</v>
      </c>
      <c r="O23" s="9">
        <v>12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'1011'!O24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'1011'!O26</f>
        <v>197</v>
      </c>
      <c r="E26" s="10">
        <v>135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232</v>
      </c>
      <c r="O26" s="9">
        <v>232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'1011'!O27</f>
        <v>119</v>
      </c>
      <c r="E27" s="9"/>
      <c r="F27" s="9">
        <v>18</v>
      </c>
      <c r="G27" s="11"/>
      <c r="H27" s="9"/>
      <c r="I27" s="9"/>
      <c r="J27" s="9"/>
      <c r="K27" s="9"/>
      <c r="L27" s="9"/>
      <c r="M27" s="9"/>
      <c r="N27" s="9">
        <f>D27+E27-SUM(F27:M27)</f>
        <v>101</v>
      </c>
      <c r="O27" s="9">
        <v>101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'1011'!O28</f>
        <v>279</v>
      </c>
      <c r="E28" s="207">
        <v>88</v>
      </c>
      <c r="F28" s="9">
        <v>149</v>
      </c>
      <c r="G28" s="11"/>
      <c r="H28" s="9"/>
      <c r="I28" s="9"/>
      <c r="J28" s="9"/>
      <c r="K28" s="9"/>
      <c r="L28" s="9"/>
      <c r="M28" s="9"/>
      <c r="N28" s="9">
        <f>D28+E28-SUM(F28:M28)</f>
        <v>218</v>
      </c>
      <c r="O28" s="9">
        <v>218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'1011'!O29</f>
        <v>134</v>
      </c>
      <c r="E29" s="9">
        <v>83</v>
      </c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147</v>
      </c>
      <c r="O29" s="9">
        <v>147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DATE(2015,11,11)</f>
        <v>42319</v>
      </c>
      <c r="E5" s="293">
        <f>D5+1</f>
        <v>42320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05"/>
      <c r="M6" s="205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48</v>
      </c>
      <c r="H7" s="5" t="s">
        <v>52</v>
      </c>
      <c r="I7" s="5" t="s">
        <v>71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'1111'!O8</f>
        <v>434</v>
      </c>
      <c r="E8" s="10">
        <f>76+95+95</f>
        <v>266</v>
      </c>
      <c r="F8" s="11">
        <v>82</v>
      </c>
      <c r="G8" s="11"/>
      <c r="H8" s="11">
        <v>314</v>
      </c>
      <c r="I8" s="11"/>
      <c r="J8" s="11"/>
      <c r="K8" s="11"/>
      <c r="L8" s="11"/>
      <c r="M8" s="11"/>
      <c r="N8" s="9">
        <f t="shared" ref="N8:N24" si="0">D8+E8-SUM(F8:M8)</f>
        <v>304</v>
      </c>
      <c r="O8" s="9">
        <f>38+E8</f>
        <v>304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'1111'!O9</f>
        <v>130</v>
      </c>
      <c r="E9" s="14">
        <f>62+90</f>
        <v>152</v>
      </c>
      <c r="F9" s="11"/>
      <c r="G9" s="11"/>
      <c r="H9" s="11">
        <v>130</v>
      </c>
      <c r="I9" s="11"/>
      <c r="J9" s="11"/>
      <c r="K9" s="11"/>
      <c r="L9" s="11"/>
      <c r="M9" s="11"/>
      <c r="N9" s="9">
        <f t="shared" si="0"/>
        <v>152</v>
      </c>
      <c r="O9" s="9">
        <f>E9</f>
        <v>152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'1111'!O10</f>
        <v>285</v>
      </c>
      <c r="E10" s="10"/>
      <c r="F10" s="11">
        <v>20</v>
      </c>
      <c r="G10" s="11"/>
      <c r="H10" s="11">
        <v>100</v>
      </c>
      <c r="I10" s="11"/>
      <c r="J10" s="11"/>
      <c r="K10" s="11"/>
      <c r="L10" s="11"/>
      <c r="M10" s="11"/>
      <c r="N10" s="9">
        <f t="shared" si="0"/>
        <v>165</v>
      </c>
      <c r="O10" s="9">
        <f>165+E10</f>
        <v>165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'1111'!O11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'1111'!O12</f>
        <v>475</v>
      </c>
      <c r="E12" s="14">
        <v>85</v>
      </c>
      <c r="F12" s="11">
        <v>6</v>
      </c>
      <c r="G12" s="11"/>
      <c r="H12" s="11">
        <v>304</v>
      </c>
      <c r="I12" s="11"/>
      <c r="J12" s="11"/>
      <c r="K12" s="11"/>
      <c r="L12" s="11"/>
      <c r="M12" s="11"/>
      <c r="N12" s="9">
        <f t="shared" si="0"/>
        <v>250</v>
      </c>
      <c r="O12" s="9">
        <f>165+E12</f>
        <v>250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'1111'!O13</f>
        <v>219</v>
      </c>
      <c r="E13" s="14">
        <f>77+78</f>
        <v>155</v>
      </c>
      <c r="F13" s="11">
        <v>25</v>
      </c>
      <c r="G13" s="11"/>
      <c r="H13" s="11">
        <v>144</v>
      </c>
      <c r="I13" s="11"/>
      <c r="J13" s="11"/>
      <c r="K13" s="11"/>
      <c r="L13" s="11"/>
      <c r="M13" s="11"/>
      <c r="N13" s="9">
        <f t="shared" si="0"/>
        <v>205</v>
      </c>
      <c r="O13" s="9">
        <f>50+E13</f>
        <v>205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'1111'!O14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'1111'!O15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'1111'!O16</f>
        <v>5</v>
      </c>
      <c r="E16" s="14">
        <v>6</v>
      </c>
      <c r="F16" s="11"/>
      <c r="G16" s="11">
        <v>2</v>
      </c>
      <c r="H16" s="11">
        <v>3</v>
      </c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'1111'!O17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'1111'!O18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'1111'!O19</f>
        <v>2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'1111'!O20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'1111'!O21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'1111'!O22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'1111'!O23</f>
        <v>12</v>
      </c>
      <c r="E23" s="14">
        <f>48</f>
        <v>48</v>
      </c>
      <c r="F23" s="9">
        <v>12</v>
      </c>
      <c r="G23" s="9"/>
      <c r="H23" s="9"/>
      <c r="I23" s="9">
        <v>12</v>
      </c>
      <c r="J23" s="9"/>
      <c r="K23" s="9"/>
      <c r="L23" s="9"/>
      <c r="M23" s="9"/>
      <c r="N23" s="9">
        <f t="shared" si="0"/>
        <v>36</v>
      </c>
      <c r="O23" s="9">
        <v>36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'1111'!O24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'1111'!O26</f>
        <v>232</v>
      </c>
      <c r="E26" s="10">
        <v>134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246</v>
      </c>
      <c r="O26" s="9">
        <v>246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'1111'!O27</f>
        <v>101</v>
      </c>
      <c r="E27" s="9"/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85</v>
      </c>
      <c r="O27" s="9">
        <v>85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'1111'!O28</f>
        <v>218</v>
      </c>
      <c r="E28" s="9">
        <f>99+80</f>
        <v>179</v>
      </c>
      <c r="F28" s="9">
        <v>155</v>
      </c>
      <c r="G28" s="11"/>
      <c r="H28" s="9"/>
      <c r="I28" s="9"/>
      <c r="J28" s="9"/>
      <c r="K28" s="9"/>
      <c r="L28" s="9"/>
      <c r="M28" s="9"/>
      <c r="N28" s="9">
        <f>D28+E28-SUM(F28:M28)</f>
        <v>242</v>
      </c>
      <c r="O28" s="9">
        <v>242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'1111'!O29</f>
        <v>147</v>
      </c>
      <c r="E29" s="9">
        <v>51</v>
      </c>
      <c r="F29" s="9">
        <v>60</v>
      </c>
      <c r="G29" s="11"/>
      <c r="H29" s="9"/>
      <c r="I29" s="9"/>
      <c r="J29" s="9"/>
      <c r="K29" s="9"/>
      <c r="L29" s="9"/>
      <c r="M29" s="9"/>
      <c r="N29" s="9">
        <f>D29+E29-SUM(F29:M29)</f>
        <v>138</v>
      </c>
      <c r="O29" s="9">
        <v>138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DATE(2015,11,12)</f>
        <v>42320</v>
      </c>
      <c r="E5" s="293">
        <f>D5+1</f>
        <v>42321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06"/>
      <c r="M6" s="206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49</v>
      </c>
      <c r="H7" s="5" t="s">
        <v>77</v>
      </c>
      <c r="I7" s="5" t="s">
        <v>70</v>
      </c>
      <c r="J7" s="5" t="s">
        <v>71</v>
      </c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'1211'!O8</f>
        <v>304</v>
      </c>
      <c r="E8" s="10">
        <f>104+64</f>
        <v>168</v>
      </c>
      <c r="F8" s="11">
        <v>91</v>
      </c>
      <c r="G8" s="11">
        <v>100</v>
      </c>
      <c r="H8" s="11">
        <v>10</v>
      </c>
      <c r="I8" s="11"/>
      <c r="J8" s="11"/>
      <c r="K8" s="11"/>
      <c r="L8" s="11"/>
      <c r="M8" s="11"/>
      <c r="N8" s="9">
        <f t="shared" ref="N8:N24" si="0">D8+E8-SUM(F8:M8)</f>
        <v>271</v>
      </c>
      <c r="O8" s="9">
        <f>103+E8</f>
        <v>271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'1211'!O9</f>
        <v>152</v>
      </c>
      <c r="E9" s="14"/>
      <c r="F9" s="11"/>
      <c r="G9" s="11">
        <v>92</v>
      </c>
      <c r="H9" s="11">
        <v>30</v>
      </c>
      <c r="I9" s="11"/>
      <c r="J9" s="11"/>
      <c r="K9" s="11"/>
      <c r="L9" s="11"/>
      <c r="M9" s="11"/>
      <c r="N9" s="9">
        <f t="shared" si="0"/>
        <v>30</v>
      </c>
      <c r="O9" s="9">
        <v>30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'1211'!O10</f>
        <v>165</v>
      </c>
      <c r="E10" s="10">
        <v>123</v>
      </c>
      <c r="F10" s="11">
        <v>10</v>
      </c>
      <c r="G10" s="11">
        <v>120</v>
      </c>
      <c r="H10" s="11">
        <v>30</v>
      </c>
      <c r="I10" s="11"/>
      <c r="J10" s="11"/>
      <c r="K10" s="11"/>
      <c r="L10" s="11"/>
      <c r="M10" s="11"/>
      <c r="N10" s="9">
        <f t="shared" si="0"/>
        <v>128</v>
      </c>
      <c r="O10" s="9">
        <f>5+E10</f>
        <v>128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'1211'!O11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'1211'!O12</f>
        <v>250</v>
      </c>
      <c r="E12" s="14">
        <v>125</v>
      </c>
      <c r="F12" s="11">
        <v>26</v>
      </c>
      <c r="G12" s="11">
        <v>120</v>
      </c>
      <c r="H12" s="11">
        <v>100</v>
      </c>
      <c r="I12" s="11"/>
      <c r="J12" s="11"/>
      <c r="K12" s="11"/>
      <c r="L12" s="11"/>
      <c r="M12" s="11"/>
      <c r="N12" s="9">
        <f t="shared" si="0"/>
        <v>129</v>
      </c>
      <c r="O12" s="9">
        <f>4+E12</f>
        <v>129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'1211'!O13</f>
        <v>205</v>
      </c>
      <c r="E13" s="14"/>
      <c r="F13" s="11">
        <v>26</v>
      </c>
      <c r="G13" s="11">
        <v>124</v>
      </c>
      <c r="H13" s="11">
        <v>30</v>
      </c>
      <c r="I13" s="11"/>
      <c r="J13" s="11"/>
      <c r="K13" s="11"/>
      <c r="L13" s="11"/>
      <c r="M13" s="11"/>
      <c r="N13" s="9">
        <f t="shared" si="0"/>
        <v>25</v>
      </c>
      <c r="O13" s="9">
        <f>25+E13</f>
        <v>25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'1211'!O14</f>
        <v>0</v>
      </c>
      <c r="E14" s="14">
        <v>1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'1211'!O15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'1211'!O16</f>
        <v>6</v>
      </c>
      <c r="E16" s="14">
        <v>2</v>
      </c>
      <c r="F16" s="11"/>
      <c r="G16" s="11">
        <v>2</v>
      </c>
      <c r="H16" s="11">
        <v>1</v>
      </c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'1211'!O17</f>
        <v>0</v>
      </c>
      <c r="E17" s="14">
        <v>1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'1211'!O18</f>
        <v>1</v>
      </c>
      <c r="E18" s="14"/>
      <c r="F18" s="11"/>
      <c r="G18" s="11"/>
      <c r="H18" s="11"/>
      <c r="I18" s="11">
        <v>1</v>
      </c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'1211'!O19</f>
        <v>1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'1211'!O20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'1211'!O21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'1211'!O22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'1211'!O23</f>
        <v>36</v>
      </c>
      <c r="E23" s="14">
        <v>40</v>
      </c>
      <c r="F23" s="9"/>
      <c r="G23" s="9"/>
      <c r="H23" s="9"/>
      <c r="I23" s="9"/>
      <c r="J23" s="9">
        <v>24</v>
      </c>
      <c r="K23" s="9"/>
      <c r="L23" s="9"/>
      <c r="M23" s="9"/>
      <c r="N23" s="9">
        <f t="shared" si="0"/>
        <v>52</v>
      </c>
      <c r="O23" s="9">
        <v>52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'1211'!O24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'1211'!O26</f>
        <v>246</v>
      </c>
      <c r="E26" s="10">
        <v>66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192</v>
      </c>
      <c r="O26" s="9">
        <v>192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'1211'!O27</f>
        <v>85</v>
      </c>
      <c r="E27" s="9">
        <v>64</v>
      </c>
      <c r="F27" s="9">
        <v>40</v>
      </c>
      <c r="G27" s="11"/>
      <c r="H27" s="9"/>
      <c r="I27" s="9"/>
      <c r="J27" s="9"/>
      <c r="K27" s="9"/>
      <c r="L27" s="9"/>
      <c r="M27" s="9"/>
      <c r="N27" s="9">
        <f>D27+E27-SUM(F27:M27)</f>
        <v>109</v>
      </c>
      <c r="O27" s="9">
        <v>109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'1211'!O28</f>
        <v>242</v>
      </c>
      <c r="E28" s="9">
        <v>212</v>
      </c>
      <c r="F28" s="9">
        <v>172</v>
      </c>
      <c r="G28" s="11"/>
      <c r="H28" s="9"/>
      <c r="I28" s="9"/>
      <c r="J28" s="9"/>
      <c r="K28" s="9"/>
      <c r="L28" s="9"/>
      <c r="M28" s="9"/>
      <c r="N28" s="9">
        <f>D28+E28-SUM(F28:M28)</f>
        <v>282</v>
      </c>
      <c r="O28" s="9">
        <v>282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'1211'!O29</f>
        <v>138</v>
      </c>
      <c r="E29" s="9">
        <v>74</v>
      </c>
      <c r="F29" s="9">
        <v>100</v>
      </c>
      <c r="G29" s="11"/>
      <c r="H29" s="9"/>
      <c r="I29" s="9"/>
      <c r="J29" s="9"/>
      <c r="K29" s="9"/>
      <c r="L29" s="9"/>
      <c r="M29" s="9"/>
      <c r="N29" s="9">
        <f>D29+E29-SUM(F29:M29)</f>
        <v>112</v>
      </c>
      <c r="O29" s="9">
        <v>112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DATE(2015,11,13)</f>
        <v>42321</v>
      </c>
      <c r="E5" s="293">
        <f>D5+1</f>
        <v>42322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08"/>
      <c r="M6" s="208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81</v>
      </c>
      <c r="H7" s="5" t="s">
        <v>71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'1311'!O8</f>
        <v>271</v>
      </c>
      <c r="E8" s="10">
        <f>95+59</f>
        <v>154</v>
      </c>
      <c r="F8" s="11">
        <v>90</v>
      </c>
      <c r="G8" s="11">
        <v>100</v>
      </c>
      <c r="H8" s="11"/>
      <c r="I8" s="11"/>
      <c r="J8" s="11"/>
      <c r="K8" s="11"/>
      <c r="L8" s="11"/>
      <c r="M8" s="11"/>
      <c r="N8" s="9">
        <f t="shared" ref="N8:N24" si="0">D8+E8-SUM(F8:M8)</f>
        <v>235</v>
      </c>
      <c r="O8" s="9">
        <f>81+E8</f>
        <v>235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'1311'!O9</f>
        <v>30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30</v>
      </c>
      <c r="O9" s="9">
        <v>30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'1311'!O10</f>
        <v>128</v>
      </c>
      <c r="E10" s="10">
        <v>82</v>
      </c>
      <c r="F10" s="11">
        <v>5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155</v>
      </c>
      <c r="O10" s="9">
        <f>68+5+E10</f>
        <v>155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'1311'!O11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'1311'!O12</f>
        <v>129</v>
      </c>
      <c r="E12" s="14"/>
      <c r="F12" s="11">
        <v>40</v>
      </c>
      <c r="G12" s="11">
        <v>60</v>
      </c>
      <c r="H12" s="11"/>
      <c r="I12" s="11"/>
      <c r="J12" s="11"/>
      <c r="K12" s="11"/>
      <c r="L12" s="11"/>
      <c r="M12" s="11"/>
      <c r="N12" s="9">
        <f t="shared" si="0"/>
        <v>29</v>
      </c>
      <c r="O12" s="9">
        <f>29+E12</f>
        <v>29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'1311'!O13</f>
        <v>25</v>
      </c>
      <c r="E13" s="14">
        <v>144</v>
      </c>
      <c r="F13" s="11"/>
      <c r="G13" s="11">
        <v>30</v>
      </c>
      <c r="H13" s="11"/>
      <c r="I13" s="11"/>
      <c r="J13" s="11"/>
      <c r="K13" s="11"/>
      <c r="L13" s="11"/>
      <c r="M13" s="11"/>
      <c r="N13" s="9">
        <f t="shared" si="0"/>
        <v>139</v>
      </c>
      <c r="O13" s="9">
        <f>30+109</f>
        <v>139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'1311'!O14</f>
        <v>1</v>
      </c>
      <c r="E14" s="14"/>
      <c r="F14" s="11"/>
      <c r="G14" s="11">
        <v>1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'1311'!O15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'1311'!O16</f>
        <v>5</v>
      </c>
      <c r="E16" s="14">
        <v>6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'1311'!O17</f>
        <v>1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'1311'!O18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'1311'!O19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'1311'!O20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'1311'!O21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'1311'!O22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'1311'!O23</f>
        <v>52</v>
      </c>
      <c r="E23" s="14">
        <v>40</v>
      </c>
      <c r="F23" s="9">
        <v>40</v>
      </c>
      <c r="G23" s="9"/>
      <c r="H23" s="9">
        <v>52</v>
      </c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'1311'!O24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'1311'!O26</f>
        <v>192</v>
      </c>
      <c r="E26" s="10">
        <v>128</v>
      </c>
      <c r="F26" s="9">
        <v>118</v>
      </c>
      <c r="G26" s="11"/>
      <c r="H26" s="9"/>
      <c r="I26" s="9"/>
      <c r="J26" s="9"/>
      <c r="K26" s="9"/>
      <c r="L26" s="9"/>
      <c r="M26" s="9"/>
      <c r="N26" s="9">
        <f>D26+E26-SUM(F26:M26)</f>
        <v>202</v>
      </c>
      <c r="O26" s="9">
        <v>202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'1311'!O27</f>
        <v>109</v>
      </c>
      <c r="E27" s="9"/>
      <c r="F27" s="9">
        <v>14</v>
      </c>
      <c r="G27" s="11"/>
      <c r="H27" s="9"/>
      <c r="I27" s="9"/>
      <c r="J27" s="9"/>
      <c r="K27" s="9"/>
      <c r="L27" s="9"/>
      <c r="M27" s="9"/>
      <c r="N27" s="9">
        <f>D27+E27-SUM(F27:M27)</f>
        <v>95</v>
      </c>
      <c r="O27" s="9">
        <v>95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'1311'!O28</f>
        <v>282</v>
      </c>
      <c r="E28" s="9">
        <v>147</v>
      </c>
      <c r="F28" s="9">
        <v>140</v>
      </c>
      <c r="G28" s="11"/>
      <c r="H28" s="9"/>
      <c r="I28" s="9"/>
      <c r="J28" s="9"/>
      <c r="K28" s="9"/>
      <c r="L28" s="9"/>
      <c r="M28" s="9"/>
      <c r="N28" s="9">
        <f>D28+E28-SUM(F28:M28)</f>
        <v>289</v>
      </c>
      <c r="O28" s="9">
        <v>289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'1311'!O29</f>
        <v>112</v>
      </c>
      <c r="E29" s="9">
        <v>78</v>
      </c>
      <c r="F29" s="9">
        <v>60</v>
      </c>
      <c r="G29" s="11"/>
      <c r="H29" s="9"/>
      <c r="I29" s="9"/>
      <c r="J29" s="9"/>
      <c r="K29" s="9"/>
      <c r="L29" s="9"/>
      <c r="M29" s="9"/>
      <c r="N29" s="9">
        <f>D29+E29-SUM(F29:M29)</f>
        <v>130</v>
      </c>
      <c r="O29" s="9">
        <v>130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DATE(2015,11,14)</f>
        <v>42322</v>
      </c>
      <c r="E5" s="293">
        <f>D5+1</f>
        <v>42323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08"/>
      <c r="M6" s="208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/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'1411'!O8</f>
        <v>235</v>
      </c>
      <c r="E8" s="10">
        <f>58+106</f>
        <v>164</v>
      </c>
      <c r="F8" s="11">
        <v>81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318</v>
      </c>
      <c r="O8" s="9">
        <f>83+71+E8</f>
        <v>318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'1411'!O9</f>
        <v>30</v>
      </c>
      <c r="E9" s="14">
        <f>90+62</f>
        <v>152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182</v>
      </c>
      <c r="O9" s="9">
        <f>30+E9</f>
        <v>182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'1411'!O10</f>
        <v>155</v>
      </c>
      <c r="E10" s="10"/>
      <c r="F10" s="11">
        <v>20</v>
      </c>
      <c r="G10" s="11"/>
      <c r="H10" s="11"/>
      <c r="I10" s="11"/>
      <c r="J10" s="11"/>
      <c r="K10" s="11"/>
      <c r="L10" s="11"/>
      <c r="M10" s="11"/>
      <c r="N10" s="9">
        <f t="shared" si="0"/>
        <v>135</v>
      </c>
      <c r="O10" s="9">
        <f>73+62+E10</f>
        <v>135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'1411'!O11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'1411'!O12</f>
        <v>29</v>
      </c>
      <c r="E12" s="14">
        <v>126</v>
      </c>
      <c r="F12" s="11"/>
      <c r="G12" s="11"/>
      <c r="H12" s="11"/>
      <c r="I12" s="11"/>
      <c r="J12" s="11"/>
      <c r="K12" s="11"/>
      <c r="L12" s="11"/>
      <c r="M12" s="11"/>
      <c r="N12" s="9">
        <f t="shared" si="0"/>
        <v>155</v>
      </c>
      <c r="O12" s="9">
        <f>29+E12</f>
        <v>155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'1411'!O13</f>
        <v>139</v>
      </c>
      <c r="E13" s="14">
        <f>120+125</f>
        <v>245</v>
      </c>
      <c r="F13" s="11">
        <v>30</v>
      </c>
      <c r="G13" s="11"/>
      <c r="H13" s="11"/>
      <c r="I13" s="11"/>
      <c r="J13" s="11"/>
      <c r="K13" s="11"/>
      <c r="L13" s="11"/>
      <c r="M13" s="11"/>
      <c r="N13" s="9">
        <f t="shared" si="0"/>
        <v>354</v>
      </c>
      <c r="O13" s="9">
        <f>109+E13</f>
        <v>354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'1411'!O14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'1411'!O15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'1411'!O16</f>
        <v>10</v>
      </c>
      <c r="E16" s="14">
        <v>2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12</v>
      </c>
      <c r="O16" s="9">
        <v>12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'1411'!O17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'1411'!O18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'1411'!O19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'1411'!O20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'1411'!O21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'1411'!O22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'1411'!O23</f>
        <v>0</v>
      </c>
      <c r="E23" s="14">
        <v>60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60</v>
      </c>
      <c r="O23" s="9">
        <v>60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'1411'!O24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'1411'!O26</f>
        <v>202</v>
      </c>
      <c r="E26" s="10">
        <v>132</v>
      </c>
      <c r="F26" s="9">
        <v>136</v>
      </c>
      <c r="G26" s="11"/>
      <c r="H26" s="9"/>
      <c r="I26" s="9"/>
      <c r="J26" s="9"/>
      <c r="K26" s="9"/>
      <c r="L26" s="9"/>
      <c r="M26" s="9"/>
      <c r="N26" s="9">
        <f>D26+E26-SUM(F26:M26)</f>
        <v>198</v>
      </c>
      <c r="O26" s="9">
        <v>198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'1411'!O27</f>
        <v>95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85</v>
      </c>
      <c r="O27" s="9">
        <v>85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'1411'!O28</f>
        <v>289</v>
      </c>
      <c r="E28" s="9">
        <v>237</v>
      </c>
      <c r="F28" s="9">
        <v>172</v>
      </c>
      <c r="G28" s="11"/>
      <c r="H28" s="9"/>
      <c r="I28" s="9"/>
      <c r="J28" s="9"/>
      <c r="K28" s="9"/>
      <c r="L28" s="9"/>
      <c r="M28" s="9"/>
      <c r="N28" s="9">
        <f>D28+E28-SUM(F28:M28)</f>
        <v>354</v>
      </c>
      <c r="O28" s="9">
        <v>354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'1411'!O29</f>
        <v>130</v>
      </c>
      <c r="E29" s="9">
        <v>83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138</v>
      </c>
      <c r="O29" s="9">
        <v>138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5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DATE(2015,4,22)</f>
        <v>42116</v>
      </c>
      <c r="E5" s="293">
        <f>D5+1</f>
        <v>42117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45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51</v>
      </c>
      <c r="H7" s="5" t="s">
        <v>52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VLOOKUP($B8,'2204'!$B8:$M22,11,0)</f>
        <v>275</v>
      </c>
      <c r="E8" s="10">
        <f>85+88+23</f>
        <v>196</v>
      </c>
      <c r="F8" s="11">
        <v>89</v>
      </c>
      <c r="G8" s="11">
        <v>160</v>
      </c>
      <c r="H8" s="11">
        <v>26</v>
      </c>
      <c r="I8" s="11"/>
      <c r="J8" s="11"/>
      <c r="K8" s="9">
        <f t="shared" ref="K8:K19" si="0">D8+E8-SUM(F8:J8)</f>
        <v>196</v>
      </c>
      <c r="L8" s="9">
        <v>196</v>
      </c>
      <c r="M8" s="9">
        <f t="shared" ref="M8:M19" si="1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VLOOKUP($B9,'2204'!$B9:$M23,11,0)</f>
        <v>0</v>
      </c>
      <c r="E9" s="14"/>
      <c r="F9" s="11"/>
      <c r="G9" s="11"/>
      <c r="H9" s="11"/>
      <c r="I9" s="11"/>
      <c r="J9" s="11"/>
      <c r="K9" s="9">
        <f t="shared" si="0"/>
        <v>0</v>
      </c>
      <c r="L9" s="9"/>
      <c r="M9" s="9">
        <f t="shared" si="1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VLOOKUP($B10,'2204'!$B10:$M24,11,0)</f>
        <v>73</v>
      </c>
      <c r="E10" s="10">
        <v>120</v>
      </c>
      <c r="F10" s="11"/>
      <c r="G10" s="11">
        <v>73</v>
      </c>
      <c r="H10" s="11"/>
      <c r="I10" s="11"/>
      <c r="J10" s="11"/>
      <c r="K10" s="9">
        <f t="shared" si="0"/>
        <v>120</v>
      </c>
      <c r="L10" s="9">
        <v>120</v>
      </c>
      <c r="M10" s="9">
        <f t="shared" si="1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VLOOKUP($B11,'2204'!$B11:$M25,11,0)</f>
        <v>305</v>
      </c>
      <c r="E11" s="10">
        <v>160</v>
      </c>
      <c r="F11" s="11"/>
      <c r="G11" s="11">
        <v>160</v>
      </c>
      <c r="H11" s="11"/>
      <c r="I11" s="11"/>
      <c r="J11" s="11"/>
      <c r="K11" s="9">
        <f t="shared" si="0"/>
        <v>305</v>
      </c>
      <c r="L11" s="9">
        <f>145+160</f>
        <v>305</v>
      </c>
      <c r="M11" s="9">
        <f t="shared" si="1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VLOOKUP($B12,'2204'!$B12:$M26,11,0)</f>
        <v>359</v>
      </c>
      <c r="E12" s="14">
        <v>121</v>
      </c>
      <c r="F12" s="11"/>
      <c r="G12" s="11">
        <v>150</v>
      </c>
      <c r="H12" s="11">
        <v>80</v>
      </c>
      <c r="I12" s="11"/>
      <c r="J12" s="11"/>
      <c r="K12" s="9">
        <f t="shared" si="0"/>
        <v>250</v>
      </c>
      <c r="L12" s="9">
        <v>250</v>
      </c>
      <c r="M12" s="9">
        <f t="shared" si="1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VLOOKUP($B13,'2204'!$B13:$M27,11,0)</f>
        <v>200</v>
      </c>
      <c r="E13" s="14">
        <v>162</v>
      </c>
      <c r="F13" s="11"/>
      <c r="G13" s="11">
        <v>150</v>
      </c>
      <c r="H13" s="11">
        <v>40</v>
      </c>
      <c r="I13" s="11"/>
      <c r="J13" s="11"/>
      <c r="K13" s="9">
        <f t="shared" si="0"/>
        <v>172</v>
      </c>
      <c r="L13" s="9">
        <f>10+162</f>
        <v>172</v>
      </c>
      <c r="M13" s="9">
        <f t="shared" si="1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VLOOKUP($B14,'2204'!$B14:$M28,11,0)</f>
        <v>2</v>
      </c>
      <c r="E14" s="14">
        <v>2</v>
      </c>
      <c r="F14" s="11"/>
      <c r="G14" s="11">
        <v>1</v>
      </c>
      <c r="H14" s="11"/>
      <c r="I14" s="11"/>
      <c r="J14" s="11"/>
      <c r="K14" s="9">
        <f t="shared" si="0"/>
        <v>3</v>
      </c>
      <c r="L14" s="9">
        <v>3</v>
      </c>
      <c r="M14" s="9">
        <f t="shared" si="1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VLOOKUP($B15,'2204'!$B15:$M29,11,0)</f>
        <v>0</v>
      </c>
      <c r="E15" s="14"/>
      <c r="F15" s="11"/>
      <c r="G15" s="11"/>
      <c r="H15" s="11"/>
      <c r="I15" s="11"/>
      <c r="J15" s="11"/>
      <c r="K15" s="9">
        <f t="shared" si="0"/>
        <v>0</v>
      </c>
      <c r="L15" s="9"/>
      <c r="M15" s="9">
        <f t="shared" si="1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VLOOKUP($B16,'2204'!$B16:$M30,11,0)</f>
        <v>5</v>
      </c>
      <c r="E16" s="14">
        <v>3</v>
      </c>
      <c r="F16" s="11"/>
      <c r="G16" s="11">
        <v>2</v>
      </c>
      <c r="H16" s="11">
        <v>1</v>
      </c>
      <c r="I16" s="11"/>
      <c r="J16" s="11"/>
      <c r="K16" s="9">
        <f t="shared" si="0"/>
        <v>5</v>
      </c>
      <c r="L16" s="9">
        <v>5</v>
      </c>
      <c r="M16" s="9">
        <f t="shared" si="1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VLOOKUP($B17,'2204'!$B17:$M31,11,0)</f>
        <v>1</v>
      </c>
      <c r="E17" s="14">
        <v>2</v>
      </c>
      <c r="F17" s="11"/>
      <c r="G17" s="11">
        <v>1</v>
      </c>
      <c r="H17" s="11"/>
      <c r="I17" s="11"/>
      <c r="J17" s="11"/>
      <c r="K17" s="9">
        <f t="shared" si="0"/>
        <v>2</v>
      </c>
      <c r="L17" s="9">
        <v>2</v>
      </c>
      <c r="M17" s="9">
        <f t="shared" si="1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VLOOKUP($B18,'2204'!$B18:$M32,11,0)</f>
        <v>0</v>
      </c>
      <c r="E18" s="14">
        <v>2</v>
      </c>
      <c r="F18" s="11"/>
      <c r="G18" s="11">
        <v>1</v>
      </c>
      <c r="H18" s="11"/>
      <c r="I18" s="11"/>
      <c r="J18" s="11"/>
      <c r="K18" s="9">
        <f t="shared" si="0"/>
        <v>1</v>
      </c>
      <c r="L18" s="9">
        <v>1</v>
      </c>
      <c r="M18" s="9">
        <f t="shared" si="1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VLOOKUP($B19,'2204'!$B19:$M33,11,0)</f>
        <v>5</v>
      </c>
      <c r="E19" s="14">
        <v>1</v>
      </c>
      <c r="F19" s="11"/>
      <c r="G19" s="11">
        <v>1</v>
      </c>
      <c r="H19" s="11">
        <v>1</v>
      </c>
      <c r="I19" s="11"/>
      <c r="J19" s="11"/>
      <c r="K19" s="9">
        <f t="shared" si="0"/>
        <v>4</v>
      </c>
      <c r="L19" s="9">
        <v>4</v>
      </c>
      <c r="M19" s="9">
        <f t="shared" si="1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VLOOKUP($B20,'2204'!$B20:$M34,11,0)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VLOOKUP($B21,'2204'!$B21:$M35,11,0)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VLOOKUP($B22,'2204'!$B22:$M36,11,0)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>SUM(E8:E22)</f>
        <v>769</v>
      </c>
      <c r="F24" s="9"/>
      <c r="G24" s="9"/>
      <c r="H24" s="9"/>
      <c r="I24" s="9"/>
      <c r="J24" s="9"/>
      <c r="K24" s="9">
        <f>SUM(K8:K22)</f>
        <v>1058</v>
      </c>
      <c r="L24" s="9">
        <f>SUM(L8:L22)</f>
        <v>1058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VLOOKUP($B26,'2204'!$B26:$M29,11,0)</f>
        <v>251</v>
      </c>
      <c r="E26" s="10">
        <v>68</v>
      </c>
      <c r="F26" s="9">
        <v>132</v>
      </c>
      <c r="G26" s="11"/>
      <c r="H26" s="9"/>
      <c r="I26" s="9"/>
      <c r="J26" s="9"/>
      <c r="K26" s="9">
        <f t="shared" ref="K26" si="3">D26+E26-F26</f>
        <v>187</v>
      </c>
      <c r="L26" s="9">
        <v>187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VLOOKUP($B27,'2204'!$B27:$M30,11,0)</f>
        <v>103</v>
      </c>
      <c r="E27" s="9">
        <v>33</v>
      </c>
      <c r="F27" s="9">
        <v>45</v>
      </c>
      <c r="G27" s="11"/>
      <c r="H27" s="9"/>
      <c r="I27" s="9"/>
      <c r="J27" s="9"/>
      <c r="K27" s="9">
        <f>D27+E27-F27</f>
        <v>91</v>
      </c>
      <c r="L27" s="9">
        <v>91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VLOOKUP($B28,'2204'!$B28:$M31,11,0)</f>
        <v>411</v>
      </c>
      <c r="E28" s="9">
        <v>150</v>
      </c>
      <c r="F28" s="9">
        <v>204</v>
      </c>
      <c r="G28" s="11"/>
      <c r="H28" s="9"/>
      <c r="I28" s="9"/>
      <c r="J28" s="9"/>
      <c r="K28" s="9">
        <f>D28+E28-F28</f>
        <v>357</v>
      </c>
      <c r="L28" s="9">
        <v>357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VLOOKUP($B29,'2204'!$B29:$M32,11,0)</f>
        <v>188</v>
      </c>
      <c r="E29" s="9">
        <v>45</v>
      </c>
      <c r="F29" s="9">
        <v>105</v>
      </c>
      <c r="G29" s="11"/>
      <c r="H29" s="9"/>
      <c r="I29" s="9"/>
      <c r="J29" s="9"/>
      <c r="K29" s="9">
        <f>D29+E29-F29</f>
        <v>128</v>
      </c>
      <c r="L29" s="9">
        <v>128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DATE(2015,11,15)</f>
        <v>42323</v>
      </c>
      <c r="E5" s="293">
        <f>D5+1</f>
        <v>42324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08"/>
      <c r="M6" s="208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82</v>
      </c>
      <c r="H7" s="5" t="s">
        <v>71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'1511'!O8</f>
        <v>318</v>
      </c>
      <c r="E8" s="10">
        <f>60+104</f>
        <v>164</v>
      </c>
      <c r="F8" s="11">
        <v>47</v>
      </c>
      <c r="G8" s="11">
        <v>52</v>
      </c>
      <c r="H8" s="11"/>
      <c r="I8" s="11"/>
      <c r="J8" s="11"/>
      <c r="K8" s="11"/>
      <c r="L8" s="11"/>
      <c r="M8" s="11"/>
      <c r="N8" s="9">
        <f t="shared" ref="N8:N24" si="0">D8+E8-SUM(F8:M8)</f>
        <v>383</v>
      </c>
      <c r="O8" s="9">
        <f>48+103+E8+68</f>
        <v>383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'1511'!O9</f>
        <v>182</v>
      </c>
      <c r="E9" s="14"/>
      <c r="F9" s="11"/>
      <c r="G9" s="11">
        <v>40</v>
      </c>
      <c r="H9" s="11"/>
      <c r="I9" s="11"/>
      <c r="J9" s="11"/>
      <c r="K9" s="11"/>
      <c r="L9" s="11"/>
      <c r="M9" s="11"/>
      <c r="N9" s="9">
        <f t="shared" si="0"/>
        <v>142</v>
      </c>
      <c r="O9" s="9">
        <v>142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'1511'!O10</f>
        <v>135</v>
      </c>
      <c r="E10" s="10">
        <v>172</v>
      </c>
      <c r="F10" s="11">
        <v>10</v>
      </c>
      <c r="G10" s="11">
        <v>60</v>
      </c>
      <c r="H10" s="11"/>
      <c r="I10" s="11"/>
      <c r="J10" s="11"/>
      <c r="K10" s="11"/>
      <c r="L10" s="11"/>
      <c r="M10" s="11"/>
      <c r="N10" s="9">
        <f t="shared" si="0"/>
        <v>237</v>
      </c>
      <c r="O10" s="9">
        <f>65+E10</f>
        <v>237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'1511'!O11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'1511'!O12</f>
        <v>155</v>
      </c>
      <c r="E12" s="14">
        <v>175</v>
      </c>
      <c r="F12" s="11">
        <v>59</v>
      </c>
      <c r="G12" s="11">
        <v>47</v>
      </c>
      <c r="H12" s="11"/>
      <c r="I12" s="11"/>
      <c r="J12" s="11"/>
      <c r="K12" s="11"/>
      <c r="L12" s="11"/>
      <c r="M12" s="11"/>
      <c r="N12" s="9">
        <f t="shared" si="0"/>
        <v>224</v>
      </c>
      <c r="O12" s="9">
        <f>49+E12</f>
        <v>224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'1511'!O13</f>
        <v>354</v>
      </c>
      <c r="E13" s="14">
        <f>150+150+167+126</f>
        <v>593</v>
      </c>
      <c r="F13" s="11"/>
      <c r="G13" s="11">
        <v>45</v>
      </c>
      <c r="H13" s="11"/>
      <c r="I13" s="11"/>
      <c r="J13" s="11"/>
      <c r="K13" s="11"/>
      <c r="L13" s="11"/>
      <c r="M13" s="11"/>
      <c r="N13" s="9">
        <f t="shared" si="0"/>
        <v>902</v>
      </c>
      <c r="O13" s="9">
        <f>49+E13+260</f>
        <v>902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'1511'!O14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'1511'!O15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'1511'!O16</f>
        <v>12</v>
      </c>
      <c r="E16" s="14"/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'1511'!O17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'1511'!O18</f>
        <v>0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'1511'!O19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'1511'!O20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'1511'!O21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'1511'!O22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'1511'!O23</f>
        <v>60</v>
      </c>
      <c r="E23" s="14"/>
      <c r="F23" s="9"/>
      <c r="G23" s="9"/>
      <c r="H23" s="9">
        <v>60</v>
      </c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'1511'!O24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'1511'!O26</f>
        <v>198</v>
      </c>
      <c r="E26" s="10">
        <v>138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216</v>
      </c>
      <c r="O26" s="9">
        <v>216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'1511'!O27</f>
        <v>85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75</v>
      </c>
      <c r="O27" s="9">
        <v>75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'1511'!O28</f>
        <v>354</v>
      </c>
      <c r="E28" s="9">
        <v>67</v>
      </c>
      <c r="F28" s="9">
        <v>136</v>
      </c>
      <c r="G28" s="11"/>
      <c r="H28" s="9"/>
      <c r="I28" s="9"/>
      <c r="J28" s="9"/>
      <c r="K28" s="9"/>
      <c r="L28" s="9"/>
      <c r="M28" s="9"/>
      <c r="N28" s="9">
        <f>D28+E28-SUM(F28:M28)</f>
        <v>285</v>
      </c>
      <c r="O28" s="9">
        <v>285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'1511'!O29</f>
        <v>138</v>
      </c>
      <c r="E29" s="9">
        <v>84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147</v>
      </c>
      <c r="O29" s="9">
        <v>147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DATE(2015,11,16)</f>
        <v>42324</v>
      </c>
      <c r="E5" s="293">
        <f>D5+1</f>
        <v>42325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08"/>
      <c r="M6" s="208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62</v>
      </c>
      <c r="H7" s="5" t="s">
        <v>80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'1611'!O8</f>
        <v>383</v>
      </c>
      <c r="E8" s="10">
        <f>107+50</f>
        <v>157</v>
      </c>
      <c r="F8" s="11">
        <v>72</v>
      </c>
      <c r="G8" s="11">
        <v>70</v>
      </c>
      <c r="H8" s="11">
        <v>40</v>
      </c>
      <c r="I8" s="11"/>
      <c r="J8" s="11"/>
      <c r="K8" s="11"/>
      <c r="L8" s="11"/>
      <c r="M8" s="11"/>
      <c r="N8" s="9">
        <f t="shared" ref="N8:N24" si="0">D8+E8-SUM(F8:M8)</f>
        <v>358</v>
      </c>
      <c r="O8" s="9">
        <f>140+61+E8</f>
        <v>358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'1611'!O9</f>
        <v>142</v>
      </c>
      <c r="E9" s="14"/>
      <c r="F9" s="11"/>
      <c r="G9" s="11">
        <v>30</v>
      </c>
      <c r="H9" s="11">
        <v>40</v>
      </c>
      <c r="I9" s="11"/>
      <c r="J9" s="11"/>
      <c r="K9" s="11"/>
      <c r="L9" s="11"/>
      <c r="M9" s="11"/>
      <c r="N9" s="9">
        <f t="shared" si="0"/>
        <v>72</v>
      </c>
      <c r="O9" s="9">
        <v>72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'1611'!O10</f>
        <v>237</v>
      </c>
      <c r="E10" s="10">
        <v>174</v>
      </c>
      <c r="F10" s="11"/>
      <c r="G10" s="11">
        <v>60</v>
      </c>
      <c r="H10" s="11">
        <v>80</v>
      </c>
      <c r="I10" s="11"/>
      <c r="J10" s="11"/>
      <c r="K10" s="11"/>
      <c r="L10" s="11"/>
      <c r="M10" s="11"/>
      <c r="N10" s="9">
        <f t="shared" si="0"/>
        <v>271</v>
      </c>
      <c r="O10" s="9">
        <f>97+E10</f>
        <v>271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'1611'!O11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'1611'!O12</f>
        <v>224</v>
      </c>
      <c r="E12" s="14">
        <v>127</v>
      </c>
      <c r="F12" s="11"/>
      <c r="G12" s="11">
        <v>60</v>
      </c>
      <c r="H12" s="11">
        <v>100</v>
      </c>
      <c r="I12" s="11"/>
      <c r="J12" s="11"/>
      <c r="K12" s="11"/>
      <c r="L12" s="11"/>
      <c r="M12" s="11"/>
      <c r="N12" s="9">
        <f t="shared" si="0"/>
        <v>191</v>
      </c>
      <c r="O12" s="9">
        <f>64+E12</f>
        <v>191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'1611'!O13</f>
        <v>902</v>
      </c>
      <c r="E13" s="14">
        <v>126</v>
      </c>
      <c r="F13" s="11">
        <v>812</v>
      </c>
      <c r="G13" s="11">
        <v>50</v>
      </c>
      <c r="H13" s="11">
        <v>40</v>
      </c>
      <c r="I13" s="11"/>
      <c r="J13" s="11"/>
      <c r="K13" s="11"/>
      <c r="L13" s="11"/>
      <c r="M13" s="11"/>
      <c r="N13" s="9">
        <f t="shared" si="0"/>
        <v>126</v>
      </c>
      <c r="O13" s="9">
        <f>E13</f>
        <v>126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'1611'!O14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'1611'!O15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'1611'!O16</f>
        <v>10</v>
      </c>
      <c r="E16" s="14">
        <v>2</v>
      </c>
      <c r="F16" s="11">
        <v>1</v>
      </c>
      <c r="G16" s="11">
        <v>2</v>
      </c>
      <c r="H16" s="11">
        <v>2</v>
      </c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'1611'!O17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'1611'!O18</f>
        <v>2</v>
      </c>
      <c r="E18" s="14"/>
      <c r="F18" s="11"/>
      <c r="G18" s="11">
        <v>1</v>
      </c>
      <c r="H18" s="11">
        <v>1</v>
      </c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'1611'!O19</f>
        <v>2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'1611'!O20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'1611'!O21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'1611'!O22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'1611'!O23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'1611'!O24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'1611'!O26</f>
        <v>216</v>
      </c>
      <c r="E26" s="10">
        <v>124</v>
      </c>
      <c r="F26" s="9">
        <v>140</v>
      </c>
      <c r="G26" s="11"/>
      <c r="H26" s="9"/>
      <c r="I26" s="9"/>
      <c r="J26" s="9"/>
      <c r="K26" s="9"/>
      <c r="L26" s="9"/>
      <c r="M26" s="9"/>
      <c r="N26" s="9">
        <f>D26+E26-SUM(F26:M26)</f>
        <v>200</v>
      </c>
      <c r="O26" s="9">
        <v>200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'1611'!O27</f>
        <v>75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65</v>
      </c>
      <c r="O27" s="9">
        <v>65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'1611'!O28</f>
        <v>285</v>
      </c>
      <c r="E28" s="9">
        <v>157</v>
      </c>
      <c r="F28" s="9">
        <v>140</v>
      </c>
      <c r="G28" s="11"/>
      <c r="H28" s="9"/>
      <c r="I28" s="9"/>
      <c r="J28" s="9"/>
      <c r="K28" s="9"/>
      <c r="L28" s="9"/>
      <c r="M28" s="9"/>
      <c r="N28" s="9">
        <f>D28+E28-SUM(F28:M28)</f>
        <v>302</v>
      </c>
      <c r="O28" s="9">
        <v>302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'1611'!O29</f>
        <v>147</v>
      </c>
      <c r="E29" s="9"/>
      <c r="F29" s="9">
        <v>81</v>
      </c>
      <c r="G29" s="11"/>
      <c r="H29" s="9"/>
      <c r="I29" s="9"/>
      <c r="J29" s="9"/>
      <c r="K29" s="9"/>
      <c r="L29" s="9"/>
      <c r="M29" s="9"/>
      <c r="N29" s="9">
        <f>D29+E29-SUM(F29:M29)</f>
        <v>66</v>
      </c>
      <c r="O29" s="9">
        <v>66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DATE(2015,11,17)</f>
        <v>42325</v>
      </c>
      <c r="E5" s="293">
        <f>D5+1</f>
        <v>42326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09"/>
      <c r="M6" s="209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39</v>
      </c>
      <c r="H7" s="5" t="s">
        <v>40</v>
      </c>
      <c r="I7" s="5" t="s">
        <v>38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'1711'!O8</f>
        <v>358</v>
      </c>
      <c r="E8" s="10">
        <f>51+111</f>
        <v>162</v>
      </c>
      <c r="F8" s="11">
        <v>71</v>
      </c>
      <c r="G8" s="11">
        <v>60</v>
      </c>
      <c r="H8" s="11">
        <v>20</v>
      </c>
      <c r="I8" s="11">
        <v>40</v>
      </c>
      <c r="J8" s="11"/>
      <c r="K8" s="11"/>
      <c r="L8" s="11"/>
      <c r="M8" s="11"/>
      <c r="N8" s="9">
        <f t="shared" ref="N8:N24" si="0">D8+E8-SUM(F8:M8)</f>
        <v>329</v>
      </c>
      <c r="O8" s="9">
        <f>130+37+E8</f>
        <v>329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'1711'!O9</f>
        <v>72</v>
      </c>
      <c r="E9" s="14">
        <v>82</v>
      </c>
      <c r="F9" s="11"/>
      <c r="G9" s="11">
        <v>32</v>
      </c>
      <c r="H9" s="11">
        <v>20</v>
      </c>
      <c r="I9" s="11">
        <v>20</v>
      </c>
      <c r="J9" s="11"/>
      <c r="K9" s="11"/>
      <c r="L9" s="11"/>
      <c r="M9" s="11"/>
      <c r="N9" s="9">
        <f t="shared" si="0"/>
        <v>82</v>
      </c>
      <c r="O9" s="9">
        <f>E9</f>
        <v>82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'1711'!O10</f>
        <v>271</v>
      </c>
      <c r="E10" s="10">
        <v>122</v>
      </c>
      <c r="F10" s="11">
        <v>19</v>
      </c>
      <c r="G10" s="11">
        <v>50</v>
      </c>
      <c r="H10" s="11">
        <v>40</v>
      </c>
      <c r="I10" s="11">
        <v>20</v>
      </c>
      <c r="J10" s="11"/>
      <c r="K10" s="11"/>
      <c r="L10" s="11"/>
      <c r="M10" s="11"/>
      <c r="N10" s="9">
        <f t="shared" si="0"/>
        <v>264</v>
      </c>
      <c r="O10" s="9">
        <f>142+E10</f>
        <v>264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'1711'!O11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'1711'!O12</f>
        <v>191</v>
      </c>
      <c r="E12" s="14">
        <v>88</v>
      </c>
      <c r="F12" s="11">
        <v>30</v>
      </c>
      <c r="G12" s="11">
        <v>50</v>
      </c>
      <c r="H12" s="11">
        <v>60</v>
      </c>
      <c r="I12" s="11">
        <v>30</v>
      </c>
      <c r="J12" s="11"/>
      <c r="K12" s="11"/>
      <c r="L12" s="11"/>
      <c r="M12" s="11"/>
      <c r="N12" s="9">
        <f t="shared" si="0"/>
        <v>109</v>
      </c>
      <c r="O12" s="9">
        <f>21+E12</f>
        <v>109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'1711'!O13</f>
        <v>126</v>
      </c>
      <c r="E13" s="14">
        <v>160</v>
      </c>
      <c r="F13" s="11">
        <v>26</v>
      </c>
      <c r="G13" s="11">
        <v>30</v>
      </c>
      <c r="H13" s="11">
        <v>30</v>
      </c>
      <c r="I13" s="11">
        <v>31</v>
      </c>
      <c r="J13" s="11"/>
      <c r="K13" s="11"/>
      <c r="L13" s="11"/>
      <c r="M13" s="11"/>
      <c r="N13" s="9">
        <f t="shared" si="0"/>
        <v>169</v>
      </c>
      <c r="O13" s="9">
        <f>9+E13</f>
        <v>169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'1711'!O14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'1711'!O15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'1711'!O16</f>
        <v>7</v>
      </c>
      <c r="E16" s="14">
        <v>6</v>
      </c>
      <c r="F16" s="11"/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'1711'!O17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'1711'!O18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'1711'!O19</f>
        <v>1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'1711'!O20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'1711'!O21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'1711'!O22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'1711'!O23</f>
        <v>0</v>
      </c>
      <c r="E23" s="14">
        <v>100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100</v>
      </c>
      <c r="O23" s="9">
        <v>100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'1711'!O24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'1711'!O26</f>
        <v>200</v>
      </c>
      <c r="E26" s="10">
        <v>127</v>
      </c>
      <c r="F26" s="9">
        <f>200-62</f>
        <v>138</v>
      </c>
      <c r="G26" s="11"/>
      <c r="H26" s="9"/>
      <c r="I26" s="9"/>
      <c r="J26" s="9"/>
      <c r="K26" s="9"/>
      <c r="L26" s="9"/>
      <c r="M26" s="9"/>
      <c r="N26" s="9">
        <f>D26+E26-SUM(F26:M26)</f>
        <v>189</v>
      </c>
      <c r="O26" s="9">
        <v>189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'1711'!O27</f>
        <v>65</v>
      </c>
      <c r="E27" s="9"/>
      <c r="F27" s="9">
        <f>65-65</f>
        <v>0</v>
      </c>
      <c r="G27" s="11"/>
      <c r="H27" s="9"/>
      <c r="I27" s="9"/>
      <c r="J27" s="9"/>
      <c r="K27" s="9"/>
      <c r="L27" s="9"/>
      <c r="M27" s="9"/>
      <c r="N27" s="9">
        <f>D27+E27-SUM(F27:M27)</f>
        <v>65</v>
      </c>
      <c r="O27" s="9">
        <v>65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'1711'!O28</f>
        <v>302</v>
      </c>
      <c r="E28" s="9">
        <v>157</v>
      </c>
      <c r="F28" s="9">
        <f>302-141</f>
        <v>161</v>
      </c>
      <c r="G28" s="11"/>
      <c r="H28" s="9"/>
      <c r="I28" s="9"/>
      <c r="J28" s="9"/>
      <c r="K28" s="9"/>
      <c r="L28" s="9"/>
      <c r="M28" s="9"/>
      <c r="N28" s="9">
        <f>D28+E28-SUM(F28:M28)</f>
        <v>298</v>
      </c>
      <c r="O28" s="9">
        <v>298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'1711'!O29</f>
        <v>66</v>
      </c>
      <c r="E29" s="9">
        <v>81</v>
      </c>
      <c r="F29" s="9">
        <f>66-62</f>
        <v>4</v>
      </c>
      <c r="G29" s="11"/>
      <c r="H29" s="9"/>
      <c r="I29" s="9"/>
      <c r="J29" s="9"/>
      <c r="K29" s="9"/>
      <c r="L29" s="9"/>
      <c r="M29" s="9"/>
      <c r="N29" s="9">
        <f>D29+E29-SUM(F29:M29)</f>
        <v>143</v>
      </c>
      <c r="O29" s="9">
        <v>143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DATE(2015,11,18)</f>
        <v>42326</v>
      </c>
      <c r="E5" s="293">
        <f>D5+1</f>
        <v>42327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10"/>
      <c r="M6" s="210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56</v>
      </c>
      <c r="H7" s="5" t="s">
        <v>52</v>
      </c>
      <c r="I7" s="5" t="s">
        <v>38</v>
      </c>
      <c r="J7" s="5" t="s">
        <v>71</v>
      </c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'1811'!O8</f>
        <v>329</v>
      </c>
      <c r="E8" s="10">
        <f>105+102</f>
        <v>207</v>
      </c>
      <c r="F8" s="11">
        <v>72</v>
      </c>
      <c r="G8" s="11"/>
      <c r="H8" s="11">
        <v>207</v>
      </c>
      <c r="I8" s="11">
        <v>50</v>
      </c>
      <c r="J8" s="11"/>
      <c r="K8" s="11"/>
      <c r="L8" s="11"/>
      <c r="M8" s="11"/>
      <c r="N8" s="9">
        <f t="shared" ref="N8:N24" si="0">D8+E8-SUM(F8:M8)</f>
        <v>207</v>
      </c>
      <c r="O8" s="9">
        <f>E8</f>
        <v>207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'1811'!O9</f>
        <v>82</v>
      </c>
      <c r="E9" s="14">
        <v>83</v>
      </c>
      <c r="F9" s="11"/>
      <c r="G9" s="11"/>
      <c r="H9" s="11">
        <v>70</v>
      </c>
      <c r="I9" s="11"/>
      <c r="J9" s="11"/>
      <c r="K9" s="11"/>
      <c r="L9" s="11"/>
      <c r="M9" s="11"/>
      <c r="N9" s="9">
        <f t="shared" si="0"/>
        <v>95</v>
      </c>
      <c r="O9" s="9">
        <f>12+E9</f>
        <v>95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'1811'!O10</f>
        <v>264</v>
      </c>
      <c r="E10" s="10">
        <v>125</v>
      </c>
      <c r="F10" s="11">
        <v>5</v>
      </c>
      <c r="G10" s="11">
        <v>80</v>
      </c>
      <c r="H10" s="11">
        <v>149</v>
      </c>
      <c r="I10" s="11"/>
      <c r="J10" s="11"/>
      <c r="K10" s="11"/>
      <c r="L10" s="11"/>
      <c r="M10" s="11"/>
      <c r="N10" s="9">
        <f t="shared" si="0"/>
        <v>155</v>
      </c>
      <c r="O10" s="9">
        <f>30+E10</f>
        <v>155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'1811'!O11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'1811'!O12</f>
        <v>109</v>
      </c>
      <c r="E12" s="14">
        <v>123</v>
      </c>
      <c r="F12" s="11">
        <v>11</v>
      </c>
      <c r="G12" s="11">
        <v>30</v>
      </c>
      <c r="H12" s="11">
        <v>60</v>
      </c>
      <c r="I12" s="11"/>
      <c r="J12" s="11"/>
      <c r="K12" s="11"/>
      <c r="L12" s="11"/>
      <c r="M12" s="11"/>
      <c r="N12" s="9">
        <f t="shared" si="0"/>
        <v>131</v>
      </c>
      <c r="O12" s="9">
        <f>8+E12</f>
        <v>131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'1811'!O13</f>
        <v>169</v>
      </c>
      <c r="E13" s="14">
        <f>84+158</f>
        <v>242</v>
      </c>
      <c r="F13" s="11">
        <v>64</v>
      </c>
      <c r="G13" s="11">
        <v>35</v>
      </c>
      <c r="H13" s="11">
        <v>70</v>
      </c>
      <c r="I13" s="11"/>
      <c r="J13" s="11"/>
      <c r="K13" s="11"/>
      <c r="L13" s="11"/>
      <c r="M13" s="11"/>
      <c r="N13" s="9">
        <f t="shared" si="0"/>
        <v>242</v>
      </c>
      <c r="O13" s="9">
        <f>E13</f>
        <v>242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'1811'!O14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'1811'!O15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'1811'!O16</f>
        <v>10</v>
      </c>
      <c r="E16" s="14"/>
      <c r="F16" s="11">
        <v>1</v>
      </c>
      <c r="G16" s="11"/>
      <c r="H16" s="11">
        <v>2</v>
      </c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'1811'!O17</f>
        <v>0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'1811'!O18</f>
        <v>0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'1811'!O19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'1811'!O20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'1811'!O21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'1811'!O22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'1811'!O23</f>
        <v>100</v>
      </c>
      <c r="E23" s="14">
        <v>60</v>
      </c>
      <c r="F23" s="9"/>
      <c r="G23" s="9"/>
      <c r="H23" s="9"/>
      <c r="I23" s="9"/>
      <c r="J23" s="9">
        <v>100</v>
      </c>
      <c r="K23" s="9"/>
      <c r="L23" s="9"/>
      <c r="M23" s="9"/>
      <c r="N23" s="9">
        <f t="shared" si="0"/>
        <v>60</v>
      </c>
      <c r="O23" s="9">
        <v>60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'1811'!O24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'1811'!O26</f>
        <v>189</v>
      </c>
      <c r="E26" s="10">
        <v>129</v>
      </c>
      <c r="F26" s="9">
        <v>142</v>
      </c>
      <c r="G26" s="11"/>
      <c r="H26" s="9"/>
      <c r="I26" s="9"/>
      <c r="J26" s="9"/>
      <c r="K26" s="9"/>
      <c r="L26" s="9"/>
      <c r="M26" s="9"/>
      <c r="N26" s="9">
        <f>D26+E26-SUM(F26:M26)</f>
        <v>176</v>
      </c>
      <c r="O26" s="9">
        <v>176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'1811'!O27</f>
        <v>65</v>
      </c>
      <c r="E27" s="9"/>
      <c r="F27" s="9">
        <v>9</v>
      </c>
      <c r="G27" s="11"/>
      <c r="H27" s="9"/>
      <c r="I27" s="9"/>
      <c r="J27" s="9"/>
      <c r="K27" s="9"/>
      <c r="L27" s="9"/>
      <c r="M27" s="9"/>
      <c r="N27" s="9">
        <f>D27+E27-SUM(F27:M27)</f>
        <v>56</v>
      </c>
      <c r="O27" s="9">
        <v>56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'1811'!O28</f>
        <v>298</v>
      </c>
      <c r="E28" s="9">
        <v>165</v>
      </c>
      <c r="F28" s="9">
        <v>170</v>
      </c>
      <c r="G28" s="11"/>
      <c r="H28" s="9"/>
      <c r="I28" s="9"/>
      <c r="J28" s="9"/>
      <c r="K28" s="9"/>
      <c r="L28" s="9"/>
      <c r="M28" s="9"/>
      <c r="N28" s="9">
        <f>D28+E28-SUM(F28:M28)</f>
        <v>293</v>
      </c>
      <c r="O28" s="9">
        <v>293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'1811'!O29</f>
        <v>143</v>
      </c>
      <c r="E29" s="9">
        <v>69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137</v>
      </c>
      <c r="O29" s="9">
        <v>137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DATE(2015,11,19)</f>
        <v>42327</v>
      </c>
      <c r="E5" s="293">
        <f>D5+1</f>
        <v>42328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11"/>
      <c r="M6" s="211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49</v>
      </c>
      <c r="H7" s="5" t="s">
        <v>77</v>
      </c>
      <c r="I7" s="5" t="s">
        <v>71</v>
      </c>
      <c r="J7" s="5" t="s">
        <v>82</v>
      </c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'1911'!O8</f>
        <v>207</v>
      </c>
      <c r="E8" s="10">
        <f>104+99</f>
        <v>203</v>
      </c>
      <c r="F8" s="11">
        <v>80</v>
      </c>
      <c r="G8" s="11">
        <v>77</v>
      </c>
      <c r="H8" s="11">
        <v>50</v>
      </c>
      <c r="I8" s="11"/>
      <c r="J8" s="11"/>
      <c r="K8" s="11"/>
      <c r="L8" s="11"/>
      <c r="M8" s="11"/>
      <c r="N8" s="9">
        <f t="shared" ref="N8:N24" si="0">D8+E8-SUM(F8:M8)</f>
        <v>203</v>
      </c>
      <c r="O8" s="9">
        <f>E8</f>
        <v>203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'1911'!O9</f>
        <v>95</v>
      </c>
      <c r="E9" s="14"/>
      <c r="F9" s="11"/>
      <c r="G9" s="11">
        <v>55</v>
      </c>
      <c r="H9" s="11">
        <v>40</v>
      </c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'1911'!O10</f>
        <v>155</v>
      </c>
      <c r="E10" s="10">
        <v>89</v>
      </c>
      <c r="F10" s="11">
        <v>10</v>
      </c>
      <c r="G10" s="11">
        <v>85</v>
      </c>
      <c r="H10" s="11">
        <v>60</v>
      </c>
      <c r="I10" s="11"/>
      <c r="J10" s="11"/>
      <c r="K10" s="11"/>
      <c r="L10" s="11"/>
      <c r="M10" s="11"/>
      <c r="N10" s="9">
        <f t="shared" si="0"/>
        <v>89</v>
      </c>
      <c r="O10" s="9">
        <f>E10</f>
        <v>89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'1911'!O11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'1911'!O12</f>
        <v>131</v>
      </c>
      <c r="E12" s="14">
        <v>85</v>
      </c>
      <c r="F12" s="11">
        <v>83</v>
      </c>
      <c r="G12" s="11"/>
      <c r="H12" s="11">
        <v>48</v>
      </c>
      <c r="I12" s="11"/>
      <c r="J12" s="11"/>
      <c r="K12" s="11"/>
      <c r="L12" s="11"/>
      <c r="M12" s="11"/>
      <c r="N12" s="9">
        <f t="shared" si="0"/>
        <v>85</v>
      </c>
      <c r="O12" s="9">
        <f>E12</f>
        <v>85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'1911'!O13</f>
        <v>242</v>
      </c>
      <c r="E13" s="14">
        <f>62+198</f>
        <v>260</v>
      </c>
      <c r="F13" s="11">
        <v>158</v>
      </c>
      <c r="G13" s="11">
        <v>34</v>
      </c>
      <c r="H13" s="11">
        <v>50</v>
      </c>
      <c r="I13" s="11"/>
      <c r="J13" s="11"/>
      <c r="K13" s="11"/>
      <c r="L13" s="11"/>
      <c r="M13" s="11"/>
      <c r="N13" s="9">
        <f t="shared" si="0"/>
        <v>260</v>
      </c>
      <c r="O13" s="9">
        <f>E13</f>
        <v>260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'1911'!O14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'1911'!O15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'1911'!O16</f>
        <v>7</v>
      </c>
      <c r="E16" s="14">
        <v>5</v>
      </c>
      <c r="F16" s="11"/>
      <c r="G16" s="11">
        <v>3</v>
      </c>
      <c r="H16" s="11">
        <v>2</v>
      </c>
      <c r="I16" s="11"/>
      <c r="J16" s="11">
        <v>1</v>
      </c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'1911'!O17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'1911'!O18</f>
        <v>2</v>
      </c>
      <c r="E18" s="14"/>
      <c r="F18" s="11"/>
      <c r="G18" s="11"/>
      <c r="H18" s="11">
        <v>1</v>
      </c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'1911'!O19</f>
        <v>2</v>
      </c>
      <c r="E19" s="14">
        <v>1</v>
      </c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'1911'!O20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'1911'!O21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'1911'!O22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'1911'!O23</f>
        <v>60</v>
      </c>
      <c r="E23" s="14"/>
      <c r="F23" s="9"/>
      <c r="G23" s="9"/>
      <c r="H23" s="9"/>
      <c r="I23" s="9">
        <v>32</v>
      </c>
      <c r="J23" s="9"/>
      <c r="K23" s="9"/>
      <c r="L23" s="9"/>
      <c r="M23" s="9"/>
      <c r="N23" s="9">
        <f t="shared" si="0"/>
        <v>28</v>
      </c>
      <c r="O23" s="9">
        <v>28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'1911'!O24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'1911'!O26</f>
        <v>176</v>
      </c>
      <c r="E26" s="10">
        <v>131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197</v>
      </c>
      <c r="O26" s="9">
        <v>197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'1911'!O27</f>
        <v>56</v>
      </c>
      <c r="E27" s="9">
        <v>68</v>
      </c>
      <c r="F27" s="9">
        <v>56</v>
      </c>
      <c r="G27" s="11"/>
      <c r="H27" s="9"/>
      <c r="I27" s="9"/>
      <c r="J27" s="9"/>
      <c r="K27" s="9"/>
      <c r="L27" s="9"/>
      <c r="M27" s="9"/>
      <c r="N27" s="9">
        <f>D27+E27-SUM(F27:M27)</f>
        <v>68</v>
      </c>
      <c r="O27" s="9">
        <v>68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'1911'!O28</f>
        <v>293</v>
      </c>
      <c r="E28" s="9">
        <v>230</v>
      </c>
      <c r="F28" s="9">
        <v>293</v>
      </c>
      <c r="G28" s="11"/>
      <c r="H28" s="9"/>
      <c r="I28" s="9"/>
      <c r="J28" s="9"/>
      <c r="K28" s="9"/>
      <c r="L28" s="9"/>
      <c r="M28" s="9"/>
      <c r="N28" s="9">
        <f>D28+E28-SUM(F28:M28)</f>
        <v>230</v>
      </c>
      <c r="O28" s="9">
        <v>230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'1911'!O29</f>
        <v>137</v>
      </c>
      <c r="E29" s="9">
        <v>38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110</v>
      </c>
      <c r="O29" s="9">
        <v>110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DATE(2015,11,20)</f>
        <v>42328</v>
      </c>
      <c r="E5" s="293">
        <f>D5+1</f>
        <v>42329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12"/>
      <c r="M6" s="212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81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'2011'!O8</f>
        <v>203</v>
      </c>
      <c r="E8" s="10">
        <f>109+95+40</f>
        <v>244</v>
      </c>
      <c r="F8" s="11">
        <v>83</v>
      </c>
      <c r="G8" s="11">
        <v>50</v>
      </c>
      <c r="H8" s="11"/>
      <c r="I8" s="11"/>
      <c r="J8" s="11"/>
      <c r="K8" s="11"/>
      <c r="L8" s="11"/>
      <c r="M8" s="11"/>
      <c r="N8" s="9">
        <f t="shared" ref="N8:N24" si="0">D8+E8-SUM(F8:M8)</f>
        <v>314</v>
      </c>
      <c r="O8" s="9">
        <f>70+E8</f>
        <v>314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'2011'!O9</f>
        <v>0</v>
      </c>
      <c r="E9" s="14">
        <v>88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88</v>
      </c>
      <c r="O9" s="9">
        <f>E9</f>
        <v>88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'2011'!O10</f>
        <v>89</v>
      </c>
      <c r="E10" s="10">
        <f>130+40</f>
        <v>170</v>
      </c>
      <c r="F10" s="11">
        <v>9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200</v>
      </c>
      <c r="O10" s="9">
        <f>30+E10</f>
        <v>200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'2011'!O11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'2011'!O12</f>
        <v>85</v>
      </c>
      <c r="E12" s="14">
        <f>171+29</f>
        <v>200</v>
      </c>
      <c r="F12" s="11">
        <v>20</v>
      </c>
      <c r="G12" s="11">
        <v>50</v>
      </c>
      <c r="H12" s="11"/>
      <c r="I12" s="11"/>
      <c r="J12" s="11"/>
      <c r="K12" s="11"/>
      <c r="L12" s="11"/>
      <c r="M12" s="11"/>
      <c r="N12" s="9">
        <f t="shared" si="0"/>
        <v>215</v>
      </c>
      <c r="O12" s="9">
        <f>15+E12</f>
        <v>215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'2011'!O13</f>
        <v>260</v>
      </c>
      <c r="E13" s="14">
        <f>158+28</f>
        <v>186</v>
      </c>
      <c r="F13" s="11">
        <v>205</v>
      </c>
      <c r="G13" s="11">
        <v>48</v>
      </c>
      <c r="H13" s="11"/>
      <c r="I13" s="11"/>
      <c r="J13" s="11"/>
      <c r="K13" s="11"/>
      <c r="L13" s="11"/>
      <c r="M13" s="11"/>
      <c r="N13" s="9">
        <f t="shared" si="0"/>
        <v>193</v>
      </c>
      <c r="O13" s="9">
        <f>7+E13</f>
        <v>193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'2011'!O14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'2011'!O15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'2011'!O16</f>
        <v>6</v>
      </c>
      <c r="E16" s="14">
        <v>5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'2011'!O17</f>
        <v>2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'2011'!O18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'2011'!O19</f>
        <v>1</v>
      </c>
      <c r="E19" s="14">
        <v>1</v>
      </c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'2011'!O20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'2011'!O21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'2011'!O22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'2011'!O23</f>
        <v>28</v>
      </c>
      <c r="E23" s="14">
        <v>50</v>
      </c>
      <c r="F23" s="9">
        <v>50</v>
      </c>
      <c r="G23" s="9"/>
      <c r="H23" s="9"/>
      <c r="I23" s="9"/>
      <c r="J23" s="9"/>
      <c r="K23" s="9"/>
      <c r="L23" s="9"/>
      <c r="M23" s="9"/>
      <c r="N23" s="9">
        <f t="shared" si="0"/>
        <v>28</v>
      </c>
      <c r="O23" s="9">
        <v>28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'2011'!O24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'2011'!O26</f>
        <v>197</v>
      </c>
      <c r="E26" s="10">
        <f>154+121</f>
        <v>275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352</v>
      </c>
      <c r="O26" s="9">
        <v>352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'2011'!O27</f>
        <v>68</v>
      </c>
      <c r="E27" s="9">
        <v>85</v>
      </c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143</v>
      </c>
      <c r="O27" s="9">
        <v>143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'2011'!O28</f>
        <v>230</v>
      </c>
      <c r="E28" s="9">
        <f>200+135</f>
        <v>335</v>
      </c>
      <c r="F28" s="9">
        <v>107</v>
      </c>
      <c r="G28" s="11"/>
      <c r="H28" s="9"/>
      <c r="I28" s="9"/>
      <c r="J28" s="9"/>
      <c r="K28" s="9"/>
      <c r="L28" s="9"/>
      <c r="M28" s="9"/>
      <c r="N28" s="9">
        <f>D28+E28-SUM(F28:M28)</f>
        <v>458</v>
      </c>
      <c r="O28" s="9">
        <v>458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'2011'!O29</f>
        <v>110</v>
      </c>
      <c r="E29" s="9">
        <f>88+52</f>
        <v>140</v>
      </c>
      <c r="F29" s="9">
        <v>72</v>
      </c>
      <c r="G29" s="11"/>
      <c r="H29" s="9"/>
      <c r="I29" s="9"/>
      <c r="J29" s="9"/>
      <c r="K29" s="9"/>
      <c r="L29" s="9"/>
      <c r="M29" s="9"/>
      <c r="N29" s="9">
        <f>D29+E29-SUM(F29:M29)</f>
        <v>178</v>
      </c>
      <c r="O29" s="9">
        <v>178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DATE(2015,11,20)</f>
        <v>42328</v>
      </c>
      <c r="E5" s="293">
        <f>D5+1</f>
        <v>42329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13"/>
      <c r="M6" s="213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81</v>
      </c>
      <c r="H7" s="5" t="s">
        <v>71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'2111'!O8</f>
        <v>314</v>
      </c>
      <c r="E8" s="10"/>
      <c r="F8" s="11">
        <v>84</v>
      </c>
      <c r="G8" s="11">
        <v>50</v>
      </c>
      <c r="H8" s="11"/>
      <c r="I8" s="11"/>
      <c r="J8" s="11"/>
      <c r="K8" s="11"/>
      <c r="L8" s="11"/>
      <c r="M8" s="11"/>
      <c r="N8" s="9">
        <f t="shared" ref="N8:N24" si="0">D8+E8-SUM(F8:M8)</f>
        <v>180</v>
      </c>
      <c r="O8" s="9">
        <v>180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'2111'!O9</f>
        <v>88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88</v>
      </c>
      <c r="O9" s="9">
        <v>88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'2111'!O10</f>
        <v>200</v>
      </c>
      <c r="E10" s="10"/>
      <c r="F10" s="11">
        <v>10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140</v>
      </c>
      <c r="O10" s="9">
        <v>140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'2111'!O11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'2111'!O12</f>
        <v>215</v>
      </c>
      <c r="E12" s="14"/>
      <c r="F12" s="11">
        <v>20</v>
      </c>
      <c r="G12" s="11">
        <v>50</v>
      </c>
      <c r="H12" s="11"/>
      <c r="I12" s="11"/>
      <c r="J12" s="11"/>
      <c r="K12" s="11"/>
      <c r="L12" s="11"/>
      <c r="M12" s="11"/>
      <c r="N12" s="9">
        <f t="shared" si="0"/>
        <v>145</v>
      </c>
      <c r="O12" s="9">
        <v>145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'2111'!O13</f>
        <v>193</v>
      </c>
      <c r="E13" s="14"/>
      <c r="F13" s="11">
        <v>10</v>
      </c>
      <c r="G13" s="11">
        <v>48</v>
      </c>
      <c r="H13" s="11"/>
      <c r="I13" s="11"/>
      <c r="J13" s="11"/>
      <c r="K13" s="11"/>
      <c r="L13" s="11"/>
      <c r="M13" s="11"/>
      <c r="N13" s="9">
        <f t="shared" si="0"/>
        <v>135</v>
      </c>
      <c r="O13" s="9">
        <v>135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'2111'!O14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'2111'!O15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'2111'!O16</f>
        <v>10</v>
      </c>
      <c r="E16" s="14"/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'2111'!O17</f>
        <v>1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'2111'!O18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'2111'!O19</f>
        <v>1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'2111'!O20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'2111'!O21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'2111'!O22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'2111'!O23</f>
        <v>28</v>
      </c>
      <c r="E23" s="14"/>
      <c r="F23" s="9"/>
      <c r="G23" s="9"/>
      <c r="H23" s="9">
        <v>28</v>
      </c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'2111'!O24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'2111'!O26</f>
        <v>352</v>
      </c>
      <c r="E26" s="10"/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252</v>
      </c>
      <c r="O26" s="9">
        <v>252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'2111'!O27</f>
        <v>143</v>
      </c>
      <c r="E27" s="9"/>
      <c r="F27" s="9">
        <v>22</v>
      </c>
      <c r="G27" s="11"/>
      <c r="H27" s="9"/>
      <c r="I27" s="9"/>
      <c r="J27" s="9"/>
      <c r="K27" s="9"/>
      <c r="L27" s="9"/>
      <c r="M27" s="9"/>
      <c r="N27" s="9">
        <f>D27+E27-SUM(F27:M27)</f>
        <v>121</v>
      </c>
      <c r="O27" s="9">
        <v>121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'2111'!O28</f>
        <v>458</v>
      </c>
      <c r="E28" s="9"/>
      <c r="F28" s="9">
        <v>136</v>
      </c>
      <c r="G28" s="11"/>
      <c r="H28" s="9"/>
      <c r="I28" s="9"/>
      <c r="J28" s="9"/>
      <c r="K28" s="9"/>
      <c r="L28" s="9"/>
      <c r="M28" s="9"/>
      <c r="N28" s="9">
        <f>D28+E28-SUM(F28:M28)</f>
        <v>322</v>
      </c>
      <c r="O28" s="9">
        <v>322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'2111'!O29</f>
        <v>178</v>
      </c>
      <c r="E29" s="9"/>
      <c r="F29" s="9">
        <v>78</v>
      </c>
      <c r="G29" s="11"/>
      <c r="H29" s="9"/>
      <c r="I29" s="9"/>
      <c r="J29" s="9"/>
      <c r="K29" s="9"/>
      <c r="L29" s="9"/>
      <c r="M29" s="9"/>
      <c r="N29" s="9">
        <f>D29+E29-SUM(F29:M29)</f>
        <v>100</v>
      </c>
      <c r="O29" s="9">
        <v>100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DATE(2015,11,22)</f>
        <v>42330</v>
      </c>
      <c r="E5" s="293">
        <f>D5+1</f>
        <v>42331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13"/>
      <c r="M6" s="213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82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'2211'!O8</f>
        <v>180</v>
      </c>
      <c r="E8" s="10"/>
      <c r="F8" s="11">
        <v>84</v>
      </c>
      <c r="G8" s="11">
        <v>60</v>
      </c>
      <c r="H8" s="11"/>
      <c r="I8" s="11"/>
      <c r="J8" s="11"/>
      <c r="K8" s="11"/>
      <c r="L8" s="11"/>
      <c r="M8" s="11"/>
      <c r="N8" s="9">
        <f t="shared" ref="N8:N24" si="0">D8+E8-SUM(F8:M8)</f>
        <v>36</v>
      </c>
      <c r="O8" s="9">
        <v>36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'2211'!O9</f>
        <v>88</v>
      </c>
      <c r="E9" s="14"/>
      <c r="F9" s="11"/>
      <c r="G9" s="11">
        <v>30</v>
      </c>
      <c r="H9" s="11"/>
      <c r="I9" s="11"/>
      <c r="J9" s="11"/>
      <c r="K9" s="11"/>
      <c r="L9" s="11"/>
      <c r="M9" s="11"/>
      <c r="N9" s="9">
        <f t="shared" si="0"/>
        <v>58</v>
      </c>
      <c r="O9" s="9">
        <v>58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'2211'!O10</f>
        <v>140</v>
      </c>
      <c r="E10" s="10"/>
      <c r="F10" s="11"/>
      <c r="G10" s="11">
        <v>60</v>
      </c>
      <c r="H10" s="11"/>
      <c r="I10" s="11"/>
      <c r="J10" s="11"/>
      <c r="K10" s="11"/>
      <c r="L10" s="11"/>
      <c r="M10" s="11"/>
      <c r="N10" s="9">
        <f t="shared" si="0"/>
        <v>80</v>
      </c>
      <c r="O10" s="9">
        <v>80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'2211'!O11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'2211'!O12</f>
        <v>145</v>
      </c>
      <c r="E12" s="14"/>
      <c r="F12" s="11"/>
      <c r="G12" s="11">
        <v>55</v>
      </c>
      <c r="H12" s="11"/>
      <c r="I12" s="11"/>
      <c r="J12" s="11"/>
      <c r="K12" s="11"/>
      <c r="L12" s="11"/>
      <c r="M12" s="11"/>
      <c r="N12" s="9">
        <f t="shared" si="0"/>
        <v>90</v>
      </c>
      <c r="O12" s="9">
        <v>90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'2211'!O13</f>
        <v>135</v>
      </c>
      <c r="E13" s="14"/>
      <c r="F13" s="11"/>
      <c r="G13" s="11">
        <v>47</v>
      </c>
      <c r="H13" s="11"/>
      <c r="I13" s="11"/>
      <c r="J13" s="11"/>
      <c r="K13" s="11"/>
      <c r="L13" s="11"/>
      <c r="M13" s="11"/>
      <c r="N13" s="9">
        <f t="shared" si="0"/>
        <v>88</v>
      </c>
      <c r="O13" s="9">
        <v>88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'2211'!O14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'2211'!O15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'2211'!O16</f>
        <v>9</v>
      </c>
      <c r="E16" s="14"/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'2211'!O17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'2211'!O18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'2211'!O19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'2211'!O20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'2211'!O21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'2211'!O22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'2211'!O23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'2211'!O24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'2211'!O26</f>
        <v>252</v>
      </c>
      <c r="E26" s="10"/>
      <c r="F26" s="9"/>
      <c r="G26" s="11"/>
      <c r="H26" s="9"/>
      <c r="I26" s="9"/>
      <c r="J26" s="9"/>
      <c r="K26" s="9"/>
      <c r="L26" s="9"/>
      <c r="M26" s="9"/>
      <c r="N26" s="9">
        <f>D26+E26-SUM(F26:M26)</f>
        <v>252</v>
      </c>
      <c r="O26" s="9">
        <v>252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'2211'!O27</f>
        <v>121</v>
      </c>
      <c r="E27" s="9"/>
      <c r="F27" s="9"/>
      <c r="G27" s="11"/>
      <c r="H27" s="9"/>
      <c r="I27" s="9"/>
      <c r="J27" s="9"/>
      <c r="K27" s="9"/>
      <c r="L27" s="9"/>
      <c r="M27" s="9"/>
      <c r="N27" s="9">
        <f>D27+E27-SUM(F27:M27)</f>
        <v>121</v>
      </c>
      <c r="O27" s="9">
        <v>121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'2211'!O28</f>
        <v>322</v>
      </c>
      <c r="E28" s="9"/>
      <c r="F28" s="9"/>
      <c r="G28" s="11"/>
      <c r="H28" s="9"/>
      <c r="I28" s="9"/>
      <c r="J28" s="9"/>
      <c r="K28" s="9"/>
      <c r="L28" s="9"/>
      <c r="M28" s="9"/>
      <c r="N28" s="9">
        <f>D28+E28-SUM(F28:M28)</f>
        <v>322</v>
      </c>
      <c r="O28" s="9">
        <v>322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'2211'!O29</f>
        <v>100</v>
      </c>
      <c r="E29" s="9"/>
      <c r="F29" s="9"/>
      <c r="G29" s="11"/>
      <c r="H29" s="9"/>
      <c r="I29" s="9"/>
      <c r="J29" s="9"/>
      <c r="K29" s="9"/>
      <c r="L29" s="9"/>
      <c r="M29" s="9"/>
      <c r="N29" s="9">
        <f>D29+E29-SUM(F29:M29)</f>
        <v>100</v>
      </c>
      <c r="O29" s="9">
        <v>100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DATE(2015,11,23)</f>
        <v>42331</v>
      </c>
      <c r="E5" s="293">
        <f>D5+1</f>
        <v>42332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13"/>
      <c r="M6" s="213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62</v>
      </c>
      <c r="H7" s="5" t="s">
        <v>80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'2311'!O8</f>
        <v>36</v>
      </c>
      <c r="E8" s="10">
        <f>67+95</f>
        <v>162</v>
      </c>
      <c r="F8" s="11">
        <v>86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112</v>
      </c>
      <c r="O8" s="9">
        <v>112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'2311'!O9</f>
        <v>58</v>
      </c>
      <c r="E9" s="14"/>
      <c r="F9" s="11"/>
      <c r="G9" s="11">
        <v>38</v>
      </c>
      <c r="H9" s="11">
        <v>20</v>
      </c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'2311'!O10</f>
        <v>80</v>
      </c>
      <c r="E10" s="10"/>
      <c r="F10" s="11">
        <v>10</v>
      </c>
      <c r="G10" s="11">
        <v>40</v>
      </c>
      <c r="H10" s="11">
        <v>30</v>
      </c>
      <c r="I10" s="11"/>
      <c r="J10" s="11"/>
      <c r="K10" s="11"/>
      <c r="L10" s="11"/>
      <c r="M10" s="11"/>
      <c r="N10" s="9">
        <f t="shared" si="0"/>
        <v>0</v>
      </c>
      <c r="O10" s="9"/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'2311'!O11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'2311'!O12</f>
        <v>90</v>
      </c>
      <c r="E12" s="14"/>
      <c r="F12" s="11">
        <v>20</v>
      </c>
      <c r="G12" s="11">
        <v>50</v>
      </c>
      <c r="H12" s="11">
        <v>20</v>
      </c>
      <c r="I12" s="11"/>
      <c r="J12" s="11"/>
      <c r="K12" s="11"/>
      <c r="L12" s="11"/>
      <c r="M12" s="11"/>
      <c r="N12" s="9">
        <f t="shared" si="0"/>
        <v>0</v>
      </c>
      <c r="O12" s="9"/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'2311'!O13</f>
        <v>88</v>
      </c>
      <c r="E13" s="14"/>
      <c r="F13" s="11">
        <v>18</v>
      </c>
      <c r="G13" s="11">
        <v>40</v>
      </c>
      <c r="H13" s="11">
        <v>30</v>
      </c>
      <c r="I13" s="11"/>
      <c r="J13" s="11"/>
      <c r="K13" s="11"/>
      <c r="L13" s="11"/>
      <c r="M13" s="11"/>
      <c r="N13" s="9">
        <f t="shared" si="0"/>
        <v>0</v>
      </c>
      <c r="O13" s="9"/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'2311'!O14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'2311'!O15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'2311'!O16</f>
        <v>8</v>
      </c>
      <c r="E16" s="14"/>
      <c r="F16" s="11">
        <v>4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3</v>
      </c>
      <c r="O16" s="9">
        <v>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'2311'!O17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'2311'!O18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'2311'!O19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'2311'!O20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'2311'!O21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'2311'!O22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'2311'!O23</f>
        <v>0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40</v>
      </c>
      <c r="O23" s="9">
        <v>40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'2311'!O24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'2311'!O26</f>
        <v>252</v>
      </c>
      <c r="E26" s="10">
        <v>131</v>
      </c>
      <c r="F26" s="9">
        <v>130</v>
      </c>
      <c r="G26" s="11"/>
      <c r="H26" s="9"/>
      <c r="I26" s="9"/>
      <c r="J26" s="9"/>
      <c r="K26" s="9"/>
      <c r="L26" s="9"/>
      <c r="M26" s="9"/>
      <c r="N26" s="9">
        <f>D26+E26-SUM(F26:M26)</f>
        <v>253</v>
      </c>
      <c r="O26" s="9">
        <v>253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'2311'!O27</f>
        <v>121</v>
      </c>
      <c r="E27" s="9">
        <v>37</v>
      </c>
      <c r="F27" s="9">
        <v>40</v>
      </c>
      <c r="G27" s="11"/>
      <c r="H27" s="9"/>
      <c r="I27" s="9"/>
      <c r="J27" s="9"/>
      <c r="K27" s="9"/>
      <c r="L27" s="9"/>
      <c r="M27" s="9"/>
      <c r="N27" s="9">
        <f>D27+E27-SUM(F27:M27)</f>
        <v>118</v>
      </c>
      <c r="O27" s="9">
        <v>118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'2311'!O28</f>
        <v>322</v>
      </c>
      <c r="E28" s="9">
        <v>232</v>
      </c>
      <c r="F28" s="9">
        <v>218</v>
      </c>
      <c r="G28" s="11"/>
      <c r="H28" s="9"/>
      <c r="I28" s="9"/>
      <c r="J28" s="9"/>
      <c r="K28" s="9"/>
      <c r="L28" s="9"/>
      <c r="M28" s="9"/>
      <c r="N28" s="9">
        <f>D28+E28-SUM(F28:M28)</f>
        <v>336</v>
      </c>
      <c r="O28" s="9">
        <v>336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'2311'!O29</f>
        <v>100</v>
      </c>
      <c r="E29" s="9">
        <f>84+34</f>
        <v>118</v>
      </c>
      <c r="F29" s="9">
        <v>100</v>
      </c>
      <c r="G29" s="11"/>
      <c r="H29" s="9"/>
      <c r="I29" s="9"/>
      <c r="J29" s="9"/>
      <c r="K29" s="9"/>
      <c r="L29" s="9"/>
      <c r="M29" s="9"/>
      <c r="N29" s="9">
        <f>D29+E29-SUM(F29:M29)</f>
        <v>118</v>
      </c>
      <c r="O29" s="9">
        <v>118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DATE(2015,11,24)</f>
        <v>42332</v>
      </c>
      <c r="E5" s="293">
        <f>D5+1</f>
        <v>42333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14"/>
      <c r="M6" s="214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38</v>
      </c>
      <c r="H7" s="5" t="s">
        <v>39</v>
      </c>
      <c r="I7" s="5" t="s">
        <v>40</v>
      </c>
      <c r="J7" s="5" t="s">
        <v>71</v>
      </c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'2411'!O8</f>
        <v>112</v>
      </c>
      <c r="E8" s="10">
        <f>100+150+92</f>
        <v>342</v>
      </c>
      <c r="F8" s="11">
        <v>72</v>
      </c>
      <c r="G8" s="11">
        <v>30</v>
      </c>
      <c r="H8" s="11">
        <v>20</v>
      </c>
      <c r="I8" s="11">
        <v>30</v>
      </c>
      <c r="J8" s="11"/>
      <c r="K8" s="11"/>
      <c r="L8" s="11"/>
      <c r="M8" s="11"/>
      <c r="N8" s="9">
        <f t="shared" ref="N8:N24" si="0">D8+E8-SUM(F8:M8)</f>
        <v>302</v>
      </c>
      <c r="O8" s="9">
        <v>302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'2411'!O9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'2411'!O10</f>
        <v>0</v>
      </c>
      <c r="E10" s="10">
        <v>124</v>
      </c>
      <c r="F10" s="11"/>
      <c r="G10" s="11"/>
      <c r="H10" s="11"/>
      <c r="I10" s="11"/>
      <c r="J10" s="11"/>
      <c r="K10" s="11"/>
      <c r="L10" s="11"/>
      <c r="M10" s="11"/>
      <c r="N10" s="9">
        <f t="shared" si="0"/>
        <v>124</v>
      </c>
      <c r="O10" s="9">
        <v>124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'2411'!O11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'2411'!O12</f>
        <v>0</v>
      </c>
      <c r="E12" s="14">
        <v>164</v>
      </c>
      <c r="F12" s="11"/>
      <c r="G12" s="11"/>
      <c r="H12" s="11"/>
      <c r="I12" s="11"/>
      <c r="J12" s="11"/>
      <c r="K12" s="11"/>
      <c r="L12" s="11"/>
      <c r="M12" s="11"/>
      <c r="N12" s="9">
        <f t="shared" si="0"/>
        <v>164</v>
      </c>
      <c r="O12" s="9">
        <v>164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'2411'!O13</f>
        <v>0</v>
      </c>
      <c r="E13" s="14">
        <v>117</v>
      </c>
      <c r="F13" s="11"/>
      <c r="G13" s="11"/>
      <c r="H13" s="11"/>
      <c r="I13" s="11"/>
      <c r="J13" s="11"/>
      <c r="K13" s="11"/>
      <c r="L13" s="11"/>
      <c r="M13" s="11"/>
      <c r="N13" s="9">
        <f t="shared" si="0"/>
        <v>117</v>
      </c>
      <c r="O13" s="9">
        <v>117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'2411'!O14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'2411'!O15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'2411'!O16</f>
        <v>3</v>
      </c>
      <c r="E16" s="14">
        <v>6</v>
      </c>
      <c r="F16" s="11"/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'2411'!O17</f>
        <v>0</v>
      </c>
      <c r="E17" s="14">
        <v>1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'2411'!O18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'2411'!O19</f>
        <v>0</v>
      </c>
      <c r="E19" s="14">
        <v>1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'2411'!O20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'2411'!O21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'2411'!O22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'2411'!O23</f>
        <v>40</v>
      </c>
      <c r="E23" s="14">
        <v>32</v>
      </c>
      <c r="F23" s="9"/>
      <c r="G23" s="9"/>
      <c r="H23" s="9"/>
      <c r="I23" s="9"/>
      <c r="J23" s="9">
        <v>40</v>
      </c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'2411'!O24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'2411'!O26</f>
        <v>253</v>
      </c>
      <c r="E26" s="10">
        <v>66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199</v>
      </c>
      <c r="O26" s="9">
        <v>199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'2411'!O27</f>
        <v>118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108</v>
      </c>
      <c r="O27" s="9">
        <v>108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'2411'!O28</f>
        <v>336</v>
      </c>
      <c r="E28" s="9">
        <v>143</v>
      </c>
      <c r="F28" s="9">
        <v>118</v>
      </c>
      <c r="G28" s="11"/>
      <c r="H28" s="9"/>
      <c r="I28" s="9"/>
      <c r="J28" s="9"/>
      <c r="K28" s="9"/>
      <c r="L28" s="9"/>
      <c r="M28" s="9"/>
      <c r="N28" s="9">
        <f>D28+E28-SUM(F28:M28)</f>
        <v>361</v>
      </c>
      <c r="O28" s="9">
        <v>361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'2411'!O29</f>
        <v>118</v>
      </c>
      <c r="E29" s="9">
        <v>82</v>
      </c>
      <c r="F29" s="9">
        <v>35</v>
      </c>
      <c r="G29" s="11"/>
      <c r="H29" s="9"/>
      <c r="I29" s="9"/>
      <c r="J29" s="9"/>
      <c r="K29" s="9"/>
      <c r="L29" s="9"/>
      <c r="M29" s="9"/>
      <c r="N29" s="9">
        <f>D29+E29-SUM(F29:M29)</f>
        <v>165</v>
      </c>
      <c r="O29" s="9">
        <v>165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6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DATE(2015,4,23)</f>
        <v>42117</v>
      </c>
      <c r="E5" s="293">
        <f>D5+1</f>
        <v>42118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46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49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VLOOKUP($B8,'2304'!$B8:$M22,11,0)</f>
        <v>196</v>
      </c>
      <c r="E8" s="10">
        <f>100+174</f>
        <v>274</v>
      </c>
      <c r="F8" s="11">
        <v>50</v>
      </c>
      <c r="G8" s="11">
        <v>196</v>
      </c>
      <c r="H8" s="11"/>
      <c r="I8" s="11"/>
      <c r="J8" s="11"/>
      <c r="K8" s="9">
        <f>D8+E8-SUM(F8:J8)</f>
        <v>224</v>
      </c>
      <c r="L8" s="9">
        <v>224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VLOOKUP($B9,'2304'!$B9:$M23,11,0)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>
        <v>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VLOOKUP($B10,'2304'!$B10:$M24,11,0)</f>
        <v>120</v>
      </c>
      <c r="E10" s="10">
        <v>120</v>
      </c>
      <c r="F10" s="11"/>
      <c r="G10" s="11">
        <v>100</v>
      </c>
      <c r="H10" s="11"/>
      <c r="I10" s="11"/>
      <c r="J10" s="11"/>
      <c r="K10" s="9">
        <f t="shared" si="1"/>
        <v>140</v>
      </c>
      <c r="L10" s="9">
        <f>20+120</f>
        <v>140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VLOOKUP($B11,'2304'!$B11:$M25,11,0)</f>
        <v>305</v>
      </c>
      <c r="E11" s="10">
        <v>180</v>
      </c>
      <c r="F11" s="11"/>
      <c r="G11" s="11">
        <v>305</v>
      </c>
      <c r="H11" s="11"/>
      <c r="I11" s="11"/>
      <c r="J11" s="11"/>
      <c r="K11" s="9">
        <f t="shared" si="1"/>
        <v>180</v>
      </c>
      <c r="L11" s="9">
        <v>180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VLOOKUP($B12,'2304'!$B12:$M26,11,0)</f>
        <v>250</v>
      </c>
      <c r="E12" s="14">
        <v>172</v>
      </c>
      <c r="F12" s="11"/>
      <c r="G12" s="11">
        <v>150</v>
      </c>
      <c r="H12" s="11"/>
      <c r="I12" s="11"/>
      <c r="J12" s="11"/>
      <c r="K12" s="9">
        <f t="shared" si="1"/>
        <v>272</v>
      </c>
      <c r="L12" s="9">
        <v>272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VLOOKUP($B13,'2304'!$B13:$M27,11,0)</f>
        <v>172</v>
      </c>
      <c r="E13" s="14">
        <v>117</v>
      </c>
      <c r="F13" s="11"/>
      <c r="G13" s="11">
        <v>150</v>
      </c>
      <c r="H13" s="11"/>
      <c r="I13" s="11"/>
      <c r="J13" s="11"/>
      <c r="K13" s="9">
        <f t="shared" si="1"/>
        <v>139</v>
      </c>
      <c r="L13" s="9">
        <v>139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VLOOKUP($B14,'2304'!$B14:$M28,11,0)</f>
        <v>3</v>
      </c>
      <c r="E14" s="14">
        <v>1</v>
      </c>
      <c r="F14" s="11"/>
      <c r="G14" s="11"/>
      <c r="H14" s="11"/>
      <c r="I14" s="11"/>
      <c r="J14" s="11"/>
      <c r="K14" s="9">
        <f t="shared" si="1"/>
        <v>4</v>
      </c>
      <c r="L14" s="9">
        <v>4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VLOOKUP($B15,'2304'!$B15:$M29,11,0)</f>
        <v>0</v>
      </c>
      <c r="E15" s="14">
        <v>4</v>
      </c>
      <c r="F15" s="11"/>
      <c r="G15" s="11">
        <v>4</v>
      </c>
      <c r="H15" s="11"/>
      <c r="I15" s="11"/>
      <c r="J15" s="11"/>
      <c r="K15" s="9">
        <f t="shared" si="1"/>
        <v>0</v>
      </c>
      <c r="L15" s="9">
        <v>0</v>
      </c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VLOOKUP($B16,'2304'!$B16:$M30,11,0)</f>
        <v>5</v>
      </c>
      <c r="E16" s="14"/>
      <c r="F16" s="11"/>
      <c r="G16" s="11"/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VLOOKUP($B17,'2304'!$B17:$M31,11,0)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VLOOKUP($B18,'2304'!$B18:$M32,11,0)</f>
        <v>1</v>
      </c>
      <c r="E18" s="14">
        <v>2</v>
      </c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VLOOKUP($B19,'2304'!$B19:$M33,11,0)</f>
        <v>4</v>
      </c>
      <c r="E19" s="14"/>
      <c r="F19" s="11"/>
      <c r="G19" s="11">
        <v>2</v>
      </c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VLOOKUP($B20,'2304'!$B20:$M34,11,0)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VLOOKUP($B21,'2304'!$B21:$M35,11,0)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VLOOKUP($B22,'2304'!$B22:$M36,11,0)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870</v>
      </c>
      <c r="F24" s="9"/>
      <c r="G24" s="9"/>
      <c r="H24" s="9"/>
      <c r="I24" s="9"/>
      <c r="J24" s="9"/>
      <c r="K24" s="9">
        <f t="shared" si="3"/>
        <v>971</v>
      </c>
      <c r="L24" s="9">
        <f t="shared" si="3"/>
        <v>971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VLOOKUP($B26,'2304'!$B26:$M29,11,0)</f>
        <v>187</v>
      </c>
      <c r="E26" s="10">
        <v>78</v>
      </c>
      <c r="F26" s="9">
        <v>87</v>
      </c>
      <c r="G26" s="11"/>
      <c r="H26" s="9"/>
      <c r="I26" s="9"/>
      <c r="J26" s="9"/>
      <c r="K26" s="9">
        <f t="shared" ref="K26" si="4">D26+E26-F26</f>
        <v>178</v>
      </c>
      <c r="L26" s="9">
        <v>178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VLOOKUP($B27,'2304'!$B27:$M30,11,0)</f>
        <v>91</v>
      </c>
      <c r="E27" s="9">
        <v>69</v>
      </c>
      <c r="F27" s="9">
        <v>30</v>
      </c>
      <c r="G27" s="11"/>
      <c r="H27" s="9"/>
      <c r="I27" s="9"/>
      <c r="J27" s="9"/>
      <c r="K27" s="9">
        <f>D27+E27-F27</f>
        <v>130</v>
      </c>
      <c r="L27" s="9">
        <v>130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VLOOKUP($B28,'2304'!$B28:$M31,11,0)</f>
        <v>357</v>
      </c>
      <c r="E28" s="9">
        <v>148</v>
      </c>
      <c r="F28" s="9">
        <v>118</v>
      </c>
      <c r="G28" s="11"/>
      <c r="H28" s="9"/>
      <c r="I28" s="9"/>
      <c r="J28" s="9"/>
      <c r="K28" s="9">
        <f>D28+E28-F28</f>
        <v>387</v>
      </c>
      <c r="L28" s="9">
        <v>387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VLOOKUP($B29,'2304'!$B29:$M32,11,0)</f>
        <v>128</v>
      </c>
      <c r="E29" s="9">
        <v>91</v>
      </c>
      <c r="F29" s="9">
        <v>50</v>
      </c>
      <c r="G29" s="11"/>
      <c r="H29" s="9"/>
      <c r="I29" s="9"/>
      <c r="J29" s="9"/>
      <c r="K29" s="9">
        <f>D29+E29-F29</f>
        <v>169</v>
      </c>
      <c r="L29" s="9">
        <v>169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3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DATE(2015,11,25)</f>
        <v>42333</v>
      </c>
      <c r="E5" s="293">
        <f>D5+1</f>
        <v>42334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14"/>
      <c r="M6" s="214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71</v>
      </c>
      <c r="H7" s="5" t="s">
        <v>56</v>
      </c>
      <c r="I7" s="5" t="s">
        <v>52</v>
      </c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'2511'!O8</f>
        <v>302</v>
      </c>
      <c r="E8" s="10">
        <f>90+91</f>
        <v>181</v>
      </c>
      <c r="F8" s="11">
        <v>132</v>
      </c>
      <c r="G8" s="11"/>
      <c r="H8" s="11">
        <v>60</v>
      </c>
      <c r="I8" s="11">
        <v>110</v>
      </c>
      <c r="J8" s="11"/>
      <c r="K8" s="11"/>
      <c r="L8" s="11"/>
      <c r="M8" s="11"/>
      <c r="N8" s="9">
        <f t="shared" ref="N8:N24" si="0">D8+E8-SUM(F8:M8)</f>
        <v>181</v>
      </c>
      <c r="O8" s="9">
        <f>E8</f>
        <v>181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'2511'!O9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'2511'!O10</f>
        <v>124</v>
      </c>
      <c r="E10" s="10">
        <v>40</v>
      </c>
      <c r="F10" s="11"/>
      <c r="G10" s="11"/>
      <c r="H10" s="11">
        <v>40</v>
      </c>
      <c r="I10" s="11">
        <v>84</v>
      </c>
      <c r="J10" s="11"/>
      <c r="K10" s="11"/>
      <c r="L10" s="11"/>
      <c r="M10" s="11"/>
      <c r="N10" s="9">
        <f t="shared" si="0"/>
        <v>40</v>
      </c>
      <c r="O10" s="9">
        <f>E10</f>
        <v>40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'2511'!O11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'2511'!O12</f>
        <v>164</v>
      </c>
      <c r="E12" s="14">
        <v>124</v>
      </c>
      <c r="F12" s="11">
        <v>20</v>
      </c>
      <c r="G12" s="11"/>
      <c r="H12" s="11">
        <v>50</v>
      </c>
      <c r="I12" s="11">
        <v>94</v>
      </c>
      <c r="J12" s="11"/>
      <c r="K12" s="11"/>
      <c r="L12" s="11"/>
      <c r="M12" s="11"/>
      <c r="N12" s="9">
        <f t="shared" si="0"/>
        <v>124</v>
      </c>
      <c r="O12" s="9">
        <f>E12</f>
        <v>124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'2511'!O13</f>
        <v>117</v>
      </c>
      <c r="E13" s="14">
        <v>114</v>
      </c>
      <c r="F13" s="11">
        <v>20</v>
      </c>
      <c r="G13" s="11"/>
      <c r="H13" s="11">
        <v>40</v>
      </c>
      <c r="I13" s="11">
        <v>57</v>
      </c>
      <c r="J13" s="11"/>
      <c r="K13" s="11"/>
      <c r="L13" s="11"/>
      <c r="M13" s="11"/>
      <c r="N13" s="9">
        <f t="shared" si="0"/>
        <v>114</v>
      </c>
      <c r="O13" s="9">
        <f>E13</f>
        <v>114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'2511'!O14</f>
        <v>2</v>
      </c>
      <c r="E14" s="14"/>
      <c r="F14" s="11"/>
      <c r="G14" s="11"/>
      <c r="H14" s="11">
        <v>2</v>
      </c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'2511'!O15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'2511'!O16</f>
        <v>6</v>
      </c>
      <c r="E16" s="14">
        <v>8</v>
      </c>
      <c r="F16" s="11"/>
      <c r="G16" s="11"/>
      <c r="H16" s="11">
        <v>2</v>
      </c>
      <c r="I16" s="11">
        <v>2</v>
      </c>
      <c r="J16" s="11"/>
      <c r="K16" s="11"/>
      <c r="L16" s="11"/>
      <c r="M16" s="11"/>
      <c r="N16" s="9">
        <f t="shared" si="0"/>
        <v>10</v>
      </c>
      <c r="O16" s="9">
        <f>2+8</f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'2511'!O17</f>
        <v>1</v>
      </c>
      <c r="E17" s="14"/>
      <c r="F17" s="11"/>
      <c r="G17" s="11"/>
      <c r="H17" s="11">
        <v>1</v>
      </c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'2511'!O18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'2511'!O19</f>
        <v>1</v>
      </c>
      <c r="E19" s="14">
        <v>2</v>
      </c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'2511'!O20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'2511'!O21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'2511'!O22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'2511'!O23</f>
        <v>32</v>
      </c>
      <c r="E23" s="14">
        <v>32</v>
      </c>
      <c r="F23" s="9"/>
      <c r="G23" s="9">
        <v>32</v>
      </c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'2511'!O24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'2511'!O26</f>
        <v>199</v>
      </c>
      <c r="E26" s="10">
        <v>128</v>
      </c>
      <c r="F26" s="9">
        <v>150</v>
      </c>
      <c r="G26" s="11"/>
      <c r="H26" s="9"/>
      <c r="I26" s="9"/>
      <c r="J26" s="9"/>
      <c r="K26" s="9"/>
      <c r="L26" s="9"/>
      <c r="M26" s="9"/>
      <c r="N26" s="9">
        <f>D26+E26-SUM(F26:M26)</f>
        <v>177</v>
      </c>
      <c r="O26" s="9">
        <v>177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'2511'!O27</f>
        <v>108</v>
      </c>
      <c r="E27" s="9"/>
      <c r="F27" s="9">
        <v>25</v>
      </c>
      <c r="G27" s="11"/>
      <c r="H27" s="9"/>
      <c r="I27" s="9"/>
      <c r="J27" s="9"/>
      <c r="K27" s="9"/>
      <c r="L27" s="9"/>
      <c r="M27" s="9"/>
      <c r="N27" s="9">
        <f>D27+E27-SUM(F27:M27)</f>
        <v>83</v>
      </c>
      <c r="O27" s="9">
        <v>83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'2511'!O28</f>
        <v>361</v>
      </c>
      <c r="E28" s="9"/>
      <c r="F28" s="9">
        <v>89</v>
      </c>
      <c r="G28" s="11"/>
      <c r="H28" s="9"/>
      <c r="I28" s="9"/>
      <c r="J28" s="9"/>
      <c r="K28" s="9"/>
      <c r="L28" s="9"/>
      <c r="M28" s="9"/>
      <c r="N28" s="9">
        <f>D28+E28-SUM(F28:M28)</f>
        <v>272</v>
      </c>
      <c r="O28" s="9">
        <v>272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'2511'!O29</f>
        <v>165</v>
      </c>
      <c r="E29" s="9">
        <v>38</v>
      </c>
      <c r="F29" s="9">
        <v>60</v>
      </c>
      <c r="G29" s="11"/>
      <c r="H29" s="9"/>
      <c r="I29" s="9"/>
      <c r="J29" s="9"/>
      <c r="K29" s="9"/>
      <c r="L29" s="9"/>
      <c r="M29" s="9"/>
      <c r="N29" s="9">
        <f>D29+E29-SUM(F29:M29)</f>
        <v>143</v>
      </c>
      <c r="O29" s="9">
        <v>143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DATE(2015,11,26)</f>
        <v>42334</v>
      </c>
      <c r="E5" s="293">
        <f>D5+1</f>
        <v>42335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15"/>
      <c r="M6" s="215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77</v>
      </c>
      <c r="H7" s="5" t="s">
        <v>49</v>
      </c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'2611'!O8</f>
        <v>181</v>
      </c>
      <c r="E8" s="10">
        <v>115</v>
      </c>
      <c r="F8" s="11">
        <v>53</v>
      </c>
      <c r="G8" s="11">
        <v>50</v>
      </c>
      <c r="H8" s="11">
        <v>78</v>
      </c>
      <c r="I8" s="11"/>
      <c r="J8" s="11"/>
      <c r="K8" s="11"/>
      <c r="L8" s="11"/>
      <c r="M8" s="11"/>
      <c r="N8" s="9">
        <f t="shared" ref="N8:N24" si="0">D8+E8-SUM(F8:M8)</f>
        <v>115</v>
      </c>
      <c r="O8" s="9">
        <f>E8</f>
        <v>115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'2611'!O9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'2611'!O10</f>
        <v>40</v>
      </c>
      <c r="E10" s="10"/>
      <c r="F10" s="11">
        <v>30</v>
      </c>
      <c r="G10" s="11"/>
      <c r="H10" s="11"/>
      <c r="I10" s="11"/>
      <c r="J10" s="11"/>
      <c r="K10" s="11"/>
      <c r="L10" s="11"/>
      <c r="M10" s="11"/>
      <c r="N10" s="9">
        <f t="shared" si="0"/>
        <v>10</v>
      </c>
      <c r="O10" s="9">
        <v>10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'2611'!O11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'2611'!O12</f>
        <v>124</v>
      </c>
      <c r="E12" s="14">
        <v>64</v>
      </c>
      <c r="F12" s="11">
        <v>20</v>
      </c>
      <c r="G12" s="11">
        <v>54</v>
      </c>
      <c r="H12" s="11">
        <v>50</v>
      </c>
      <c r="I12" s="11"/>
      <c r="J12" s="11"/>
      <c r="K12" s="11"/>
      <c r="L12" s="11"/>
      <c r="M12" s="11"/>
      <c r="N12" s="9">
        <f t="shared" si="0"/>
        <v>64</v>
      </c>
      <c r="O12" s="9">
        <f>E12</f>
        <v>64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'2611'!O13</f>
        <v>114</v>
      </c>
      <c r="E13" s="14">
        <v>63</v>
      </c>
      <c r="F13" s="11">
        <v>5</v>
      </c>
      <c r="G13" s="11">
        <v>50</v>
      </c>
      <c r="H13" s="11">
        <v>59</v>
      </c>
      <c r="I13" s="11"/>
      <c r="J13" s="11"/>
      <c r="K13" s="11"/>
      <c r="L13" s="11"/>
      <c r="M13" s="11"/>
      <c r="N13" s="9">
        <f t="shared" si="0"/>
        <v>63</v>
      </c>
      <c r="O13" s="9">
        <f>E13</f>
        <v>63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'2611'!O14</f>
        <v>0</v>
      </c>
      <c r="E14" s="14">
        <v>3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f>E14</f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'2611'!O15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'2611'!O16</f>
        <v>10</v>
      </c>
      <c r="E16" s="14"/>
      <c r="F16" s="11"/>
      <c r="G16" s="11">
        <v>1</v>
      </c>
      <c r="H16" s="11">
        <v>2</v>
      </c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'2611'!O17</f>
        <v>0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'2611'!O18</f>
        <v>0</v>
      </c>
      <c r="E18" s="14">
        <v>1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'2611'!O19</f>
        <v>2</v>
      </c>
      <c r="E19" s="14"/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'2611'!O20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'2611'!O21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'2611'!O22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'2611'!O23</f>
        <v>32</v>
      </c>
      <c r="E23" s="14">
        <v>32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'2611'!O24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'2611'!O26</f>
        <v>177</v>
      </c>
      <c r="E26" s="10">
        <f>104+96</f>
        <v>200</v>
      </c>
      <c r="F26" s="9">
        <f>177-2</f>
        <v>175</v>
      </c>
      <c r="G26" s="11"/>
      <c r="H26" s="9"/>
      <c r="I26" s="9"/>
      <c r="J26" s="9"/>
      <c r="K26" s="9"/>
      <c r="L26" s="9"/>
      <c r="M26" s="9"/>
      <c r="N26" s="9">
        <f>D26+E26-SUM(F26:M26)</f>
        <v>202</v>
      </c>
      <c r="O26" s="9">
        <v>202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'2611'!O27</f>
        <v>83</v>
      </c>
      <c r="E27" s="9"/>
      <c r="F27" s="9">
        <f>83-73</f>
        <v>10</v>
      </c>
      <c r="G27" s="11"/>
      <c r="H27" s="9"/>
      <c r="I27" s="9"/>
      <c r="J27" s="9"/>
      <c r="K27" s="9"/>
      <c r="L27" s="9"/>
      <c r="M27" s="9"/>
      <c r="N27" s="9">
        <f>D27+E27-SUM(F27:M27)</f>
        <v>73</v>
      </c>
      <c r="O27" s="9">
        <v>73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'2611'!O28</f>
        <v>272</v>
      </c>
      <c r="E28" s="9"/>
      <c r="F28" s="9">
        <f>272-236</f>
        <v>36</v>
      </c>
      <c r="G28" s="11"/>
      <c r="H28" s="9"/>
      <c r="I28" s="9"/>
      <c r="J28" s="9"/>
      <c r="K28" s="9"/>
      <c r="L28" s="9"/>
      <c r="M28" s="9"/>
      <c r="N28" s="9">
        <f>D28+E28-SUM(F28:M28)</f>
        <v>236</v>
      </c>
      <c r="O28" s="9">
        <v>236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'2611'!O29</f>
        <v>143</v>
      </c>
      <c r="E29" s="9"/>
      <c r="F29" s="9">
        <f>143-21-82</f>
        <v>40</v>
      </c>
      <c r="G29" s="11"/>
      <c r="H29" s="9"/>
      <c r="I29" s="9"/>
      <c r="J29" s="9"/>
      <c r="K29" s="9"/>
      <c r="L29" s="9"/>
      <c r="M29" s="9"/>
      <c r="N29" s="9">
        <f>D29+E29-SUM(F29:M29)</f>
        <v>103</v>
      </c>
      <c r="O29" s="9">
        <v>103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DATE(2015,11,27)</f>
        <v>42335</v>
      </c>
      <c r="E5" s="293">
        <f>D5+1</f>
        <v>42336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15"/>
      <c r="M6" s="215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81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'2711'!O8</f>
        <v>115</v>
      </c>
      <c r="E8" s="10">
        <f>90+36</f>
        <v>126</v>
      </c>
      <c r="F8" s="11">
        <v>80</v>
      </c>
      <c r="G8" s="11">
        <v>35</v>
      </c>
      <c r="H8" s="11"/>
      <c r="I8" s="11"/>
      <c r="J8" s="11"/>
      <c r="K8" s="11"/>
      <c r="L8" s="11"/>
      <c r="M8" s="11"/>
      <c r="N8" s="9">
        <f t="shared" ref="N8:N24" si="0">D8+E8-SUM(F8:M8)</f>
        <v>126</v>
      </c>
      <c r="O8" s="9">
        <f>E8</f>
        <v>126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'2711'!O9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'2711'!O10</f>
        <v>10</v>
      </c>
      <c r="E10" s="10"/>
      <c r="F10" s="11"/>
      <c r="G10" s="11"/>
      <c r="H10" s="11"/>
      <c r="I10" s="11"/>
      <c r="J10" s="11"/>
      <c r="K10" s="11"/>
      <c r="L10" s="11"/>
      <c r="M10" s="11"/>
      <c r="N10" s="9">
        <f t="shared" si="0"/>
        <v>10</v>
      </c>
      <c r="O10" s="9">
        <v>10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'2711'!O11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'2711'!O12</f>
        <v>64</v>
      </c>
      <c r="E12" s="14">
        <v>40</v>
      </c>
      <c r="F12" s="11">
        <v>34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40</v>
      </c>
      <c r="O12" s="9">
        <f>E12</f>
        <v>40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'2711'!O13</f>
        <v>63</v>
      </c>
      <c r="E13" s="14"/>
      <c r="F13" s="11">
        <v>25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8</v>
      </c>
      <c r="O13" s="9">
        <v>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'2711'!O14</f>
        <v>3</v>
      </c>
      <c r="E14" s="14"/>
      <c r="F14" s="11"/>
      <c r="G14" s="11">
        <v>3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'2711'!O15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'2711'!O16</f>
        <v>7</v>
      </c>
      <c r="E16" s="14">
        <v>4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11</v>
      </c>
      <c r="O16" s="9">
        <f>7+4</f>
        <v>11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'2711'!O17</f>
        <v>2</v>
      </c>
      <c r="E17" s="14"/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'2711'!O18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'2711'!O19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'2711'!O20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'2711'!O21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'2711'!O22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'2711'!O23</f>
        <v>64</v>
      </c>
      <c r="E23" s="14">
        <v>32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96</v>
      </c>
      <c r="O23" s="9">
        <v>96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'2711'!O24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'2711'!O26</f>
        <v>202</v>
      </c>
      <c r="E26" s="10">
        <f>55+132</f>
        <v>187</v>
      </c>
      <c r="F26" s="9">
        <f>202-2</f>
        <v>200</v>
      </c>
      <c r="G26" s="11"/>
      <c r="H26" s="9"/>
      <c r="I26" s="9"/>
      <c r="J26" s="9"/>
      <c r="K26" s="9"/>
      <c r="L26" s="9"/>
      <c r="M26" s="9"/>
      <c r="N26" s="9">
        <f>D26+E26-SUM(F26:M26)</f>
        <v>189</v>
      </c>
      <c r="O26" s="9">
        <v>189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'2711'!O27</f>
        <v>73</v>
      </c>
      <c r="E27" s="9">
        <v>30</v>
      </c>
      <c r="F27" s="9">
        <f>73-63</f>
        <v>10</v>
      </c>
      <c r="G27" s="11"/>
      <c r="H27" s="9"/>
      <c r="I27" s="9"/>
      <c r="J27" s="9"/>
      <c r="K27" s="9"/>
      <c r="L27" s="9"/>
      <c r="M27" s="9"/>
      <c r="N27" s="9">
        <f>D27+E27-SUM(F27:M27)</f>
        <v>93</v>
      </c>
      <c r="O27" s="9">
        <v>93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'2711'!O28</f>
        <v>236</v>
      </c>
      <c r="E28" s="9">
        <v>73</v>
      </c>
      <c r="F28" s="9">
        <f>236-150</f>
        <v>86</v>
      </c>
      <c r="G28" s="11"/>
      <c r="H28" s="9"/>
      <c r="I28" s="9"/>
      <c r="J28" s="9"/>
      <c r="K28" s="9"/>
      <c r="L28" s="9"/>
      <c r="M28" s="9"/>
      <c r="N28" s="9">
        <f>D28+E28-SUM(F28:M28)</f>
        <v>223</v>
      </c>
      <c r="O28" s="9">
        <v>223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'2711'!O29</f>
        <v>103</v>
      </c>
      <c r="E29" s="9">
        <v>41</v>
      </c>
      <c r="F29" s="9">
        <f>103-53</f>
        <v>50</v>
      </c>
      <c r="G29" s="11"/>
      <c r="H29" s="9"/>
      <c r="I29" s="9"/>
      <c r="J29" s="9"/>
      <c r="K29" s="9"/>
      <c r="L29" s="9"/>
      <c r="M29" s="9"/>
      <c r="N29" s="9">
        <f>D29+E29-SUM(F29:M29)</f>
        <v>94</v>
      </c>
      <c r="O29" s="9">
        <v>94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F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DATE(2015,11,28)</f>
        <v>42336</v>
      </c>
      <c r="E5" s="293">
        <f>D5+1</f>
        <v>42337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16"/>
      <c r="M6" s="216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/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'2811'!O8</f>
        <v>126</v>
      </c>
      <c r="E8" s="10">
        <f>95+74</f>
        <v>169</v>
      </c>
      <c r="F8" s="11">
        <v>83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212</v>
      </c>
      <c r="O8" s="9">
        <f>43+E8</f>
        <v>212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'2811'!O9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'2811'!O10</f>
        <v>10</v>
      </c>
      <c r="E10" s="10">
        <v>35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35</v>
      </c>
      <c r="O10" s="9">
        <v>35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'2811'!O11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'2811'!O12</f>
        <v>40</v>
      </c>
      <c r="E12" s="14">
        <v>127</v>
      </c>
      <c r="F12" s="11">
        <v>20</v>
      </c>
      <c r="G12" s="11"/>
      <c r="H12" s="11"/>
      <c r="I12" s="11"/>
      <c r="J12" s="11"/>
      <c r="K12" s="11"/>
      <c r="L12" s="11"/>
      <c r="M12" s="11"/>
      <c r="N12" s="9">
        <f t="shared" si="0"/>
        <v>147</v>
      </c>
      <c r="O12" s="9">
        <f>20+E12</f>
        <v>147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'2811'!O13</f>
        <v>8</v>
      </c>
      <c r="E13" s="14">
        <v>79</v>
      </c>
      <c r="F13" s="11"/>
      <c r="G13" s="11"/>
      <c r="H13" s="11"/>
      <c r="I13" s="11"/>
      <c r="J13" s="11"/>
      <c r="K13" s="11"/>
      <c r="L13" s="11"/>
      <c r="M13" s="11"/>
      <c r="N13" s="9">
        <f t="shared" si="0"/>
        <v>87</v>
      </c>
      <c r="O13" s="9">
        <f>8+E13</f>
        <v>87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'2811'!O14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'2811'!O15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'2811'!O16</f>
        <v>11</v>
      </c>
      <c r="E16" s="14">
        <v>4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15</v>
      </c>
      <c r="O16" s="9">
        <v>15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'2811'!O17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'2811'!O18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'2811'!O19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'2811'!O20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'2811'!O21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'2811'!O22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'2811'!O23</f>
        <v>96</v>
      </c>
      <c r="E23" s="14">
        <v>48</v>
      </c>
      <c r="F23" s="9"/>
      <c r="G23" s="9"/>
      <c r="H23" s="9"/>
      <c r="I23" s="9">
        <v>89</v>
      </c>
      <c r="J23" s="9"/>
      <c r="K23" s="9"/>
      <c r="L23" s="9"/>
      <c r="M23" s="9"/>
      <c r="N23" s="9">
        <f t="shared" si="0"/>
        <v>55</v>
      </c>
      <c r="O23" s="9">
        <v>55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'2811'!O24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'2811'!O26</f>
        <v>189</v>
      </c>
      <c r="E26" s="10">
        <v>126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215</v>
      </c>
      <c r="O26" s="9">
        <v>215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'2811'!O27</f>
        <v>93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83</v>
      </c>
      <c r="O27" s="9">
        <v>83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'2811'!O28</f>
        <v>223</v>
      </c>
      <c r="E28" s="9">
        <f>153+73</f>
        <v>226</v>
      </c>
      <c r="F28" s="9">
        <v>67</v>
      </c>
      <c r="G28" s="11"/>
      <c r="H28" s="9"/>
      <c r="I28" s="9"/>
      <c r="J28" s="9"/>
      <c r="K28" s="9"/>
      <c r="L28" s="9"/>
      <c r="M28" s="9"/>
      <c r="N28" s="9">
        <f>D28+E28-SUM(F28:M28)</f>
        <v>382</v>
      </c>
      <c r="O28" s="9">
        <v>382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'2811'!O29</f>
        <v>94</v>
      </c>
      <c r="E29" s="9">
        <v>41</v>
      </c>
      <c r="F29" s="9">
        <v>40</v>
      </c>
      <c r="G29" s="11"/>
      <c r="H29" s="9"/>
      <c r="I29" s="9"/>
      <c r="J29" s="9"/>
      <c r="K29" s="9"/>
      <c r="L29" s="9"/>
      <c r="M29" s="9"/>
      <c r="N29" s="9">
        <f>D29+E29-SUM(F29:M29)</f>
        <v>95</v>
      </c>
      <c r="O29" s="9">
        <v>95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0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92" t="s">
        <v>1</v>
      </c>
      <c r="B5" s="292"/>
      <c r="C5" s="292"/>
      <c r="D5" s="4">
        <f>DATE(2015,11,29)</f>
        <v>42337</v>
      </c>
      <c r="E5" s="293">
        <f>D5+1</f>
        <v>42338</v>
      </c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</row>
    <row r="6" spans="1:16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0"/>
      <c r="K6" s="301"/>
      <c r="L6" s="216"/>
      <c r="M6" s="216"/>
      <c r="N6" s="302" t="s">
        <v>8</v>
      </c>
      <c r="O6" s="289" t="s">
        <v>9</v>
      </c>
      <c r="P6" s="289" t="s">
        <v>10</v>
      </c>
    </row>
    <row r="7" spans="1:16">
      <c r="A7" s="295"/>
      <c r="B7" s="296"/>
      <c r="C7" s="298"/>
      <c r="D7" s="290"/>
      <c r="E7" s="290"/>
      <c r="F7" s="5" t="s">
        <v>11</v>
      </c>
      <c r="G7" s="157" t="s">
        <v>82</v>
      </c>
      <c r="H7" s="5"/>
      <c r="I7" s="5"/>
      <c r="J7" s="5"/>
      <c r="K7" s="5"/>
      <c r="L7" s="5"/>
      <c r="M7" s="5"/>
      <c r="N7" s="302"/>
      <c r="O7" s="290"/>
      <c r="P7" s="290"/>
    </row>
    <row r="8" spans="1:16" ht="18.75">
      <c r="A8" s="6">
        <v>1</v>
      </c>
      <c r="B8" s="7" t="s">
        <v>12</v>
      </c>
      <c r="C8" s="8" t="s">
        <v>13</v>
      </c>
      <c r="D8" s="9">
        <f>'2911'!O8</f>
        <v>212</v>
      </c>
      <c r="E8" s="10">
        <v>126</v>
      </c>
      <c r="F8" s="11">
        <v>72</v>
      </c>
      <c r="G8" s="11">
        <v>30</v>
      </c>
      <c r="H8" s="11"/>
      <c r="I8" s="11"/>
      <c r="J8" s="11"/>
      <c r="K8" s="11"/>
      <c r="L8" s="11"/>
      <c r="M8" s="11"/>
      <c r="N8" s="9">
        <f t="shared" ref="N8:N24" si="0">D8+E8-SUM(F8:M8)</f>
        <v>236</v>
      </c>
      <c r="O8" s="9">
        <f>110+E8</f>
        <v>236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'2911'!O9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'2911'!O10</f>
        <v>35</v>
      </c>
      <c r="E10" s="10">
        <v>45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70</v>
      </c>
      <c r="O10" s="9">
        <f>25+E10</f>
        <v>70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'2911'!O11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'2911'!O12</f>
        <v>147</v>
      </c>
      <c r="E12" s="14">
        <v>88</v>
      </c>
      <c r="F12" s="11">
        <v>96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109</v>
      </c>
      <c r="O12" s="9">
        <f>21+E12</f>
        <v>109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'2911'!O13</f>
        <v>87</v>
      </c>
      <c r="E13" s="14">
        <v>78</v>
      </c>
      <c r="F13" s="11">
        <v>15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120</v>
      </c>
      <c r="O13" s="9">
        <f>8+34+E13</f>
        <v>120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'2911'!O14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'2911'!O15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'2911'!O16</f>
        <v>15</v>
      </c>
      <c r="E16" s="14"/>
      <c r="F16" s="11"/>
      <c r="G16" s="11">
        <v>2</v>
      </c>
      <c r="H16" s="11"/>
      <c r="I16" s="11"/>
      <c r="J16" s="11"/>
      <c r="K16" s="11"/>
      <c r="L16" s="11"/>
      <c r="M16" s="11"/>
      <c r="N16" s="9">
        <f t="shared" si="0"/>
        <v>13</v>
      </c>
      <c r="O16" s="9">
        <v>14</v>
      </c>
      <c r="P16" s="9">
        <f t="shared" si="1"/>
        <v>1</v>
      </c>
    </row>
    <row r="17" spans="1:16" ht="18.75">
      <c r="A17" s="6">
        <v>10</v>
      </c>
      <c r="B17" s="19" t="s">
        <v>25</v>
      </c>
      <c r="C17" s="6" t="s">
        <v>21</v>
      </c>
      <c r="D17" s="9">
        <f>'2911'!O17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'2911'!O18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'2911'!O19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'2911'!O20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'2911'!O21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'2911'!O22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'2911'!O23</f>
        <v>55</v>
      </c>
      <c r="E23" s="14">
        <v>24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79</v>
      </c>
      <c r="O23" s="9">
        <v>79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'2911'!O24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'2911'!O26</f>
        <v>215</v>
      </c>
      <c r="E26" s="10">
        <v>136</v>
      </c>
      <c r="F26" s="9">
        <v>126</v>
      </c>
      <c r="G26" s="11"/>
      <c r="H26" s="9"/>
      <c r="I26" s="9"/>
      <c r="J26" s="9"/>
      <c r="K26" s="9"/>
      <c r="L26" s="9"/>
      <c r="M26" s="9"/>
      <c r="N26" s="9">
        <f>D26+E26-SUM(F26:M26)</f>
        <v>225</v>
      </c>
      <c r="O26" s="9">
        <v>225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'2911'!O27</f>
        <v>83</v>
      </c>
      <c r="E27" s="9">
        <v>36</v>
      </c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89</v>
      </c>
      <c r="O27" s="9">
        <v>89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'2911'!O28</f>
        <v>382</v>
      </c>
      <c r="E28" s="9">
        <v>30</v>
      </c>
      <c r="F28" s="9">
        <v>114</v>
      </c>
      <c r="G28" s="11"/>
      <c r="H28" s="9"/>
      <c r="I28" s="9"/>
      <c r="J28" s="9"/>
      <c r="K28" s="9"/>
      <c r="L28" s="9"/>
      <c r="M28" s="9"/>
      <c r="N28" s="9">
        <f>D28+E28-SUM(F28:M28)</f>
        <v>298</v>
      </c>
      <c r="O28" s="9">
        <v>298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'2911'!O29</f>
        <v>95</v>
      </c>
      <c r="E29" s="9">
        <v>97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127</v>
      </c>
      <c r="O29" s="9">
        <v>127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15" sqref="B15"/>
    </sheetView>
  </sheetViews>
  <sheetFormatPr defaultRowHeight="15"/>
  <sheetData>
    <row r="1" spans="1:7" ht="15.75">
      <c r="A1" s="303" t="s">
        <v>84</v>
      </c>
      <c r="B1" s="303"/>
      <c r="C1" s="303"/>
      <c r="D1" s="303"/>
      <c r="E1" s="303"/>
      <c r="F1" s="303"/>
      <c r="G1" s="187"/>
    </row>
    <row r="2" spans="1:7" ht="15.75">
      <c r="A2" s="187"/>
      <c r="B2" s="187"/>
      <c r="C2" s="187"/>
      <c r="D2" s="187"/>
      <c r="E2" s="187"/>
      <c r="F2" s="187"/>
      <c r="G2" s="187"/>
    </row>
    <row r="3" spans="1:7" ht="25.5">
      <c r="A3" s="304" t="s">
        <v>85</v>
      </c>
      <c r="B3" s="304"/>
      <c r="C3" s="304"/>
      <c r="D3" s="304"/>
      <c r="E3" s="304"/>
      <c r="F3" s="304"/>
      <c r="G3" s="304"/>
    </row>
    <row r="4" spans="1:7" ht="15.75">
      <c r="A4" s="187"/>
      <c r="B4" s="187"/>
      <c r="C4" s="187"/>
      <c r="D4" s="187"/>
      <c r="E4" s="187"/>
      <c r="F4" s="187"/>
      <c r="G4" s="187"/>
    </row>
    <row r="5" spans="1:7" ht="23.25" customHeight="1">
      <c r="A5" s="187" t="s">
        <v>86</v>
      </c>
      <c r="B5" s="187" t="s">
        <v>87</v>
      </c>
      <c r="C5" s="187"/>
      <c r="D5" s="187"/>
      <c r="E5" s="187"/>
      <c r="F5" s="187"/>
      <c r="G5" s="187"/>
    </row>
    <row r="6" spans="1:7" ht="23.25" customHeight="1">
      <c r="A6" s="187"/>
      <c r="B6" s="187" t="s">
        <v>88</v>
      </c>
      <c r="C6" s="187"/>
      <c r="D6" s="187"/>
      <c r="E6" s="187"/>
      <c r="F6" s="187"/>
      <c r="G6" s="187"/>
    </row>
    <row r="7" spans="1:7" ht="23.25" customHeight="1">
      <c r="A7" s="187" t="s">
        <v>89</v>
      </c>
      <c r="B7" s="187" t="s">
        <v>62</v>
      </c>
      <c r="C7" s="187"/>
      <c r="D7" s="187"/>
      <c r="E7" s="187"/>
      <c r="F7" s="187"/>
      <c r="G7" s="187"/>
    </row>
    <row r="8" spans="1:7" ht="23.25" customHeight="1">
      <c r="A8" s="187"/>
      <c r="B8" s="187" t="s">
        <v>90</v>
      </c>
      <c r="C8" s="187"/>
      <c r="D8" s="187"/>
      <c r="E8" s="187"/>
      <c r="F8" s="187"/>
      <c r="G8" s="187"/>
    </row>
    <row r="9" spans="1:7" ht="23.25" customHeight="1">
      <c r="A9" s="187" t="s">
        <v>91</v>
      </c>
      <c r="B9" s="187" t="s">
        <v>92</v>
      </c>
      <c r="C9" s="187"/>
      <c r="D9" s="187"/>
      <c r="E9" s="187"/>
      <c r="F9" s="187"/>
      <c r="G9" s="187"/>
    </row>
    <row r="10" spans="1:7" ht="23.25" customHeight="1">
      <c r="A10" s="187"/>
      <c r="B10" s="187" t="s">
        <v>93</v>
      </c>
      <c r="C10" s="187"/>
      <c r="D10" s="187"/>
      <c r="E10" s="187"/>
      <c r="F10" s="187"/>
      <c r="G10" s="187"/>
    </row>
    <row r="11" spans="1:7" ht="23.25" customHeight="1">
      <c r="A11" s="187"/>
      <c r="B11" s="187" t="s">
        <v>94</v>
      </c>
      <c r="C11" s="187"/>
      <c r="D11" s="187"/>
      <c r="E11" s="187"/>
      <c r="F11" s="187"/>
      <c r="G11" s="187"/>
    </row>
    <row r="12" spans="1:7" ht="23.25" customHeight="1">
      <c r="A12" s="187" t="s">
        <v>95</v>
      </c>
      <c r="B12" s="187" t="s">
        <v>96</v>
      </c>
      <c r="C12" s="187"/>
      <c r="D12" s="187"/>
      <c r="E12" s="187"/>
      <c r="F12" s="187"/>
      <c r="G12" s="187"/>
    </row>
    <row r="13" spans="1:7" ht="23.25" customHeight="1">
      <c r="A13" s="187"/>
      <c r="B13" s="187" t="s">
        <v>97</v>
      </c>
      <c r="C13" s="187"/>
      <c r="D13" s="187"/>
      <c r="E13" s="187"/>
      <c r="F13" s="187"/>
      <c r="G13" s="187"/>
    </row>
    <row r="14" spans="1:7" ht="23.25" customHeight="1">
      <c r="A14" s="187" t="s">
        <v>98</v>
      </c>
      <c r="B14" s="187" t="s">
        <v>101</v>
      </c>
      <c r="C14" s="187"/>
      <c r="D14" s="187"/>
      <c r="E14" s="187"/>
      <c r="F14" s="187"/>
      <c r="G14" s="187"/>
    </row>
    <row r="15" spans="1:7" ht="23.25" customHeight="1">
      <c r="A15" s="187"/>
      <c r="B15" s="187" t="s">
        <v>99</v>
      </c>
      <c r="C15" s="187"/>
      <c r="D15" s="187"/>
      <c r="E15" s="187"/>
      <c r="F15" s="187"/>
      <c r="G15" s="187"/>
    </row>
    <row r="16" spans="1:7" ht="23.25" customHeight="1">
      <c r="A16" s="187" t="s">
        <v>100</v>
      </c>
      <c r="B16" s="187" t="s">
        <v>81</v>
      </c>
      <c r="C16" s="187"/>
      <c r="D16" s="187"/>
      <c r="E16" s="187"/>
      <c r="F16" s="187"/>
      <c r="G16" s="187"/>
    </row>
    <row r="17" spans="1:7" ht="23.25" customHeight="1">
      <c r="A17" s="187"/>
      <c r="B17" s="187"/>
      <c r="C17" s="187"/>
      <c r="D17" s="187"/>
      <c r="E17" s="187"/>
      <c r="F17" s="187"/>
      <c r="G17" s="187"/>
    </row>
    <row r="18" spans="1:7" ht="15.75">
      <c r="A18" s="187"/>
      <c r="B18" s="187"/>
      <c r="C18" s="187"/>
      <c r="D18" s="187"/>
      <c r="E18" s="187"/>
      <c r="F18" s="187"/>
      <c r="G18" s="187"/>
    </row>
    <row r="19" spans="1:7" ht="15.75">
      <c r="A19" s="187"/>
      <c r="B19" s="187"/>
      <c r="C19" s="187"/>
      <c r="D19" s="187"/>
      <c r="E19" s="187"/>
      <c r="F19" s="187"/>
      <c r="G19" s="187"/>
    </row>
    <row r="20" spans="1:7" ht="15.75">
      <c r="A20" s="187"/>
      <c r="B20" s="187"/>
      <c r="C20" s="187"/>
      <c r="D20" s="187"/>
      <c r="E20" s="187"/>
      <c r="F20" s="187"/>
      <c r="G20" s="187"/>
    </row>
    <row r="21" spans="1:7" ht="15.75">
      <c r="A21" s="187"/>
      <c r="B21" s="187"/>
      <c r="C21" s="187"/>
      <c r="D21" s="187"/>
      <c r="E21" s="187"/>
      <c r="F21" s="187"/>
      <c r="G21" s="187"/>
    </row>
    <row r="22" spans="1:7" ht="15.75">
      <c r="A22" s="187"/>
      <c r="B22" s="187"/>
      <c r="C22" s="187"/>
      <c r="D22" s="187"/>
      <c r="E22" s="187"/>
      <c r="F22" s="187"/>
      <c r="G22" s="187"/>
    </row>
  </sheetData>
  <mergeCells count="2">
    <mergeCell ref="A1:F1"/>
    <mergeCell ref="A3:G3"/>
  </mergeCells>
  <pageMargins left="0.7" right="0.7" top="0.75" bottom="0.75" header="0.3" footer="0.3"/>
  <pageSetup orientation="portrait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17" activePane="bottomRight" state="frozen"/>
      <selection activeCell="F29" sqref="F29"/>
      <selection pane="topRight" activeCell="F29" sqref="F29"/>
      <selection pane="bottomLeft" activeCell="F29" sqref="F29"/>
      <selection pane="bottomRight" activeCell="G13" sqref="G13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DATE(2017,5,31)</f>
        <v>42886</v>
      </c>
      <c r="E5" s="293">
        <f>D5+1</f>
        <v>42887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42"/>
      <c r="G6" s="242"/>
      <c r="H6" s="300"/>
      <c r="I6" s="300"/>
      <c r="J6" s="300"/>
      <c r="K6" s="300"/>
      <c r="L6" s="300"/>
      <c r="M6" s="300"/>
      <c r="N6" s="301"/>
      <c r="O6" s="241"/>
      <c r="P6" s="241"/>
      <c r="Q6" s="241"/>
      <c r="R6" s="241"/>
      <c r="S6" s="241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v>220</v>
      </c>
      <c r="E8" s="11">
        <v>1060</v>
      </c>
      <c r="F8" s="10"/>
      <c r="G8" s="10">
        <v>40</v>
      </c>
      <c r="H8" s="11"/>
      <c r="I8" s="11"/>
      <c r="J8" s="11"/>
      <c r="K8" s="11"/>
      <c r="L8" s="11">
        <v>100</v>
      </c>
      <c r="M8" s="11"/>
      <c r="N8" s="11"/>
      <c r="O8" s="11"/>
      <c r="P8" s="11"/>
      <c r="Q8" s="11"/>
      <c r="R8" s="11"/>
      <c r="S8" s="11">
        <v>70</v>
      </c>
      <c r="T8" s="11"/>
      <c r="U8" s="225">
        <f>SUM(F8:T8)</f>
        <v>210</v>
      </c>
      <c r="V8" s="9">
        <f>D8+E8-SUM(F8:T8)</f>
        <v>1070</v>
      </c>
      <c r="W8" s="9">
        <v>1070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v>720</v>
      </c>
      <c r="E9" s="11">
        <v>400</v>
      </c>
      <c r="F9" s="10"/>
      <c r="G9" s="10">
        <v>40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>
        <v>40</v>
      </c>
      <c r="T9" s="11"/>
      <c r="U9" s="225">
        <f t="shared" ref="U9:U29" si="0">SUM(F9:T9)</f>
        <v>80</v>
      </c>
      <c r="V9" s="9">
        <f t="shared" ref="V9:V29" si="1">D9+E9-SUM(F9:T9)</f>
        <v>1040</v>
      </c>
      <c r="W9" s="9">
        <v>1040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v>750</v>
      </c>
      <c r="E10" s="11"/>
      <c r="F10" s="14"/>
      <c r="G10" s="14">
        <v>30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>
        <v>40</v>
      </c>
      <c r="T10" s="11"/>
      <c r="U10" s="225">
        <f t="shared" si="0"/>
        <v>70</v>
      </c>
      <c r="V10" s="9">
        <f t="shared" si="1"/>
        <v>680</v>
      </c>
      <c r="W10" s="9">
        <v>680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v>600</v>
      </c>
      <c r="E11" s="11"/>
      <c r="F11" s="14"/>
      <c r="G11" s="14">
        <v>30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50</v>
      </c>
      <c r="T11" s="11"/>
      <c r="U11" s="225">
        <f t="shared" si="0"/>
        <v>80</v>
      </c>
      <c r="V11" s="9">
        <f t="shared" si="1"/>
        <v>520</v>
      </c>
      <c r="W11" s="9">
        <v>520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v>10</v>
      </c>
      <c r="E12" s="11">
        <v>4</v>
      </c>
      <c r="F12" s="14"/>
      <c r="G12" s="14">
        <v>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1</v>
      </c>
      <c r="T12" s="11"/>
      <c r="U12" s="225">
        <f t="shared" si="0"/>
        <v>2</v>
      </c>
      <c r="V12" s="9">
        <f t="shared" si="1"/>
        <v>12</v>
      </c>
      <c r="W12" s="9">
        <v>12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v>16884</v>
      </c>
      <c r="E13" s="11">
        <v>350</v>
      </c>
      <c r="F13" s="14"/>
      <c r="G13" s="14">
        <v>1000</v>
      </c>
      <c r="H13" s="11">
        <v>200</v>
      </c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>
        <v>400</v>
      </c>
      <c r="O13" s="11">
        <v>800</v>
      </c>
      <c r="P13" s="11"/>
      <c r="Q13" s="11">
        <v>200</v>
      </c>
      <c r="R13" s="11"/>
      <c r="S13" s="11">
        <v>200</v>
      </c>
      <c r="T13" s="11"/>
      <c r="U13" s="225">
        <f t="shared" si="0"/>
        <v>4300</v>
      </c>
      <c r="V13" s="9">
        <f t="shared" si="1"/>
        <v>12934</v>
      </c>
      <c r="W13" s="9">
        <v>12934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v>4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0</v>
      </c>
      <c r="V14" s="9">
        <f t="shared" si="1"/>
        <v>4</v>
      </c>
      <c r="W14" s="9">
        <v>4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v>4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25">
        <f t="shared" si="0"/>
        <v>0</v>
      </c>
      <c r="V15" s="9">
        <f t="shared" si="1"/>
        <v>4</v>
      </c>
      <c r="W15" s="9">
        <v>4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v>10</v>
      </c>
      <c r="E16" s="14"/>
      <c r="F16" s="14"/>
      <c r="G16" s="14"/>
      <c r="H16" s="11"/>
      <c r="I16" s="11">
        <v>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1</v>
      </c>
      <c r="V16" s="9">
        <f t="shared" si="1"/>
        <v>9</v>
      </c>
      <c r="W16" s="9">
        <v>9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0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225">
        <f t="shared" si="0"/>
        <v>0</v>
      </c>
      <c r="V20" s="9">
        <f t="shared" si="1"/>
        <v>0</v>
      </c>
      <c r="W20" s="9"/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v>0</v>
      </c>
      <c r="E24" s="10">
        <v>4</v>
      </c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2</v>
      </c>
      <c r="U24" s="225">
        <f t="shared" si="0"/>
        <v>2</v>
      </c>
      <c r="V24" s="9">
        <f t="shared" si="1"/>
        <v>2</v>
      </c>
      <c r="W24" s="9">
        <v>2</v>
      </c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v>0</v>
      </c>
      <c r="E25" s="9">
        <v>4</v>
      </c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>
        <v>2</v>
      </c>
      <c r="U25" s="225">
        <f t="shared" si="0"/>
        <v>2</v>
      </c>
      <c r="V25" s="9">
        <f t="shared" si="1"/>
        <v>2</v>
      </c>
      <c r="W25" s="9">
        <v>2</v>
      </c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v>0</v>
      </c>
      <c r="E26" s="9">
        <v>4</v>
      </c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>
        <v>2</v>
      </c>
      <c r="U26" s="225">
        <f t="shared" si="0"/>
        <v>2</v>
      </c>
      <c r="V26" s="9">
        <f t="shared" si="1"/>
        <v>2</v>
      </c>
      <c r="W26" s="9">
        <v>2</v>
      </c>
      <c r="X26" s="9">
        <f>W26-V26</f>
        <v>0</v>
      </c>
    </row>
    <row r="27" spans="1:24" ht="18.75">
      <c r="A27" s="6">
        <v>4</v>
      </c>
      <c r="B27" s="20"/>
      <c r="C27" s="6"/>
      <c r="D27" s="9" t="e">
        <f>#REF!</f>
        <v>#REF!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 t="e">
        <f t="shared" si="1"/>
        <v>#REF!</v>
      </c>
      <c r="W27" s="9"/>
      <c r="X27" s="9" t="e">
        <f>W27-V27</f>
        <v>#REF!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14" activePane="bottomRight" state="frozen"/>
      <selection activeCell="F29" sqref="F29"/>
      <selection pane="topRight" activeCell="F29" sqref="F29"/>
      <selection pane="bottomLeft" activeCell="F29" sqref="F29"/>
      <selection pane="bottomRight" activeCell="W22" sqref="W22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DATE(2017,6,1)</f>
        <v>42887</v>
      </c>
      <c r="E5" s="293">
        <f>D5+1</f>
        <v>42888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42"/>
      <c r="G6" s="242"/>
      <c r="H6" s="300"/>
      <c r="I6" s="300"/>
      <c r="J6" s="300"/>
      <c r="K6" s="300"/>
      <c r="L6" s="300"/>
      <c r="M6" s="300"/>
      <c r="N6" s="301"/>
      <c r="O6" s="241"/>
      <c r="P6" s="241"/>
      <c r="Q6" s="241"/>
      <c r="R6" s="241"/>
      <c r="S6" s="241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'1.6'!V8</f>
        <v>1070</v>
      </c>
      <c r="E8" s="11">
        <v>120</v>
      </c>
      <c r="F8" s="10"/>
      <c r="G8" s="10"/>
      <c r="H8" s="11">
        <v>70</v>
      </c>
      <c r="I8" s="11"/>
      <c r="J8" s="11"/>
      <c r="K8" s="11"/>
      <c r="L8" s="11">
        <v>100</v>
      </c>
      <c r="M8" s="11"/>
      <c r="N8" s="11"/>
      <c r="O8" s="11">
        <v>150</v>
      </c>
      <c r="P8" s="11"/>
      <c r="Q8" s="11"/>
      <c r="R8" s="11"/>
      <c r="S8" s="11"/>
      <c r="T8" s="11"/>
      <c r="U8" s="225">
        <f>SUM(F8:T8)</f>
        <v>320</v>
      </c>
      <c r="V8" s="9">
        <f>D8+E8-SUM(F8:T8)</f>
        <v>870</v>
      </c>
      <c r="W8" s="9">
        <v>870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'1.6'!V9</f>
        <v>1040</v>
      </c>
      <c r="E9" s="11"/>
      <c r="F9" s="10"/>
      <c r="G9" s="10"/>
      <c r="H9" s="11">
        <v>40</v>
      </c>
      <c r="I9" s="11"/>
      <c r="J9" s="11"/>
      <c r="K9" s="11"/>
      <c r="L9" s="11"/>
      <c r="M9" s="11"/>
      <c r="N9" s="11"/>
      <c r="O9" s="11">
        <v>100</v>
      </c>
      <c r="P9" s="11"/>
      <c r="Q9" s="11"/>
      <c r="R9" s="11"/>
      <c r="S9" s="11"/>
      <c r="T9" s="11"/>
      <c r="U9" s="225">
        <f t="shared" ref="U9:U29" si="0">SUM(F9:T9)</f>
        <v>140</v>
      </c>
      <c r="V9" s="9">
        <f t="shared" ref="V9:V29" si="1">D9+E9-SUM(F9:T9)</f>
        <v>900</v>
      </c>
      <c r="W9" s="9">
        <v>900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'1.6'!V10</f>
        <v>680</v>
      </c>
      <c r="E10" s="11">
        <v>310</v>
      </c>
      <c r="F10" s="14"/>
      <c r="G10" s="14"/>
      <c r="H10" s="11">
        <v>70</v>
      </c>
      <c r="I10" s="11"/>
      <c r="J10" s="11"/>
      <c r="K10" s="11"/>
      <c r="L10" s="11"/>
      <c r="M10" s="11"/>
      <c r="N10" s="11"/>
      <c r="O10" s="11">
        <v>100</v>
      </c>
      <c r="P10" s="11"/>
      <c r="Q10" s="11"/>
      <c r="R10" s="11"/>
      <c r="S10" s="11"/>
      <c r="T10" s="11"/>
      <c r="U10" s="225">
        <f t="shared" si="0"/>
        <v>170</v>
      </c>
      <c r="V10" s="9">
        <f t="shared" si="1"/>
        <v>820</v>
      </c>
      <c r="W10" s="9">
        <v>820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'1.6'!V11</f>
        <v>520</v>
      </c>
      <c r="E11" s="11">
        <v>320</v>
      </c>
      <c r="F11" s="14"/>
      <c r="G11" s="14"/>
      <c r="H11" s="11">
        <v>70</v>
      </c>
      <c r="I11" s="11"/>
      <c r="J11" s="11"/>
      <c r="K11" s="11"/>
      <c r="L11" s="11"/>
      <c r="M11" s="11"/>
      <c r="N11" s="11"/>
      <c r="O11" s="11">
        <v>100</v>
      </c>
      <c r="P11" s="11"/>
      <c r="Q11" s="11"/>
      <c r="R11" s="11"/>
      <c r="S11" s="11"/>
      <c r="T11" s="11"/>
      <c r="U11" s="225">
        <f t="shared" si="0"/>
        <v>170</v>
      </c>
      <c r="V11" s="9">
        <f t="shared" si="1"/>
        <v>670</v>
      </c>
      <c r="W11" s="9">
        <v>670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'1.6'!V12</f>
        <v>12</v>
      </c>
      <c r="E12" s="11">
        <v>4</v>
      </c>
      <c r="F12" s="14"/>
      <c r="G12" s="14"/>
      <c r="H12" s="11">
        <v>1</v>
      </c>
      <c r="I12" s="11">
        <v>1</v>
      </c>
      <c r="J12" s="11"/>
      <c r="K12" s="11"/>
      <c r="L12" s="11"/>
      <c r="M12" s="11"/>
      <c r="N12" s="11"/>
      <c r="O12" s="11">
        <v>2</v>
      </c>
      <c r="P12" s="11"/>
      <c r="Q12" s="11"/>
      <c r="R12" s="11"/>
      <c r="S12" s="11"/>
      <c r="T12" s="11"/>
      <c r="U12" s="225">
        <f t="shared" si="0"/>
        <v>4</v>
      </c>
      <c r="V12" s="9">
        <f t="shared" si="1"/>
        <v>12</v>
      </c>
      <c r="W12" s="9">
        <v>12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'1.6'!V13</f>
        <v>12934</v>
      </c>
      <c r="E13" s="11">
        <v>5750</v>
      </c>
      <c r="F13" s="14"/>
      <c r="G13" s="14"/>
      <c r="H13" s="11">
        <v>200</v>
      </c>
      <c r="I13" s="11"/>
      <c r="J13" s="11">
        <v>1400</v>
      </c>
      <c r="K13" s="11"/>
      <c r="L13" s="11">
        <v>200</v>
      </c>
      <c r="M13" s="11">
        <v>100</v>
      </c>
      <c r="N13" s="11">
        <v>400</v>
      </c>
      <c r="O13" s="11">
        <v>1400</v>
      </c>
      <c r="P13" s="11">
        <v>200</v>
      </c>
      <c r="Q13" s="11">
        <v>200</v>
      </c>
      <c r="R13" s="11"/>
      <c r="S13" s="11"/>
      <c r="T13" s="11">
        <v>400</v>
      </c>
      <c r="U13" s="225">
        <f t="shared" si="0"/>
        <v>4500</v>
      </c>
      <c r="V13" s="9">
        <f t="shared" si="1"/>
        <v>14184</v>
      </c>
      <c r="W13" s="9">
        <v>14184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'1.6'!V14</f>
        <v>4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0</v>
      </c>
      <c r="V14" s="9">
        <f t="shared" si="1"/>
        <v>4</v>
      </c>
      <c r="W14" s="9">
        <v>4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'1.6'!V15</f>
        <v>4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25">
        <f t="shared" si="0"/>
        <v>0</v>
      </c>
      <c r="V15" s="9">
        <f t="shared" si="1"/>
        <v>4</v>
      </c>
      <c r="W15" s="9">
        <v>4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'1.6'!V16</f>
        <v>9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0</v>
      </c>
      <c r="V16" s="9">
        <f t="shared" si="1"/>
        <v>9</v>
      </c>
      <c r="W16" s="9">
        <v>9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'1.6'!V17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'1.6'!V18</f>
        <v>0</v>
      </c>
      <c r="E18" s="14">
        <v>10</v>
      </c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0</v>
      </c>
      <c r="V18" s="9">
        <f t="shared" si="1"/>
        <v>10</v>
      </c>
      <c r="W18" s="9">
        <v>10</v>
      </c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'1.6'!V19</f>
        <v>0</v>
      </c>
      <c r="E19" s="14">
        <v>15</v>
      </c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0</v>
      </c>
      <c r="V19" s="9">
        <f t="shared" si="1"/>
        <v>15</v>
      </c>
      <c r="W19" s="9">
        <v>15</v>
      </c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'1.6'!V20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225">
        <f t="shared" si="0"/>
        <v>0</v>
      </c>
      <c r="V20" s="9">
        <f t="shared" si="1"/>
        <v>0</v>
      </c>
      <c r="W20" s="9"/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'1.6'!V21</f>
        <v>0</v>
      </c>
      <c r="E21" s="14">
        <v>10</v>
      </c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10</v>
      </c>
      <c r="W21" s="9">
        <v>10</v>
      </c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'1.6'!V22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'1.6'!V23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'1.6'!V24</f>
        <v>2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2</v>
      </c>
      <c r="W24" s="9">
        <v>2</v>
      </c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'1.6'!V25</f>
        <v>2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2</v>
      </c>
      <c r="W25" s="9">
        <v>2</v>
      </c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'1.6'!V26</f>
        <v>2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2</v>
      </c>
      <c r="W26" s="9">
        <v>2</v>
      </c>
      <c r="X26" s="9">
        <f>W26-V26</f>
        <v>0</v>
      </c>
    </row>
    <row r="27" spans="1:24" ht="18.75">
      <c r="A27" s="6">
        <v>4</v>
      </c>
      <c r="B27" s="20"/>
      <c r="C27" s="6"/>
      <c r="D27" s="9" t="e">
        <f>'1.6'!V27</f>
        <v>#REF!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 t="e">
        <f t="shared" si="1"/>
        <v>#REF!</v>
      </c>
      <c r="W27" s="9"/>
      <c r="X27" s="9" t="e">
        <f>W27-V27</f>
        <v>#REF!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F19" sqref="F19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DATE(2017,6,2)</f>
        <v>42888</v>
      </c>
      <c r="E5" s="293">
        <f>D5+1</f>
        <v>42889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44"/>
      <c r="G6" s="244"/>
      <c r="H6" s="300"/>
      <c r="I6" s="300"/>
      <c r="J6" s="300"/>
      <c r="K6" s="300"/>
      <c r="L6" s="300"/>
      <c r="M6" s="300"/>
      <c r="N6" s="301"/>
      <c r="O6" s="243"/>
      <c r="P6" s="243"/>
      <c r="Q6" s="243"/>
      <c r="R6" s="243"/>
      <c r="S6" s="243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'2.6'!V8</f>
        <v>870</v>
      </c>
      <c r="E8" s="11">
        <v>500</v>
      </c>
      <c r="F8" s="10">
        <v>100</v>
      </c>
      <c r="G8" s="10"/>
      <c r="H8" s="11"/>
      <c r="I8" s="11"/>
      <c r="J8" s="11"/>
      <c r="K8" s="11"/>
      <c r="L8" s="11">
        <v>200</v>
      </c>
      <c r="M8" s="11"/>
      <c r="N8" s="11"/>
      <c r="O8" s="11"/>
      <c r="P8" s="11"/>
      <c r="Q8" s="11"/>
      <c r="R8" s="11"/>
      <c r="S8" s="11"/>
      <c r="T8" s="11"/>
      <c r="U8" s="225">
        <f>SUM(F8:T8)</f>
        <v>300</v>
      </c>
      <c r="V8" s="9">
        <f>D8+E8-SUM(F8:T8)</f>
        <v>1070</v>
      </c>
      <c r="W8" s="9">
        <v>1070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'2.6'!V9</f>
        <v>900</v>
      </c>
      <c r="E9" s="11"/>
      <c r="F9" s="10">
        <v>100</v>
      </c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225">
        <f t="shared" ref="U9:U29" si="0">SUM(F9:T9)</f>
        <v>100</v>
      </c>
      <c r="V9" s="9">
        <f t="shared" ref="V9:V29" si="1">D9+E9-SUM(F9:T9)</f>
        <v>800</v>
      </c>
      <c r="W9" s="9">
        <v>800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'2.6'!V10</f>
        <v>820</v>
      </c>
      <c r="E10" s="11"/>
      <c r="F10" s="14">
        <v>100</v>
      </c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225">
        <f t="shared" si="0"/>
        <v>100</v>
      </c>
      <c r="V10" s="9">
        <f t="shared" si="1"/>
        <v>720</v>
      </c>
      <c r="W10" s="9">
        <v>720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'2.6'!V11</f>
        <v>670</v>
      </c>
      <c r="E11" s="11"/>
      <c r="F11" s="14">
        <v>100</v>
      </c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25">
        <f t="shared" si="0"/>
        <v>100</v>
      </c>
      <c r="V11" s="9">
        <f t="shared" si="1"/>
        <v>570</v>
      </c>
      <c r="W11" s="9">
        <v>570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'2.6'!V12</f>
        <v>12</v>
      </c>
      <c r="E12" s="11"/>
      <c r="F12" s="14">
        <v>1</v>
      </c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25">
        <f t="shared" si="0"/>
        <v>1</v>
      </c>
      <c r="V12" s="9">
        <f t="shared" si="1"/>
        <v>11</v>
      </c>
      <c r="W12" s="9">
        <v>11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'2.6'!V13</f>
        <v>14184</v>
      </c>
      <c r="E13" s="11">
        <v>350</v>
      </c>
      <c r="F13" s="14">
        <v>1000</v>
      </c>
      <c r="G13" s="14"/>
      <c r="H13" s="11">
        <v>200</v>
      </c>
      <c r="I13" s="11"/>
      <c r="J13" s="11">
        <v>1400</v>
      </c>
      <c r="K13" s="11"/>
      <c r="L13" s="11">
        <v>200</v>
      </c>
      <c r="M13" s="11">
        <v>100</v>
      </c>
      <c r="N13" s="11">
        <v>400</v>
      </c>
      <c r="O13" s="11">
        <v>1400</v>
      </c>
      <c r="P13" s="11">
        <v>300</v>
      </c>
      <c r="Q13" s="11">
        <v>500</v>
      </c>
      <c r="R13" s="11"/>
      <c r="S13" s="11">
        <v>200</v>
      </c>
      <c r="T13" s="11"/>
      <c r="U13" s="225">
        <f t="shared" si="0"/>
        <v>5700</v>
      </c>
      <c r="V13" s="9">
        <f t="shared" si="1"/>
        <v>8834</v>
      </c>
      <c r="W13" s="9">
        <v>8834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'2.6'!V14</f>
        <v>4</v>
      </c>
      <c r="E14" s="11"/>
      <c r="F14" s="14">
        <v>1</v>
      </c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1</v>
      </c>
      <c r="V14" s="9">
        <f t="shared" si="1"/>
        <v>3</v>
      </c>
      <c r="W14" s="9">
        <v>3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'2.6'!V15</f>
        <v>4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25">
        <f t="shared" si="0"/>
        <v>0</v>
      </c>
      <c r="V15" s="9">
        <f t="shared" si="1"/>
        <v>4</v>
      </c>
      <c r="W15" s="9">
        <v>4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'2.6'!V16</f>
        <v>9</v>
      </c>
      <c r="E16" s="14"/>
      <c r="F16" s="14">
        <v>2</v>
      </c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2</v>
      </c>
      <c r="V16" s="9">
        <f t="shared" si="1"/>
        <v>7</v>
      </c>
      <c r="W16" s="9">
        <v>7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'2.6'!V17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'2.6'!V18</f>
        <v>10</v>
      </c>
      <c r="E18" s="14"/>
      <c r="F18" s="14">
        <v>10</v>
      </c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10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'2.6'!V19</f>
        <v>15</v>
      </c>
      <c r="E19" s="14"/>
      <c r="F19" s="14">
        <v>15</v>
      </c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15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'2.6'!V20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225">
        <f t="shared" si="0"/>
        <v>0</v>
      </c>
      <c r="V20" s="9">
        <f t="shared" si="1"/>
        <v>0</v>
      </c>
      <c r="W20" s="9"/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'2.6'!V21</f>
        <v>10</v>
      </c>
      <c r="E21" s="14"/>
      <c r="F21" s="14">
        <v>10</v>
      </c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10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'2.6'!V22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'2.6'!V23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'2.6'!V24</f>
        <v>2</v>
      </c>
      <c r="E24" s="10"/>
      <c r="F24" s="10"/>
      <c r="G24" s="10"/>
      <c r="H24" s="11"/>
      <c r="I24" s="9"/>
      <c r="J24" s="9"/>
      <c r="K24" s="9">
        <v>2</v>
      </c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2</v>
      </c>
      <c r="V24" s="9">
        <f t="shared" si="1"/>
        <v>0</v>
      </c>
      <c r="W24" s="9"/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'2.6'!V25</f>
        <v>2</v>
      </c>
      <c r="E25" s="9"/>
      <c r="F25" s="9"/>
      <c r="G25" s="9"/>
      <c r="H25" s="11"/>
      <c r="I25" s="9"/>
      <c r="J25" s="9"/>
      <c r="K25" s="9">
        <v>2</v>
      </c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2</v>
      </c>
      <c r="V25" s="9">
        <f t="shared" si="1"/>
        <v>0</v>
      </c>
      <c r="W25" s="9"/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'2.6'!V26</f>
        <v>2</v>
      </c>
      <c r="E26" s="9"/>
      <c r="F26" s="9"/>
      <c r="G26" s="9"/>
      <c r="H26" s="11"/>
      <c r="I26" s="9"/>
      <c r="J26" s="9"/>
      <c r="K26" s="9">
        <v>2</v>
      </c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2</v>
      </c>
      <c r="V26" s="9">
        <f t="shared" si="1"/>
        <v>0</v>
      </c>
      <c r="W26" s="9"/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D8" sqref="D8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DATE(2017,6,3)</f>
        <v>42889</v>
      </c>
      <c r="E5" s="293">
        <f>D5+1</f>
        <v>42890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46"/>
      <c r="G6" s="246"/>
      <c r="H6" s="300"/>
      <c r="I6" s="300"/>
      <c r="J6" s="300"/>
      <c r="K6" s="300"/>
      <c r="L6" s="300"/>
      <c r="M6" s="300"/>
      <c r="N6" s="301"/>
      <c r="O6" s="245"/>
      <c r="P6" s="245"/>
      <c r="Q6" s="245"/>
      <c r="R6" s="245"/>
      <c r="S6" s="245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'3.6'!V8</f>
        <v>1070</v>
      </c>
      <c r="E8" s="11"/>
      <c r="F8" s="10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225">
        <f>SUM(F8:T8)</f>
        <v>0</v>
      </c>
      <c r="V8" s="9">
        <f>D8+E8-SUM(F8:T8)</f>
        <v>1070</v>
      </c>
      <c r="W8" s="9">
        <v>1070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'3.6'!V9</f>
        <v>800</v>
      </c>
      <c r="E9" s="11"/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225">
        <f t="shared" ref="U9:U29" si="0">SUM(F9:T9)</f>
        <v>0</v>
      </c>
      <c r="V9" s="9">
        <f t="shared" ref="V9:V29" si="1">D9+E9-SUM(F9:T9)</f>
        <v>800</v>
      </c>
      <c r="W9" s="9">
        <v>800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'3.6'!V10</f>
        <v>720</v>
      </c>
      <c r="E10" s="11"/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225">
        <f t="shared" si="0"/>
        <v>0</v>
      </c>
      <c r="V10" s="9">
        <f t="shared" si="1"/>
        <v>720</v>
      </c>
      <c r="W10" s="9">
        <v>720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'3.6'!V11</f>
        <v>570</v>
      </c>
      <c r="E11" s="11"/>
      <c r="F11" s="14"/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25">
        <f t="shared" si="0"/>
        <v>0</v>
      </c>
      <c r="V11" s="9">
        <f t="shared" si="1"/>
        <v>570</v>
      </c>
      <c r="W11" s="9">
        <v>570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'3.6'!V12</f>
        <v>11</v>
      </c>
      <c r="E12" s="11"/>
      <c r="F12" s="14"/>
      <c r="G12" s="14"/>
      <c r="H12" s="11"/>
      <c r="I12" s="11"/>
      <c r="J12" s="11"/>
      <c r="K12" s="11">
        <v>1</v>
      </c>
      <c r="L12" s="11"/>
      <c r="M12" s="11"/>
      <c r="N12" s="11"/>
      <c r="O12" s="11"/>
      <c r="P12" s="11"/>
      <c r="Q12" s="11"/>
      <c r="R12" s="11"/>
      <c r="S12" s="11"/>
      <c r="T12" s="11"/>
      <c r="U12" s="225">
        <f t="shared" si="0"/>
        <v>1</v>
      </c>
      <c r="V12" s="9">
        <f t="shared" si="1"/>
        <v>10</v>
      </c>
      <c r="W12" s="9">
        <v>10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'3.6'!V13</f>
        <v>8834</v>
      </c>
      <c r="E13" s="11"/>
      <c r="F13" s="14"/>
      <c r="G13" s="14"/>
      <c r="H13" s="11">
        <v>200</v>
      </c>
      <c r="I13" s="11"/>
      <c r="J13" s="11">
        <v>800</v>
      </c>
      <c r="K13" s="11"/>
      <c r="L13" s="11">
        <v>200</v>
      </c>
      <c r="M13" s="11">
        <v>150</v>
      </c>
      <c r="N13" s="11">
        <v>400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11"/>
      <c r="U13" s="225">
        <f t="shared" si="0"/>
        <v>3150</v>
      </c>
      <c r="V13" s="9">
        <f t="shared" si="1"/>
        <v>5684</v>
      </c>
      <c r="W13" s="9">
        <v>5684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'3.6'!V14</f>
        <v>3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0</v>
      </c>
      <c r="V14" s="9">
        <f t="shared" si="1"/>
        <v>3</v>
      </c>
      <c r="W14" s="9">
        <v>3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'3.6'!V15</f>
        <v>4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>
        <v>1</v>
      </c>
      <c r="U15" s="225">
        <f t="shared" si="0"/>
        <v>1</v>
      </c>
      <c r="V15" s="9">
        <f t="shared" si="1"/>
        <v>3</v>
      </c>
      <c r="W15" s="9">
        <v>3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'3.6'!V16</f>
        <v>7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0</v>
      </c>
      <c r="V16" s="9">
        <f t="shared" si="1"/>
        <v>7</v>
      </c>
      <c r="W16" s="9">
        <v>7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'3.6'!V17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'3.6'!V18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0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'3.6'!V19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'3.6'!V20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225">
        <f t="shared" si="0"/>
        <v>0</v>
      </c>
      <c r="V20" s="9">
        <f t="shared" si="1"/>
        <v>0</v>
      </c>
      <c r="W20" s="9"/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'3.6'!V21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'3.6'!V22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'3.6'!V23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'3.6'!V24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0</v>
      </c>
      <c r="W24" s="9"/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'3.6'!V25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0</v>
      </c>
      <c r="W25" s="9"/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'3.6'!V26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0</v>
      </c>
      <c r="W26" s="9"/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DATE(2015,4,24)</f>
        <v>42118</v>
      </c>
      <c r="E5" s="293">
        <f>D5+1</f>
        <v>42119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47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43</v>
      </c>
      <c r="H7" s="5" t="s">
        <v>52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VLOOKUP($B8,'2404'!$B8:$M22,11,0)</f>
        <v>224</v>
      </c>
      <c r="E8" s="10">
        <f>90+88+71</f>
        <v>249</v>
      </c>
      <c r="F8" s="11"/>
      <c r="G8" s="11">
        <v>200</v>
      </c>
      <c r="H8" s="11">
        <v>24</v>
      </c>
      <c r="I8" s="11"/>
      <c r="J8" s="11"/>
      <c r="K8" s="9">
        <f>D8+E8-SUM(F8:J8)</f>
        <v>249</v>
      </c>
      <c r="L8" s="9">
        <v>249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VLOOKUP($B9,'2404'!$B9:$M23,11,0)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VLOOKUP($B10,'2404'!$B10:$M24,11,0)</f>
        <v>140</v>
      </c>
      <c r="E10" s="10">
        <v>122</v>
      </c>
      <c r="F10" s="11"/>
      <c r="G10" s="11">
        <v>120</v>
      </c>
      <c r="H10" s="11"/>
      <c r="I10" s="11"/>
      <c r="J10" s="11"/>
      <c r="K10" s="9">
        <f t="shared" si="1"/>
        <v>142</v>
      </c>
      <c r="L10" s="9">
        <f>20+122</f>
        <v>142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VLOOKUP($B11,'2404'!$B11:$M25,11,0)</f>
        <v>180</v>
      </c>
      <c r="E11" s="10"/>
      <c r="F11" s="11"/>
      <c r="G11" s="11">
        <v>180</v>
      </c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VLOOKUP($B12,'2404'!$B12:$M26,11,0)</f>
        <v>272</v>
      </c>
      <c r="E12" s="14">
        <v>209</v>
      </c>
      <c r="F12" s="11"/>
      <c r="G12" s="11">
        <v>172</v>
      </c>
      <c r="H12" s="11">
        <v>100</v>
      </c>
      <c r="I12" s="11"/>
      <c r="J12" s="11"/>
      <c r="K12" s="9">
        <f t="shared" si="1"/>
        <v>209</v>
      </c>
      <c r="L12" s="9">
        <v>209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VLOOKUP($B13,'2404'!$B13:$M27,11,0)</f>
        <v>139</v>
      </c>
      <c r="E13" s="14">
        <v>76</v>
      </c>
      <c r="F13" s="11"/>
      <c r="G13" s="11">
        <v>100</v>
      </c>
      <c r="H13" s="11">
        <v>17</v>
      </c>
      <c r="I13" s="11"/>
      <c r="J13" s="11"/>
      <c r="K13" s="9">
        <f t="shared" si="1"/>
        <v>98</v>
      </c>
      <c r="L13" s="9">
        <v>98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VLOOKUP($B14,'2404'!$B14:$M28,11,0)</f>
        <v>4</v>
      </c>
      <c r="E14" s="14"/>
      <c r="F14" s="11"/>
      <c r="G14" s="11">
        <v>3</v>
      </c>
      <c r="H14" s="11"/>
      <c r="I14" s="11"/>
      <c r="J14" s="11"/>
      <c r="K14" s="9">
        <f t="shared" si="1"/>
        <v>1</v>
      </c>
      <c r="L14" s="9">
        <v>1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VLOOKUP($B15,'2404'!$B15:$M29,11,0)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VLOOKUP($B16,'2404'!$B16:$M30,11,0)</f>
        <v>5</v>
      </c>
      <c r="E16" s="14">
        <v>6</v>
      </c>
      <c r="F16" s="11"/>
      <c r="G16" s="11">
        <v>4</v>
      </c>
      <c r="H16" s="11"/>
      <c r="I16" s="11"/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VLOOKUP($B17,'2404'!$B17:$M31,11,0)</f>
        <v>2</v>
      </c>
      <c r="E17" s="14">
        <v>2</v>
      </c>
      <c r="F17" s="11"/>
      <c r="G17" s="11">
        <v>2</v>
      </c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VLOOKUP($B18,'2404'!$B18:$M32,11,0)</f>
        <v>3</v>
      </c>
      <c r="E18" s="14"/>
      <c r="F18" s="11"/>
      <c r="G18" s="11">
        <v>2</v>
      </c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VLOOKUP($B19,'2404'!$B19:$M33,11,0)</f>
        <v>2</v>
      </c>
      <c r="E19" s="14">
        <v>2</v>
      </c>
      <c r="F19" s="11"/>
      <c r="G19" s="11">
        <v>1</v>
      </c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VLOOKUP($B20,'2404'!$B20:$M34,11,0)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VLOOKUP($B21,'2404'!$B21:$M35,11,0)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VLOOKUP($B22,'2404'!$B22:$M36,11,0)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VLOOKUP($B24,'2404'!$B24:$M38,11,0)</f>
        <v>971</v>
      </c>
      <c r="E24" s="9">
        <f t="shared" ref="E24:L24" si="3">SUM(E8:E22)</f>
        <v>666</v>
      </c>
      <c r="F24" s="9"/>
      <c r="G24" s="9"/>
      <c r="H24" s="9"/>
      <c r="I24" s="9"/>
      <c r="J24" s="9"/>
      <c r="K24" s="9">
        <f t="shared" si="3"/>
        <v>712</v>
      </c>
      <c r="L24" s="9">
        <f t="shared" si="3"/>
        <v>712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VLOOKUP($B26,'2404'!$B26:$M29,11,0)</f>
        <v>178</v>
      </c>
      <c r="E26" s="10">
        <f>67+131</f>
        <v>198</v>
      </c>
      <c r="F26" s="9">
        <v>171</v>
      </c>
      <c r="G26" s="11"/>
      <c r="H26" s="9"/>
      <c r="I26" s="9"/>
      <c r="J26" s="9"/>
      <c r="K26" s="9">
        <f t="shared" ref="K26" si="4">D26+E26-F26</f>
        <v>205</v>
      </c>
      <c r="L26" s="9">
        <v>205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VLOOKUP($B27,'2404'!$B27:$M30,11,0)</f>
        <v>130</v>
      </c>
      <c r="E27" s="9"/>
      <c r="F27" s="9">
        <v>19</v>
      </c>
      <c r="G27" s="11"/>
      <c r="H27" s="9"/>
      <c r="I27" s="9"/>
      <c r="J27" s="9"/>
      <c r="K27" s="9">
        <f>D27+E27-F27</f>
        <v>111</v>
      </c>
      <c r="L27" s="9">
        <v>111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VLOOKUP($B28,'2404'!$B28:$M31,11,0)</f>
        <v>387</v>
      </c>
      <c r="E28" s="9">
        <v>147</v>
      </c>
      <c r="F28" s="9">
        <v>204</v>
      </c>
      <c r="G28" s="11"/>
      <c r="H28" s="9"/>
      <c r="I28" s="9"/>
      <c r="J28" s="9"/>
      <c r="K28" s="9">
        <f>D28+E28-F28</f>
        <v>330</v>
      </c>
      <c r="L28" s="9">
        <v>330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VLOOKUP($B29,'2404'!$B29:$M32,11,0)</f>
        <v>169</v>
      </c>
      <c r="E29" s="9">
        <v>91</v>
      </c>
      <c r="F29" s="9">
        <v>72</v>
      </c>
      <c r="G29" s="11"/>
      <c r="H29" s="9"/>
      <c r="I29" s="9"/>
      <c r="J29" s="9"/>
      <c r="K29" s="9">
        <f>D29+E29-F29</f>
        <v>188</v>
      </c>
      <c r="L29" s="9">
        <v>188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  <legacyDrawing r:id="rId1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X17" sqref="X17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5" width="11.5703125" customWidth="1"/>
    <col min="16" max="16" width="11.5703125" style="288" customWidth="1"/>
    <col min="17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80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281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80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DATE(2017,6,4)</f>
        <v>42890</v>
      </c>
      <c r="E5" s="293">
        <f>D5+1</f>
        <v>42891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48"/>
      <c r="G6" s="248"/>
      <c r="H6" s="300"/>
      <c r="I6" s="300"/>
      <c r="J6" s="300"/>
      <c r="K6" s="300"/>
      <c r="L6" s="300"/>
      <c r="M6" s="300"/>
      <c r="N6" s="301"/>
      <c r="O6" s="247"/>
      <c r="P6" s="282"/>
      <c r="Q6" s="247"/>
      <c r="R6" s="247"/>
      <c r="S6" s="247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283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'4.6'!V8</f>
        <v>1070</v>
      </c>
      <c r="E8" s="11"/>
      <c r="F8" s="10"/>
      <c r="G8" s="10"/>
      <c r="H8" s="11"/>
      <c r="I8" s="11"/>
      <c r="J8" s="11"/>
      <c r="K8" s="11"/>
      <c r="L8" s="11"/>
      <c r="M8" s="11"/>
      <c r="N8" s="11"/>
      <c r="O8" s="11"/>
      <c r="P8" s="284">
        <v>60</v>
      </c>
      <c r="Q8" s="11"/>
      <c r="R8" s="11"/>
      <c r="S8" s="11"/>
      <c r="T8" s="11"/>
      <c r="U8" s="225">
        <f>SUM(F8:T8)</f>
        <v>60</v>
      </c>
      <c r="V8" s="9">
        <f>D8+E8-SUM(F8:T8)</f>
        <v>1010</v>
      </c>
      <c r="W8" s="9">
        <v>1010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'4.6'!V9</f>
        <v>800</v>
      </c>
      <c r="E9" s="11"/>
      <c r="F9" s="10"/>
      <c r="G9" s="10"/>
      <c r="H9" s="11"/>
      <c r="I9" s="11"/>
      <c r="J9" s="11"/>
      <c r="K9" s="11"/>
      <c r="L9" s="11">
        <v>50</v>
      </c>
      <c r="M9" s="11"/>
      <c r="N9" s="11"/>
      <c r="O9" s="11"/>
      <c r="P9" s="284">
        <v>70</v>
      </c>
      <c r="Q9" s="11"/>
      <c r="R9" s="11"/>
      <c r="S9" s="11"/>
      <c r="T9" s="11"/>
      <c r="U9" s="225">
        <f t="shared" ref="U9:U29" si="0">SUM(F9:T9)</f>
        <v>120</v>
      </c>
      <c r="V9" s="9">
        <f t="shared" ref="V9:V29" si="1">D9+E9-SUM(F9:T9)</f>
        <v>680</v>
      </c>
      <c r="W9" s="9">
        <v>680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'4.6'!V10</f>
        <v>720</v>
      </c>
      <c r="E10" s="11"/>
      <c r="F10" s="14"/>
      <c r="G10" s="14"/>
      <c r="H10" s="11"/>
      <c r="I10" s="11"/>
      <c r="J10" s="11"/>
      <c r="K10" s="11"/>
      <c r="L10" s="11">
        <v>50</v>
      </c>
      <c r="M10" s="11"/>
      <c r="N10" s="11"/>
      <c r="O10" s="11"/>
      <c r="P10" s="284">
        <v>70</v>
      </c>
      <c r="Q10" s="11"/>
      <c r="R10" s="11"/>
      <c r="S10" s="11"/>
      <c r="T10" s="11"/>
      <c r="U10" s="225">
        <f t="shared" si="0"/>
        <v>120</v>
      </c>
      <c r="V10" s="9">
        <f t="shared" si="1"/>
        <v>600</v>
      </c>
      <c r="W10" s="9">
        <v>600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'4.6'!V11</f>
        <v>570</v>
      </c>
      <c r="E11" s="11"/>
      <c r="F11" s="14"/>
      <c r="G11" s="14"/>
      <c r="H11" s="11"/>
      <c r="I11" s="11"/>
      <c r="J11" s="11"/>
      <c r="K11" s="11"/>
      <c r="L11" s="11">
        <v>50</v>
      </c>
      <c r="M11" s="11"/>
      <c r="N11" s="11"/>
      <c r="O11" s="11"/>
      <c r="P11" s="284">
        <v>60</v>
      </c>
      <c r="Q11" s="11"/>
      <c r="R11" s="11"/>
      <c r="S11" s="11"/>
      <c r="T11" s="11"/>
      <c r="U11" s="225">
        <f t="shared" si="0"/>
        <v>110</v>
      </c>
      <c r="V11" s="9">
        <f t="shared" si="1"/>
        <v>460</v>
      </c>
      <c r="W11" s="9">
        <v>460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'4.6'!V12</f>
        <v>10</v>
      </c>
      <c r="E12" s="11"/>
      <c r="F12" s="14"/>
      <c r="G12" s="14"/>
      <c r="H12" s="11"/>
      <c r="I12" s="11"/>
      <c r="J12" s="11"/>
      <c r="K12" s="11"/>
      <c r="L12" s="11">
        <v>1</v>
      </c>
      <c r="M12" s="11"/>
      <c r="N12" s="11"/>
      <c r="O12" s="11"/>
      <c r="P12" s="284">
        <v>1</v>
      </c>
      <c r="Q12" s="11"/>
      <c r="R12" s="11"/>
      <c r="S12" s="11"/>
      <c r="T12" s="11"/>
      <c r="U12" s="225">
        <f t="shared" si="0"/>
        <v>2</v>
      </c>
      <c r="V12" s="9">
        <f t="shared" si="1"/>
        <v>8</v>
      </c>
      <c r="W12" s="9">
        <v>8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'4.6'!V13</f>
        <v>5684</v>
      </c>
      <c r="E13" s="11"/>
      <c r="F13" s="14"/>
      <c r="G13" s="14"/>
      <c r="H13" s="11">
        <v>200</v>
      </c>
      <c r="I13" s="11"/>
      <c r="J13" s="11">
        <v>800</v>
      </c>
      <c r="K13" s="11">
        <v>200</v>
      </c>
      <c r="L13" s="11">
        <v>200</v>
      </c>
      <c r="M13" s="11">
        <v>100</v>
      </c>
      <c r="N13" s="11">
        <v>400</v>
      </c>
      <c r="O13" s="11">
        <v>800</v>
      </c>
      <c r="P13" s="284">
        <v>200</v>
      </c>
      <c r="Q13" s="11">
        <v>200</v>
      </c>
      <c r="R13" s="11"/>
      <c r="S13" s="11">
        <v>200</v>
      </c>
      <c r="T13" s="11"/>
      <c r="U13" s="225">
        <f t="shared" si="0"/>
        <v>3300</v>
      </c>
      <c r="V13" s="9">
        <f t="shared" si="1"/>
        <v>2384</v>
      </c>
      <c r="W13" s="9">
        <v>2384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'4.6'!V14</f>
        <v>3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284"/>
      <c r="Q14" s="11"/>
      <c r="R14" s="11"/>
      <c r="S14" s="11"/>
      <c r="T14" s="11"/>
      <c r="U14" s="225">
        <f t="shared" si="0"/>
        <v>0</v>
      </c>
      <c r="V14" s="9">
        <f t="shared" si="1"/>
        <v>3</v>
      </c>
      <c r="W14" s="9">
        <v>3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'4.6'!V15</f>
        <v>3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284"/>
      <c r="Q15" s="11"/>
      <c r="R15" s="11"/>
      <c r="S15" s="11"/>
      <c r="T15" s="11"/>
      <c r="U15" s="225">
        <f t="shared" si="0"/>
        <v>0</v>
      </c>
      <c r="V15" s="9">
        <f t="shared" si="1"/>
        <v>3</v>
      </c>
      <c r="W15" s="9">
        <v>3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'4.6'!V16</f>
        <v>7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284"/>
      <c r="Q16" s="11"/>
      <c r="R16" s="11"/>
      <c r="S16" s="11"/>
      <c r="T16" s="11"/>
      <c r="U16" s="225">
        <f t="shared" si="0"/>
        <v>0</v>
      </c>
      <c r="V16" s="9">
        <f t="shared" si="1"/>
        <v>7</v>
      </c>
      <c r="W16" s="9">
        <v>7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'4.6'!V17</f>
        <v>0</v>
      </c>
      <c r="E17" s="14">
        <v>4</v>
      </c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284"/>
      <c r="Q17" s="11"/>
      <c r="R17" s="11"/>
      <c r="S17" s="11"/>
      <c r="T17" s="11"/>
      <c r="U17" s="225">
        <f t="shared" si="0"/>
        <v>0</v>
      </c>
      <c r="V17" s="9">
        <f t="shared" si="1"/>
        <v>4</v>
      </c>
      <c r="W17" s="9">
        <v>4</v>
      </c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'4.6'!V18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284"/>
      <c r="Q18" s="11"/>
      <c r="R18" s="11"/>
      <c r="S18" s="11"/>
      <c r="T18" s="11"/>
      <c r="U18" s="225">
        <f t="shared" si="0"/>
        <v>0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'4.6'!V19</f>
        <v>0</v>
      </c>
      <c r="E19" s="14"/>
      <c r="F19" s="14"/>
      <c r="G19" s="14"/>
      <c r="H19" s="11"/>
      <c r="I19" s="11"/>
      <c r="J19" s="11"/>
      <c r="N19" s="11"/>
      <c r="O19" s="11"/>
      <c r="P19" s="284"/>
      <c r="Q19" s="11"/>
      <c r="R19" s="11"/>
      <c r="S19" s="11"/>
      <c r="T19" s="11"/>
      <c r="U19" s="225">
        <f t="shared" si="0"/>
        <v>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'4.6'!V20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285"/>
      <c r="Q20" s="9"/>
      <c r="R20" s="9"/>
      <c r="S20" s="9"/>
      <c r="T20" s="9"/>
      <c r="U20" s="225">
        <f t="shared" si="0"/>
        <v>0</v>
      </c>
      <c r="V20" s="9">
        <f t="shared" si="1"/>
        <v>0</v>
      </c>
      <c r="W20" s="9"/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'4.6'!V21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285"/>
      <c r="Q21" s="9"/>
      <c r="R21" s="9"/>
      <c r="S21" s="9"/>
      <c r="T21" s="9"/>
      <c r="U21" s="225">
        <f t="shared" si="0"/>
        <v>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'4.6'!V22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285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'4.6'!V23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86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'4.6'!V24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285"/>
      <c r="Q24" s="9"/>
      <c r="R24" s="9"/>
      <c r="S24" s="9"/>
      <c r="T24" s="9"/>
      <c r="U24" s="225">
        <f t="shared" si="0"/>
        <v>0</v>
      </c>
      <c r="V24" s="9">
        <f t="shared" si="1"/>
        <v>0</v>
      </c>
      <c r="W24" s="9"/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'4.6'!V25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285"/>
      <c r="Q25" s="9"/>
      <c r="R25" s="9"/>
      <c r="S25" s="9"/>
      <c r="T25" s="9"/>
      <c r="U25" s="225">
        <f t="shared" si="0"/>
        <v>0</v>
      </c>
      <c r="V25" s="9">
        <f t="shared" si="1"/>
        <v>0</v>
      </c>
      <c r="W25" s="9"/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'4.6'!V26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285"/>
      <c r="Q26" s="9"/>
      <c r="R26" s="9"/>
      <c r="S26" s="9"/>
      <c r="T26" s="9"/>
      <c r="U26" s="225">
        <f t="shared" si="0"/>
        <v>0</v>
      </c>
      <c r="V26" s="9">
        <f t="shared" si="1"/>
        <v>0</v>
      </c>
      <c r="W26" s="9"/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285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8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8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W16" sqref="W16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DATE(2017,6,5)</f>
        <v>42891</v>
      </c>
      <c r="E5" s="293">
        <f>D5+1</f>
        <v>42892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50"/>
      <c r="G6" s="250"/>
      <c r="H6" s="300"/>
      <c r="I6" s="300"/>
      <c r="J6" s="300"/>
      <c r="K6" s="300"/>
      <c r="L6" s="300"/>
      <c r="M6" s="300"/>
      <c r="N6" s="301"/>
      <c r="O6" s="249"/>
      <c r="P6" s="249"/>
      <c r="Q6" s="249"/>
      <c r="R6" s="249"/>
      <c r="S6" s="249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'5.6'!V8</f>
        <v>1010</v>
      </c>
      <c r="E8" s="11">
        <v>110</v>
      </c>
      <c r="F8" s="10"/>
      <c r="G8" s="10"/>
      <c r="H8" s="11"/>
      <c r="I8" s="11">
        <v>70</v>
      </c>
      <c r="J8" s="11">
        <v>180</v>
      </c>
      <c r="K8" s="11">
        <v>70</v>
      </c>
      <c r="L8" s="11">
        <v>110</v>
      </c>
      <c r="M8" s="11"/>
      <c r="N8" s="11"/>
      <c r="O8" s="11"/>
      <c r="P8" s="11"/>
      <c r="Q8" s="11"/>
      <c r="R8" s="11"/>
      <c r="S8" s="11"/>
      <c r="T8" s="11"/>
      <c r="U8" s="225">
        <f>SUM(F8:T8)</f>
        <v>430</v>
      </c>
      <c r="V8" s="9">
        <f>D8+E8-SUM(F8:T8)</f>
        <v>690</v>
      </c>
      <c r="W8" s="9">
        <v>690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'5.6'!V9</f>
        <v>680</v>
      </c>
      <c r="E9" s="11">
        <v>80</v>
      </c>
      <c r="F9" s="10"/>
      <c r="G9" s="10"/>
      <c r="H9" s="11"/>
      <c r="I9" s="11">
        <v>70</v>
      </c>
      <c r="J9" s="11">
        <v>100</v>
      </c>
      <c r="K9" s="11">
        <v>40</v>
      </c>
      <c r="L9" s="11"/>
      <c r="M9" s="11"/>
      <c r="N9" s="11"/>
      <c r="O9" s="11"/>
      <c r="P9" s="11"/>
      <c r="Q9" s="11"/>
      <c r="R9" s="11"/>
      <c r="S9" s="11"/>
      <c r="T9" s="11"/>
      <c r="U9" s="225">
        <f t="shared" ref="U9:U29" si="0">SUM(F9:T9)</f>
        <v>210</v>
      </c>
      <c r="V9" s="9">
        <f t="shared" ref="V9:V29" si="1">D9+E9-SUM(F9:T9)</f>
        <v>550</v>
      </c>
      <c r="W9" s="9">
        <f>360+190</f>
        <v>550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'5.6'!V10</f>
        <v>600</v>
      </c>
      <c r="E10" s="11">
        <v>20</v>
      </c>
      <c r="F10" s="14"/>
      <c r="G10" s="14"/>
      <c r="H10" s="11"/>
      <c r="I10" s="11">
        <v>60</v>
      </c>
      <c r="J10" s="11">
        <v>120</v>
      </c>
      <c r="K10" s="11">
        <v>50</v>
      </c>
      <c r="L10" s="11"/>
      <c r="M10" s="11"/>
      <c r="N10" s="11"/>
      <c r="O10" s="11"/>
      <c r="P10" s="11"/>
      <c r="Q10" s="11"/>
      <c r="R10" s="11"/>
      <c r="S10" s="11"/>
      <c r="T10" s="11"/>
      <c r="U10" s="225">
        <f t="shared" si="0"/>
        <v>230</v>
      </c>
      <c r="V10" s="9">
        <f t="shared" si="1"/>
        <v>390</v>
      </c>
      <c r="W10" s="9">
        <f>200+190</f>
        <v>390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'5.6'!V11</f>
        <v>460</v>
      </c>
      <c r="E11" s="11">
        <v>230</v>
      </c>
      <c r="F11" s="14"/>
      <c r="G11" s="14"/>
      <c r="H11" s="11"/>
      <c r="I11" s="11">
        <v>50</v>
      </c>
      <c r="J11" s="11">
        <v>120</v>
      </c>
      <c r="K11" s="11">
        <v>60</v>
      </c>
      <c r="L11" s="11"/>
      <c r="M11" s="11"/>
      <c r="N11" s="11"/>
      <c r="O11" s="11"/>
      <c r="P11" s="11"/>
      <c r="Q11" s="11"/>
      <c r="R11" s="11"/>
      <c r="S11" s="11"/>
      <c r="T11" s="11"/>
      <c r="U11" s="225">
        <f t="shared" si="0"/>
        <v>230</v>
      </c>
      <c r="V11" s="9">
        <f t="shared" si="1"/>
        <v>460</v>
      </c>
      <c r="W11" s="9">
        <f>130+330</f>
        <v>460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'5.6'!V12</f>
        <v>8</v>
      </c>
      <c r="E12" s="11">
        <v>1</v>
      </c>
      <c r="F12" s="14"/>
      <c r="G12" s="14"/>
      <c r="H12" s="11"/>
      <c r="I12" s="11"/>
      <c r="J12" s="11">
        <v>2</v>
      </c>
      <c r="K12" s="11">
        <v>1</v>
      </c>
      <c r="L12" s="11"/>
      <c r="M12" s="11"/>
      <c r="N12" s="11"/>
      <c r="O12" s="11"/>
      <c r="P12" s="11"/>
      <c r="Q12" s="11"/>
      <c r="R12" s="11"/>
      <c r="S12" s="11"/>
      <c r="T12" s="11"/>
      <c r="U12" s="225">
        <f t="shared" si="0"/>
        <v>3</v>
      </c>
      <c r="V12" s="9">
        <f t="shared" si="1"/>
        <v>6</v>
      </c>
      <c r="W12" s="9">
        <v>6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'5.6'!V13</f>
        <v>2384</v>
      </c>
      <c r="E13" s="11">
        <v>7300</v>
      </c>
      <c r="F13" s="14"/>
      <c r="G13" s="14"/>
      <c r="H13" s="11">
        <v>200</v>
      </c>
      <c r="I13" s="11"/>
      <c r="J13" s="11">
        <v>800</v>
      </c>
      <c r="K13" s="11">
        <v>200</v>
      </c>
      <c r="L13" s="11">
        <v>200</v>
      </c>
      <c r="M13" s="11">
        <v>100</v>
      </c>
      <c r="N13" s="11">
        <v>400</v>
      </c>
      <c r="O13" s="11">
        <v>800</v>
      </c>
      <c r="P13" s="11"/>
      <c r="Q13" s="11">
        <v>200</v>
      </c>
      <c r="R13" s="11"/>
      <c r="S13" s="11">
        <v>200</v>
      </c>
      <c r="T13" s="11">
        <v>200</v>
      </c>
      <c r="U13" s="225">
        <f t="shared" si="0"/>
        <v>3300</v>
      </c>
      <c r="V13" s="9">
        <f t="shared" si="1"/>
        <v>6384</v>
      </c>
      <c r="W13" s="9">
        <v>6400</v>
      </c>
      <c r="X13" s="9">
        <f t="shared" si="2"/>
        <v>16</v>
      </c>
    </row>
    <row r="14" spans="1:25" ht="18.75">
      <c r="A14" s="6">
        <v>11</v>
      </c>
      <c r="B14" s="12" t="s">
        <v>26</v>
      </c>
      <c r="C14" s="6" t="s">
        <v>27</v>
      </c>
      <c r="D14" s="9">
        <f>'5.6'!V14</f>
        <v>3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0</v>
      </c>
      <c r="V14" s="9">
        <f t="shared" si="1"/>
        <v>3</v>
      </c>
      <c r="W14" s="9">
        <v>3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'5.6'!V15</f>
        <v>3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25">
        <f t="shared" si="0"/>
        <v>0</v>
      </c>
      <c r="V15" s="9">
        <f t="shared" si="1"/>
        <v>3</v>
      </c>
      <c r="W15" s="9">
        <v>3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'5.6'!V16</f>
        <v>7</v>
      </c>
      <c r="E16" s="14"/>
      <c r="F16" s="14"/>
      <c r="G16" s="14"/>
      <c r="H16" s="11"/>
      <c r="I16" s="11">
        <v>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1</v>
      </c>
      <c r="V16" s="9">
        <f t="shared" si="1"/>
        <v>6</v>
      </c>
      <c r="W16" s="9">
        <v>6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'5.6'!V17</f>
        <v>4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>
        <v>4</v>
      </c>
      <c r="Q17" s="11"/>
      <c r="R17" s="11"/>
      <c r="S17" s="11"/>
      <c r="T17" s="11"/>
      <c r="U17" s="225">
        <f t="shared" si="0"/>
        <v>4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'5.6'!V18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0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'5.6'!V19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'5.6'!V20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225">
        <f t="shared" si="0"/>
        <v>0</v>
      </c>
      <c r="V20" s="9">
        <f t="shared" si="1"/>
        <v>0</v>
      </c>
      <c r="W20" s="9"/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'5.6'!V21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'5.6'!V22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'5.6'!V23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'5.6'!V24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0</v>
      </c>
      <c r="W24" s="9"/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'5.6'!V25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0</v>
      </c>
      <c r="W25" s="9"/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'5.6'!V26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0</v>
      </c>
      <c r="W26" s="9"/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S12" sqref="S12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DATE(2017,6,6)</f>
        <v>42892</v>
      </c>
      <c r="E5" s="293">
        <f>D5+1</f>
        <v>42893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52"/>
      <c r="G6" s="252"/>
      <c r="H6" s="300"/>
      <c r="I6" s="300"/>
      <c r="J6" s="300"/>
      <c r="K6" s="300"/>
      <c r="L6" s="300"/>
      <c r="M6" s="300"/>
      <c r="N6" s="301"/>
      <c r="O6" s="251"/>
      <c r="P6" s="251"/>
      <c r="Q6" s="251"/>
      <c r="R6" s="251"/>
      <c r="S6" s="251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'6.6'!V8</f>
        <v>690</v>
      </c>
      <c r="E8" s="11">
        <v>410</v>
      </c>
      <c r="F8" s="10"/>
      <c r="G8" s="10"/>
      <c r="H8" s="11"/>
      <c r="I8" s="11"/>
      <c r="J8" s="11"/>
      <c r="K8" s="11"/>
      <c r="L8" s="11">
        <v>100</v>
      </c>
      <c r="M8" s="11"/>
      <c r="N8" s="11">
        <v>150</v>
      </c>
      <c r="O8" s="11"/>
      <c r="P8" s="11"/>
      <c r="Q8" s="11">
        <v>180</v>
      </c>
      <c r="R8" s="11"/>
      <c r="S8" s="11"/>
      <c r="T8" s="11"/>
      <c r="U8" s="225">
        <f>SUM(F8:T8)</f>
        <v>430</v>
      </c>
      <c r="V8" s="9">
        <f>D8+E8-SUM(F8:T8)</f>
        <v>670</v>
      </c>
      <c r="W8" s="9">
        <v>670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'6.6'!V9</f>
        <v>550</v>
      </c>
      <c r="E9" s="11">
        <v>490</v>
      </c>
      <c r="F9" s="10"/>
      <c r="G9" s="10"/>
      <c r="H9" s="11"/>
      <c r="I9" s="11"/>
      <c r="J9" s="11"/>
      <c r="K9" s="11"/>
      <c r="L9" s="11"/>
      <c r="M9" s="11"/>
      <c r="N9" s="11">
        <v>70</v>
      </c>
      <c r="O9" s="11"/>
      <c r="P9" s="11"/>
      <c r="Q9" s="11">
        <v>120</v>
      </c>
      <c r="R9" s="11"/>
      <c r="S9" s="11"/>
      <c r="T9" s="11"/>
      <c r="U9" s="225">
        <f t="shared" ref="U9:U29" si="0">SUM(F9:T9)</f>
        <v>190</v>
      </c>
      <c r="V9" s="9">
        <f t="shared" ref="V9:V29" si="1">D9+E9-SUM(F9:T9)</f>
        <v>850</v>
      </c>
      <c r="W9" s="9">
        <v>850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'6.6'!V10</f>
        <v>390</v>
      </c>
      <c r="E10" s="11">
        <v>300</v>
      </c>
      <c r="F10" s="14"/>
      <c r="G10" s="14"/>
      <c r="H10" s="11"/>
      <c r="I10" s="11"/>
      <c r="J10" s="11"/>
      <c r="K10" s="11"/>
      <c r="L10" s="11"/>
      <c r="M10" s="11"/>
      <c r="N10" s="11">
        <v>70</v>
      </c>
      <c r="O10" s="11"/>
      <c r="P10" s="11"/>
      <c r="Q10" s="11">
        <v>80</v>
      </c>
      <c r="R10" s="11"/>
      <c r="S10" s="11"/>
      <c r="T10" s="11"/>
      <c r="U10" s="225">
        <f t="shared" si="0"/>
        <v>150</v>
      </c>
      <c r="V10" s="9">
        <f t="shared" si="1"/>
        <v>540</v>
      </c>
      <c r="W10" s="9">
        <v>540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'6.6'!V11</f>
        <v>460</v>
      </c>
      <c r="E11" s="11">
        <v>330</v>
      </c>
      <c r="F11" s="14"/>
      <c r="G11" s="14"/>
      <c r="H11" s="11"/>
      <c r="I11" s="11"/>
      <c r="J11" s="11"/>
      <c r="K11" s="11"/>
      <c r="L11" s="11"/>
      <c r="M11" s="11"/>
      <c r="N11" s="11">
        <v>70</v>
      </c>
      <c r="O11" s="11"/>
      <c r="P11" s="11"/>
      <c r="Q11" s="11">
        <v>100</v>
      </c>
      <c r="R11" s="11"/>
      <c r="S11" s="11"/>
      <c r="T11" s="11"/>
      <c r="U11" s="225">
        <f t="shared" si="0"/>
        <v>170</v>
      </c>
      <c r="V11" s="9">
        <f t="shared" si="1"/>
        <v>620</v>
      </c>
      <c r="W11" s="9">
        <v>620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'6.6'!V12</f>
        <v>6</v>
      </c>
      <c r="E12" s="11">
        <v>10</v>
      </c>
      <c r="F12" s="14"/>
      <c r="G12" s="14"/>
      <c r="H12" s="11"/>
      <c r="I12" s="11"/>
      <c r="J12" s="11"/>
      <c r="K12" s="11"/>
      <c r="L12" s="11"/>
      <c r="M12" s="11"/>
      <c r="N12" s="11">
        <v>1</v>
      </c>
      <c r="O12" s="11"/>
      <c r="P12" s="11"/>
      <c r="Q12" s="11">
        <v>2</v>
      </c>
      <c r="R12" s="11"/>
      <c r="S12" s="11"/>
      <c r="T12" s="11"/>
      <c r="U12" s="225">
        <f t="shared" si="0"/>
        <v>3</v>
      </c>
      <c r="V12" s="9">
        <f t="shared" si="1"/>
        <v>13</v>
      </c>
      <c r="W12" s="9">
        <v>13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'6.6'!V13</f>
        <v>6384</v>
      </c>
      <c r="E13" s="11">
        <v>2550</v>
      </c>
      <c r="F13" s="14"/>
      <c r="G13" s="14"/>
      <c r="H13" s="11">
        <v>200</v>
      </c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>
        <v>400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11">
        <v>200</v>
      </c>
      <c r="U13" s="225">
        <f t="shared" si="0"/>
        <v>3700</v>
      </c>
      <c r="V13" s="9">
        <f t="shared" si="1"/>
        <v>5234</v>
      </c>
      <c r="W13" s="9">
        <v>5234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'6.6'!V14</f>
        <v>3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>
        <v>1</v>
      </c>
      <c r="R14" s="11"/>
      <c r="S14" s="11"/>
      <c r="T14" s="11"/>
      <c r="U14" s="225">
        <f t="shared" si="0"/>
        <v>1</v>
      </c>
      <c r="V14" s="9">
        <f t="shared" si="1"/>
        <v>2</v>
      </c>
      <c r="W14" s="9">
        <v>2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'6.6'!V15</f>
        <v>3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>
        <v>1</v>
      </c>
      <c r="R15" s="11"/>
      <c r="S15" s="11"/>
      <c r="T15" s="11"/>
      <c r="U15" s="225">
        <f t="shared" si="0"/>
        <v>1</v>
      </c>
      <c r="V15" s="9">
        <f t="shared" si="1"/>
        <v>2</v>
      </c>
      <c r="W15" s="9">
        <v>2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'6.6'!V16</f>
        <v>6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0</v>
      </c>
      <c r="V16" s="9">
        <f t="shared" si="1"/>
        <v>6</v>
      </c>
      <c r="W16" s="9">
        <v>6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'6.6'!V17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'6.6'!V18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0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'6.6'!V19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'6.6'!V20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225">
        <f t="shared" si="0"/>
        <v>0</v>
      </c>
      <c r="V20" s="9">
        <f t="shared" si="1"/>
        <v>0</v>
      </c>
      <c r="W20" s="9"/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'6.6'!V21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'6.6'!V22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'6.6'!V23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'6.6'!V24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0</v>
      </c>
      <c r="W24" s="9"/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'6.6'!V25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0</v>
      </c>
      <c r="W25" s="9"/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'6.6'!V26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0</v>
      </c>
      <c r="W26" s="9"/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H18" sqref="H18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DATE(2017,6,7)</f>
        <v>42893</v>
      </c>
      <c r="E5" s="293">
        <f>D5+1</f>
        <v>42894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54"/>
      <c r="G6" s="254"/>
      <c r="H6" s="300"/>
      <c r="I6" s="300"/>
      <c r="J6" s="300"/>
      <c r="K6" s="300"/>
      <c r="L6" s="300"/>
      <c r="M6" s="300"/>
      <c r="N6" s="301"/>
      <c r="O6" s="253"/>
      <c r="P6" s="253"/>
      <c r="Q6" s="253"/>
      <c r="R6" s="253"/>
      <c r="S6" s="253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'7.6'!V8</f>
        <v>670</v>
      </c>
      <c r="E8" s="11">
        <v>380</v>
      </c>
      <c r="F8" s="10"/>
      <c r="G8" s="10">
        <v>50</v>
      </c>
      <c r="H8" s="11"/>
      <c r="I8" s="11"/>
      <c r="J8" s="11"/>
      <c r="K8" s="11"/>
      <c r="L8" s="11">
        <v>100</v>
      </c>
      <c r="M8" s="11"/>
      <c r="N8" s="11"/>
      <c r="O8" s="11"/>
      <c r="P8" s="11"/>
      <c r="Q8" s="11"/>
      <c r="R8" s="11"/>
      <c r="S8" s="11">
        <v>40</v>
      </c>
      <c r="T8" s="11"/>
      <c r="U8" s="225">
        <f>SUM(F8:T8)</f>
        <v>190</v>
      </c>
      <c r="V8" s="9">
        <f>D8+E8-SUM(F8:T8)</f>
        <v>860</v>
      </c>
      <c r="W8" s="9">
        <v>860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'7.6'!V9</f>
        <v>850</v>
      </c>
      <c r="E9" s="11">
        <v>200</v>
      </c>
      <c r="F9" s="10"/>
      <c r="G9" s="10">
        <v>40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>
        <v>60</v>
      </c>
      <c r="T9" s="11"/>
      <c r="U9" s="225">
        <f t="shared" ref="U9:U29" si="0">SUM(F9:T9)</f>
        <v>100</v>
      </c>
      <c r="V9" s="9">
        <f t="shared" ref="V9:V29" si="1">D9+E9-SUM(F9:T9)</f>
        <v>950</v>
      </c>
      <c r="W9" s="9">
        <v>950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'7.6'!V10</f>
        <v>540</v>
      </c>
      <c r="E10" s="11">
        <v>320</v>
      </c>
      <c r="F10" s="14"/>
      <c r="G10" s="14">
        <v>50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>
        <v>30</v>
      </c>
      <c r="T10" s="11"/>
      <c r="U10" s="225">
        <f t="shared" si="0"/>
        <v>80</v>
      </c>
      <c r="V10" s="9">
        <f t="shared" si="1"/>
        <v>780</v>
      </c>
      <c r="W10" s="9">
        <v>780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'7.6'!V11</f>
        <v>620</v>
      </c>
      <c r="E11" s="11">
        <v>310</v>
      </c>
      <c r="F11" s="14"/>
      <c r="G11" s="14">
        <v>50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50</v>
      </c>
      <c r="T11" s="11"/>
      <c r="U11" s="225">
        <f t="shared" si="0"/>
        <v>100</v>
      </c>
      <c r="V11" s="9">
        <f t="shared" si="1"/>
        <v>830</v>
      </c>
      <c r="W11" s="9">
        <v>830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'7.6'!V12</f>
        <v>13</v>
      </c>
      <c r="E12" s="11"/>
      <c r="F12" s="14"/>
      <c r="G12" s="14">
        <v>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1</v>
      </c>
      <c r="T12" s="11"/>
      <c r="U12" s="225">
        <f t="shared" si="0"/>
        <v>2</v>
      </c>
      <c r="V12" s="9">
        <f t="shared" si="1"/>
        <v>11</v>
      </c>
      <c r="W12" s="9">
        <v>11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'7.6'!V13</f>
        <v>5234</v>
      </c>
      <c r="E13" s="11">
        <v>5000</v>
      </c>
      <c r="F13" s="14"/>
      <c r="G13" s="317">
        <v>1000</v>
      </c>
      <c r="H13" s="11"/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>
        <v>400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11"/>
      <c r="U13" s="225">
        <f t="shared" si="0"/>
        <v>4300</v>
      </c>
      <c r="V13" s="9">
        <f t="shared" si="1"/>
        <v>5934</v>
      </c>
      <c r="W13" s="9">
        <v>6934</v>
      </c>
      <c r="X13" s="9">
        <f t="shared" si="2"/>
        <v>1000</v>
      </c>
    </row>
    <row r="14" spans="1:25" ht="18.75">
      <c r="A14" s="6">
        <v>11</v>
      </c>
      <c r="B14" s="12" t="s">
        <v>26</v>
      </c>
      <c r="C14" s="6" t="s">
        <v>27</v>
      </c>
      <c r="D14" s="9">
        <f>'7.6'!V14</f>
        <v>2</v>
      </c>
      <c r="E14" s="11"/>
      <c r="F14" s="14"/>
      <c r="G14" s="14">
        <v>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1</v>
      </c>
      <c r="V14" s="9">
        <f t="shared" si="1"/>
        <v>1</v>
      </c>
      <c r="W14" s="9">
        <v>1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'7.6'!V15</f>
        <v>2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25">
        <f t="shared" si="0"/>
        <v>0</v>
      </c>
      <c r="V15" s="9">
        <f t="shared" si="1"/>
        <v>2</v>
      </c>
      <c r="W15" s="9">
        <v>2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'7.6'!V16</f>
        <v>6</v>
      </c>
      <c r="E16" s="14"/>
      <c r="F16" s="14"/>
      <c r="G16" s="14">
        <v>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1</v>
      </c>
      <c r="V16" s="9">
        <f t="shared" si="1"/>
        <v>5</v>
      </c>
      <c r="W16" s="9">
        <v>5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'7.6'!V17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'7.6'!V18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0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'7.6'!V19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'7.6'!V20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225">
        <f t="shared" si="0"/>
        <v>0</v>
      </c>
      <c r="V20" s="9">
        <f t="shared" si="1"/>
        <v>0</v>
      </c>
      <c r="W20" s="9"/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'7.6'!V21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'7.6'!V22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'7.6'!V23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'7.6'!V24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0</v>
      </c>
      <c r="W24" s="9"/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'7.6'!V25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0</v>
      </c>
      <c r="W25" s="9"/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'7.6'!V26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0</v>
      </c>
      <c r="W26" s="9"/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H13" sqref="H13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DATE(2017,6,8)</f>
        <v>42894</v>
      </c>
      <c r="E5" s="293">
        <f>D5+1</f>
        <v>42895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54"/>
      <c r="G6" s="254"/>
      <c r="H6" s="300"/>
      <c r="I6" s="300"/>
      <c r="J6" s="300"/>
      <c r="K6" s="300"/>
      <c r="L6" s="300"/>
      <c r="M6" s="300"/>
      <c r="N6" s="301"/>
      <c r="O6" s="253"/>
      <c r="P6" s="253"/>
      <c r="Q6" s="253"/>
      <c r="R6" s="253"/>
      <c r="S6" s="253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'8.6'!V8</f>
        <v>860</v>
      </c>
      <c r="E8" s="11">
        <v>310</v>
      </c>
      <c r="F8" s="10"/>
      <c r="G8" s="10"/>
      <c r="H8" s="11">
        <v>30</v>
      </c>
      <c r="I8" s="11"/>
      <c r="J8" s="11"/>
      <c r="K8" s="11"/>
      <c r="L8" s="11">
        <v>100</v>
      </c>
      <c r="M8" s="11"/>
      <c r="N8" s="11"/>
      <c r="O8" s="11"/>
      <c r="P8" s="11"/>
      <c r="Q8" s="11"/>
      <c r="R8" s="11"/>
      <c r="S8" s="11"/>
      <c r="T8" s="11">
        <v>100</v>
      </c>
      <c r="U8" s="225">
        <f>SUM(F8:T8)</f>
        <v>230</v>
      </c>
      <c r="V8" s="9">
        <f>D8+E8-SUM(F8:T8)</f>
        <v>940</v>
      </c>
      <c r="W8" s="9">
        <v>940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'8.6'!V9</f>
        <v>950</v>
      </c>
      <c r="E9" s="11">
        <v>120</v>
      </c>
      <c r="F9" s="10"/>
      <c r="G9" s="10"/>
      <c r="H9" s="11">
        <v>40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225">
        <f t="shared" ref="U9:U29" si="0">SUM(F9:T9)</f>
        <v>40</v>
      </c>
      <c r="V9" s="9">
        <f t="shared" ref="V9:V29" si="1">D9+E9-SUM(F9:T9)</f>
        <v>1030</v>
      </c>
      <c r="W9" s="9">
        <v>1030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'8.6'!V10</f>
        <v>780</v>
      </c>
      <c r="E10" s="11">
        <v>370</v>
      </c>
      <c r="F10" s="14"/>
      <c r="G10" s="14"/>
      <c r="H10" s="11">
        <v>60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225">
        <f t="shared" si="0"/>
        <v>60</v>
      </c>
      <c r="V10" s="9">
        <f t="shared" si="1"/>
        <v>1090</v>
      </c>
      <c r="W10" s="9">
        <v>1090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'8.6'!V11</f>
        <v>830</v>
      </c>
      <c r="E11" s="11">
        <v>370</v>
      </c>
      <c r="F11" s="14"/>
      <c r="G11" s="14"/>
      <c r="H11" s="11">
        <v>60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25">
        <f t="shared" si="0"/>
        <v>60</v>
      </c>
      <c r="V11" s="9">
        <f t="shared" si="1"/>
        <v>1140</v>
      </c>
      <c r="W11" s="9">
        <v>1140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'8.6'!V12</f>
        <v>11</v>
      </c>
      <c r="E12" s="11">
        <v>10</v>
      </c>
      <c r="F12" s="14"/>
      <c r="G12" s="14"/>
      <c r="H12" s="11">
        <v>1</v>
      </c>
      <c r="I12" s="11"/>
      <c r="J12" s="11"/>
      <c r="K12" s="11"/>
      <c r="L12" s="11">
        <v>2</v>
      </c>
      <c r="M12" s="11"/>
      <c r="N12" s="11"/>
      <c r="O12" s="11">
        <v>1</v>
      </c>
      <c r="P12" s="11"/>
      <c r="Q12" s="11"/>
      <c r="R12" s="11"/>
      <c r="S12" s="11"/>
      <c r="T12" s="11">
        <v>2</v>
      </c>
      <c r="U12" s="225">
        <f t="shared" si="0"/>
        <v>6</v>
      </c>
      <c r="V12" s="9">
        <f t="shared" si="1"/>
        <v>15</v>
      </c>
      <c r="W12" s="9">
        <v>15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'8.6'!V13</f>
        <v>5934</v>
      </c>
      <c r="E13" s="11">
        <v>4750</v>
      </c>
      <c r="F13" s="14"/>
      <c r="G13" s="14"/>
      <c r="H13" s="11"/>
      <c r="I13" s="11">
        <v>200</v>
      </c>
      <c r="J13" s="11">
        <v>800</v>
      </c>
      <c r="K13" s="11">
        <v>200</v>
      </c>
      <c r="L13" s="11">
        <v>230</v>
      </c>
      <c r="M13" s="11">
        <v>70</v>
      </c>
      <c r="N13" s="11">
        <v>400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11">
        <v>200</v>
      </c>
      <c r="U13" s="225">
        <f t="shared" si="0"/>
        <v>3500</v>
      </c>
      <c r="V13" s="9">
        <f t="shared" si="1"/>
        <v>7184</v>
      </c>
      <c r="W13" s="9">
        <v>8184</v>
      </c>
      <c r="X13" s="9">
        <f t="shared" si="2"/>
        <v>1000</v>
      </c>
    </row>
    <row r="14" spans="1:25" ht="18.75">
      <c r="A14" s="6">
        <v>11</v>
      </c>
      <c r="B14" s="12" t="s">
        <v>26</v>
      </c>
      <c r="C14" s="6" t="s">
        <v>27</v>
      </c>
      <c r="D14" s="9">
        <f>'8.6'!V14</f>
        <v>1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>
        <v>1</v>
      </c>
      <c r="U14" s="225">
        <f t="shared" si="0"/>
        <v>1</v>
      </c>
      <c r="V14" s="9">
        <f t="shared" si="1"/>
        <v>0</v>
      </c>
      <c r="W14" s="9"/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'8.6'!V15</f>
        <v>2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25">
        <f t="shared" si="0"/>
        <v>0</v>
      </c>
      <c r="V15" s="9">
        <f t="shared" si="1"/>
        <v>2</v>
      </c>
      <c r="W15" s="9">
        <v>2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'8.6'!V16</f>
        <v>5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0</v>
      </c>
      <c r="V16" s="9">
        <f t="shared" si="1"/>
        <v>5</v>
      </c>
      <c r="W16" s="9">
        <v>5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'8.6'!V17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'8.6'!V18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0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'8.6'!V19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'8.6'!V20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225">
        <f t="shared" si="0"/>
        <v>0</v>
      </c>
      <c r="V20" s="9">
        <f t="shared" si="1"/>
        <v>0</v>
      </c>
      <c r="W20" s="9"/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'8.6'!V21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'8.6'!V22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'8.6'!V23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'8.6'!V24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0</v>
      </c>
      <c r="W24" s="9"/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'8.6'!V25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0</v>
      </c>
      <c r="W25" s="9"/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'8.6'!V26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0</v>
      </c>
      <c r="W26" s="9"/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F14" sqref="F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DATE(2017,6,9)</f>
        <v>42895</v>
      </c>
      <c r="E5" s="293">
        <f>D5+1</f>
        <v>42896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54"/>
      <c r="G6" s="254"/>
      <c r="H6" s="300"/>
      <c r="I6" s="300"/>
      <c r="J6" s="300"/>
      <c r="K6" s="300"/>
      <c r="L6" s="300"/>
      <c r="M6" s="300"/>
      <c r="N6" s="301"/>
      <c r="O6" s="253"/>
      <c r="P6" s="253"/>
      <c r="Q6" s="253"/>
      <c r="R6" s="253"/>
      <c r="S6" s="253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'9.6'!V8</f>
        <v>940</v>
      </c>
      <c r="E8" s="11">
        <v>410</v>
      </c>
      <c r="F8" s="10">
        <v>200</v>
      </c>
      <c r="G8" s="10"/>
      <c r="H8" s="11"/>
      <c r="I8" s="11"/>
      <c r="J8" s="11"/>
      <c r="K8" s="11">
        <v>50</v>
      </c>
      <c r="L8" s="11">
        <v>100</v>
      </c>
      <c r="M8" s="11"/>
      <c r="N8" s="11"/>
      <c r="O8" s="11"/>
      <c r="P8" s="11"/>
      <c r="Q8" s="11"/>
      <c r="R8" s="11"/>
      <c r="S8" s="11"/>
      <c r="T8" s="11"/>
      <c r="U8" s="225">
        <f>SUM(F8:T8)</f>
        <v>350</v>
      </c>
      <c r="V8" s="9">
        <f>D8+E8-SUM(F8:T8)</f>
        <v>1000</v>
      </c>
      <c r="W8" s="9">
        <v>1000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'9.6'!V9</f>
        <v>1030</v>
      </c>
      <c r="E9" s="11">
        <v>280</v>
      </c>
      <c r="F9" s="10">
        <v>100</v>
      </c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225">
        <f t="shared" ref="U9:U29" si="0">SUM(F9:T9)</f>
        <v>100</v>
      </c>
      <c r="V9" s="9">
        <f t="shared" ref="V9:V29" si="1">D9+E9-SUM(F9:T9)</f>
        <v>1210</v>
      </c>
      <c r="W9" s="9">
        <v>1210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'9.6'!V10</f>
        <v>1090</v>
      </c>
      <c r="E10" s="11"/>
      <c r="F10" s="14">
        <v>100</v>
      </c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225">
        <f t="shared" si="0"/>
        <v>100</v>
      </c>
      <c r="V10" s="9">
        <f t="shared" si="1"/>
        <v>990</v>
      </c>
      <c r="W10" s="9">
        <v>990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'9.6'!V11</f>
        <v>1140</v>
      </c>
      <c r="E11" s="11"/>
      <c r="F11" s="14">
        <v>150</v>
      </c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25">
        <f t="shared" si="0"/>
        <v>150</v>
      </c>
      <c r="V11" s="9">
        <f t="shared" si="1"/>
        <v>990</v>
      </c>
      <c r="W11" s="9">
        <v>990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'9.6'!V12</f>
        <v>15</v>
      </c>
      <c r="E12" s="11"/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25">
        <f t="shared" si="0"/>
        <v>0</v>
      </c>
      <c r="V12" s="9">
        <f t="shared" si="1"/>
        <v>15</v>
      </c>
      <c r="W12" s="9">
        <v>15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'9.6'!V13</f>
        <v>7184</v>
      </c>
      <c r="E13" s="11">
        <v>4750</v>
      </c>
      <c r="F13" s="14">
        <v>1500</v>
      </c>
      <c r="G13" s="14"/>
      <c r="H13" s="11"/>
      <c r="I13" s="11">
        <v>300</v>
      </c>
      <c r="J13" s="11">
        <v>1400</v>
      </c>
      <c r="K13" s="11">
        <v>200</v>
      </c>
      <c r="L13" s="11">
        <v>200</v>
      </c>
      <c r="M13" s="11">
        <v>100</v>
      </c>
      <c r="N13" s="11">
        <v>400</v>
      </c>
      <c r="O13" s="11">
        <v>1400</v>
      </c>
      <c r="P13" s="11">
        <v>300</v>
      </c>
      <c r="Q13" s="11">
        <v>500</v>
      </c>
      <c r="R13" s="11"/>
      <c r="S13" s="11">
        <v>300</v>
      </c>
      <c r="T13" s="11">
        <v>200</v>
      </c>
      <c r="U13" s="225">
        <f t="shared" si="0"/>
        <v>6800</v>
      </c>
      <c r="V13" s="9">
        <f t="shared" si="1"/>
        <v>5134</v>
      </c>
      <c r="W13" s="9">
        <v>6134</v>
      </c>
      <c r="X13" s="9">
        <f t="shared" si="2"/>
        <v>1000</v>
      </c>
    </row>
    <row r="14" spans="1:25" ht="18.75">
      <c r="A14" s="6">
        <v>11</v>
      </c>
      <c r="B14" s="12" t="s">
        <v>26</v>
      </c>
      <c r="C14" s="6" t="s">
        <v>27</v>
      </c>
      <c r="D14" s="9">
        <f>'9.6'!V14</f>
        <v>0</v>
      </c>
      <c r="E14" s="11">
        <v>4</v>
      </c>
      <c r="F14" s="14">
        <v>1</v>
      </c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1</v>
      </c>
      <c r="V14" s="9">
        <f t="shared" si="1"/>
        <v>3</v>
      </c>
      <c r="W14" s="9">
        <v>4</v>
      </c>
      <c r="X14" s="9">
        <f t="shared" si="2"/>
        <v>1</v>
      </c>
    </row>
    <row r="15" spans="1:25" ht="18.75">
      <c r="A15" s="6"/>
      <c r="B15" s="12" t="s">
        <v>113</v>
      </c>
      <c r="C15" s="6" t="s">
        <v>27</v>
      </c>
      <c r="D15" s="9">
        <f>'9.6'!V15</f>
        <v>2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25">
        <f t="shared" si="0"/>
        <v>0</v>
      </c>
      <c r="V15" s="9">
        <f t="shared" si="1"/>
        <v>2</v>
      </c>
      <c r="W15" s="9">
        <v>1</v>
      </c>
      <c r="X15" s="9">
        <f t="shared" si="2"/>
        <v>-1</v>
      </c>
    </row>
    <row r="16" spans="1:25" ht="18.75">
      <c r="A16" s="6">
        <v>12</v>
      </c>
      <c r="B16" s="12" t="s">
        <v>28</v>
      </c>
      <c r="C16" s="6" t="s">
        <v>27</v>
      </c>
      <c r="D16" s="9">
        <f>'9.6'!V16</f>
        <v>5</v>
      </c>
      <c r="E16" s="14"/>
      <c r="F16" s="14">
        <v>1</v>
      </c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1</v>
      </c>
      <c r="V16" s="9">
        <f t="shared" si="1"/>
        <v>4</v>
      </c>
      <c r="W16" s="9">
        <v>4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'9.6'!V17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'9.6'!V18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0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'9.6'!V19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'9.6'!V20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225">
        <f t="shared" si="0"/>
        <v>0</v>
      </c>
      <c r="V20" s="9">
        <f t="shared" si="1"/>
        <v>0</v>
      </c>
      <c r="W20" s="9"/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'9.6'!V21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'9.6'!V22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'9.6'!V23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'9.6'!V24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0</v>
      </c>
      <c r="W24" s="9"/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'9.6'!V25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0</v>
      </c>
      <c r="W25" s="9"/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'9.6'!V26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0</v>
      </c>
      <c r="W26" s="9"/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G13" sqref="G13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DATE(2017,6,10)</f>
        <v>42896</v>
      </c>
      <c r="E5" s="293">
        <f>D5+1</f>
        <v>42897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56"/>
      <c r="G6" s="256"/>
      <c r="H6" s="300"/>
      <c r="I6" s="300"/>
      <c r="J6" s="300"/>
      <c r="K6" s="300"/>
      <c r="L6" s="300"/>
      <c r="M6" s="300"/>
      <c r="N6" s="301"/>
      <c r="O6" s="255"/>
      <c r="P6" s="255"/>
      <c r="Q6" s="255"/>
      <c r="R6" s="255"/>
      <c r="S6" s="255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'10.6'!V8</f>
        <v>1000</v>
      </c>
      <c r="E8" s="11">
        <v>220</v>
      </c>
      <c r="F8" s="10"/>
      <c r="G8" s="10"/>
      <c r="H8" s="11"/>
      <c r="I8" s="11"/>
      <c r="J8" s="11"/>
      <c r="K8" s="11"/>
      <c r="L8" s="11">
        <v>100</v>
      </c>
      <c r="M8" s="11"/>
      <c r="N8" s="11"/>
      <c r="O8" s="11"/>
      <c r="P8" s="11"/>
      <c r="Q8" s="11"/>
      <c r="R8" s="11"/>
      <c r="S8" s="11"/>
      <c r="T8" s="11"/>
      <c r="U8" s="225">
        <f>SUM(F8:T8)</f>
        <v>100</v>
      </c>
      <c r="V8" s="9">
        <f>D8+E8-SUM(F8:T8)</f>
        <v>1120</v>
      </c>
      <c r="W8" s="9">
        <v>1120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'10.6'!V9</f>
        <v>1210</v>
      </c>
      <c r="E9" s="11"/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225">
        <f t="shared" ref="U9:U29" si="0">SUM(F9:T9)</f>
        <v>0</v>
      </c>
      <c r="V9" s="9">
        <f t="shared" ref="V9:V29" si="1">D9+E9-SUM(F9:T9)</f>
        <v>1210</v>
      </c>
      <c r="W9" s="9">
        <v>1210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'10.6'!V10</f>
        <v>990</v>
      </c>
      <c r="E10" s="11">
        <v>360</v>
      </c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225">
        <f t="shared" si="0"/>
        <v>0</v>
      </c>
      <c r="V10" s="9">
        <f t="shared" si="1"/>
        <v>1350</v>
      </c>
      <c r="W10" s="9">
        <v>1350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'10.6'!V11</f>
        <v>990</v>
      </c>
      <c r="E11" s="11">
        <v>290</v>
      </c>
      <c r="F11" s="14"/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25">
        <f t="shared" si="0"/>
        <v>0</v>
      </c>
      <c r="V11" s="9">
        <f t="shared" si="1"/>
        <v>1280</v>
      </c>
      <c r="W11" s="9">
        <v>1280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'10.6'!V12</f>
        <v>15</v>
      </c>
      <c r="E12" s="11"/>
      <c r="F12" s="14"/>
      <c r="G12" s="14"/>
      <c r="H12" s="11"/>
      <c r="I12" s="11">
        <v>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25">
        <f t="shared" si="0"/>
        <v>1</v>
      </c>
      <c r="V12" s="9">
        <f t="shared" si="1"/>
        <v>14</v>
      </c>
      <c r="W12" s="9">
        <v>14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'10.6'!V13</f>
        <v>5134</v>
      </c>
      <c r="E13" s="11">
        <v>4800</v>
      </c>
      <c r="F13" s="14"/>
      <c r="G13" s="14">
        <v>800</v>
      </c>
      <c r="H13" s="11">
        <v>200</v>
      </c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>
        <v>400</v>
      </c>
      <c r="O13" s="11">
        <v>800</v>
      </c>
      <c r="P13" s="11">
        <v>300</v>
      </c>
      <c r="Q13" s="11">
        <v>500</v>
      </c>
      <c r="R13" s="11"/>
      <c r="S13" s="11">
        <v>200</v>
      </c>
      <c r="T13" s="11"/>
      <c r="U13" s="225">
        <f t="shared" si="0"/>
        <v>4700</v>
      </c>
      <c r="V13" s="9">
        <f t="shared" si="1"/>
        <v>5234</v>
      </c>
      <c r="W13" s="9">
        <v>6234</v>
      </c>
      <c r="X13" s="9">
        <f t="shared" si="2"/>
        <v>1000</v>
      </c>
    </row>
    <row r="14" spans="1:25" ht="18.75">
      <c r="A14" s="6">
        <v>11</v>
      </c>
      <c r="B14" s="12" t="s">
        <v>26</v>
      </c>
      <c r="C14" s="6" t="s">
        <v>27</v>
      </c>
      <c r="D14" s="9">
        <f>'10.6'!V14</f>
        <v>3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0</v>
      </c>
      <c r="V14" s="9">
        <f t="shared" si="1"/>
        <v>3</v>
      </c>
      <c r="W14" s="9">
        <v>3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'10.6'!V15</f>
        <v>2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25">
        <f t="shared" si="0"/>
        <v>0</v>
      </c>
      <c r="V15" s="9">
        <f t="shared" si="1"/>
        <v>2</v>
      </c>
      <c r="W15" s="9">
        <v>2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'10.6'!V16</f>
        <v>4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0</v>
      </c>
      <c r="V16" s="9">
        <f t="shared" si="1"/>
        <v>4</v>
      </c>
      <c r="W16" s="9">
        <v>4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'10.6'!V17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'10.6'!V18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0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'10.6'!V19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'10.6'!V20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225">
        <f t="shared" si="0"/>
        <v>0</v>
      </c>
      <c r="V20" s="9">
        <f t="shared" si="1"/>
        <v>0</v>
      </c>
      <c r="W20" s="9"/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'10.6'!V21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'10.6'!V22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'10.6'!V23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'10.6'!V24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0</v>
      </c>
      <c r="W24" s="9"/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'10.6'!V25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0</v>
      </c>
      <c r="W25" s="9"/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'10.6'!V26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0</v>
      </c>
      <c r="W26" s="9"/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2" sqref="V12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DATE(2017,6,11)</f>
        <v>42897</v>
      </c>
      <c r="E5" s="293">
        <f>D5+1</f>
        <v>42898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56"/>
      <c r="G6" s="256"/>
      <c r="H6" s="300"/>
      <c r="I6" s="300"/>
      <c r="J6" s="300"/>
      <c r="K6" s="300"/>
      <c r="L6" s="300"/>
      <c r="M6" s="300"/>
      <c r="N6" s="301"/>
      <c r="O6" s="255"/>
      <c r="P6" s="255"/>
      <c r="Q6" s="255"/>
      <c r="R6" s="255"/>
      <c r="S6" s="255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'11.6'!V8</f>
        <v>1120</v>
      </c>
      <c r="E8" s="11">
        <v>310</v>
      </c>
      <c r="F8" s="10"/>
      <c r="G8" s="10"/>
      <c r="H8" s="11"/>
      <c r="I8" s="11"/>
      <c r="J8" s="11"/>
      <c r="K8" s="11"/>
      <c r="L8" s="11">
        <v>100</v>
      </c>
      <c r="M8" s="11"/>
      <c r="N8" s="11"/>
      <c r="O8" s="11"/>
      <c r="P8" s="11">
        <v>60</v>
      </c>
      <c r="Q8" s="11"/>
      <c r="R8" s="11"/>
      <c r="S8" s="11"/>
      <c r="T8" s="11"/>
      <c r="U8" s="225">
        <f>SUM(F8:T8)</f>
        <v>160</v>
      </c>
      <c r="V8" s="9">
        <f>D8+E8-SUM(F8:T8)</f>
        <v>1270</v>
      </c>
      <c r="W8" s="9">
        <v>1270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'11.6'!V9</f>
        <v>1210</v>
      </c>
      <c r="E9" s="11">
        <v>150</v>
      </c>
      <c r="F9" s="10"/>
      <c r="G9" s="10"/>
      <c r="H9" s="11"/>
      <c r="I9" s="11"/>
      <c r="J9" s="11"/>
      <c r="K9" s="11"/>
      <c r="L9" s="11"/>
      <c r="M9" s="11"/>
      <c r="N9" s="11"/>
      <c r="O9" s="11"/>
      <c r="P9" s="11">
        <v>50</v>
      </c>
      <c r="Q9" s="11"/>
      <c r="R9" s="11"/>
      <c r="S9" s="11"/>
      <c r="T9" s="11"/>
      <c r="U9" s="225">
        <f t="shared" ref="U9:U29" si="0">SUM(F9:T9)</f>
        <v>50</v>
      </c>
      <c r="V9" s="9">
        <f t="shared" ref="V9:V29" si="1">D9+E9-SUM(F9:T9)</f>
        <v>1310</v>
      </c>
      <c r="W9" s="9">
        <v>1310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'11.6'!V10</f>
        <v>1350</v>
      </c>
      <c r="E10" s="11">
        <v>300</v>
      </c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>
        <v>70</v>
      </c>
      <c r="Q10" s="11"/>
      <c r="R10" s="11"/>
      <c r="S10" s="11"/>
      <c r="T10" s="11"/>
      <c r="U10" s="225">
        <f t="shared" si="0"/>
        <v>70</v>
      </c>
      <c r="V10" s="9">
        <f t="shared" si="1"/>
        <v>1580</v>
      </c>
      <c r="W10" s="9">
        <v>1580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'11.6'!V11</f>
        <v>1280</v>
      </c>
      <c r="E11" s="11">
        <v>370</v>
      </c>
      <c r="F11" s="14"/>
      <c r="G11" s="14"/>
      <c r="H11" s="11"/>
      <c r="I11" s="11"/>
      <c r="J11" s="11"/>
      <c r="K11" s="11"/>
      <c r="L11" s="11"/>
      <c r="M11" s="11"/>
      <c r="N11" s="11"/>
      <c r="O11" s="11"/>
      <c r="P11" s="11">
        <v>40</v>
      </c>
      <c r="Q11" s="11"/>
      <c r="R11" s="11"/>
      <c r="S11" s="11"/>
      <c r="T11" s="11"/>
      <c r="U11" s="225">
        <f t="shared" si="0"/>
        <v>40</v>
      </c>
      <c r="V11" s="9">
        <f t="shared" si="1"/>
        <v>1610</v>
      </c>
      <c r="W11" s="9">
        <v>1610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'11.6'!V12</f>
        <v>14</v>
      </c>
      <c r="E12" s="11"/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>
        <v>1</v>
      </c>
      <c r="Q12" s="11"/>
      <c r="R12" s="11"/>
      <c r="S12" s="11"/>
      <c r="T12" s="11"/>
      <c r="U12" s="225">
        <f t="shared" si="0"/>
        <v>1</v>
      </c>
      <c r="V12" s="9">
        <f t="shared" si="1"/>
        <v>13</v>
      </c>
      <c r="W12" s="9">
        <v>13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'11.6'!V13</f>
        <v>5234</v>
      </c>
      <c r="E13" s="11">
        <v>4400</v>
      </c>
      <c r="F13" s="14"/>
      <c r="G13" s="14"/>
      <c r="H13" s="11">
        <v>200</v>
      </c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>
        <v>400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11">
        <v>200</v>
      </c>
      <c r="U13" s="225">
        <f t="shared" si="0"/>
        <v>3700</v>
      </c>
      <c r="V13" s="9">
        <f t="shared" si="1"/>
        <v>5934</v>
      </c>
      <c r="W13" s="9">
        <v>6934</v>
      </c>
      <c r="X13" s="9">
        <f t="shared" si="2"/>
        <v>1000</v>
      </c>
    </row>
    <row r="14" spans="1:25" ht="18.75">
      <c r="A14" s="6">
        <v>11</v>
      </c>
      <c r="B14" s="12" t="s">
        <v>26</v>
      </c>
      <c r="C14" s="6" t="s">
        <v>27</v>
      </c>
      <c r="D14" s="9">
        <f>'11.6'!V14</f>
        <v>3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0</v>
      </c>
      <c r="V14" s="9">
        <f t="shared" si="1"/>
        <v>3</v>
      </c>
      <c r="W14" s="9">
        <v>3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'11.6'!V15</f>
        <v>2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25">
        <f t="shared" si="0"/>
        <v>0</v>
      </c>
      <c r="V15" s="9">
        <f t="shared" si="1"/>
        <v>2</v>
      </c>
      <c r="W15" s="9">
        <v>2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'11.6'!V16</f>
        <v>4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0</v>
      </c>
      <c r="V16" s="9">
        <f t="shared" si="1"/>
        <v>4</v>
      </c>
      <c r="W16" s="9">
        <v>4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'11.6'!V17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'11.6'!V18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0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'11.6'!V19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'11.6'!V20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225">
        <f t="shared" si="0"/>
        <v>0</v>
      </c>
      <c r="V20" s="9">
        <f t="shared" si="1"/>
        <v>0</v>
      </c>
      <c r="W20" s="9"/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'11.6'!V21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'11.6'!V22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'11.6'!V23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'11.6'!V24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0</v>
      </c>
      <c r="W24" s="9"/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'11.6'!V25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0</v>
      </c>
      <c r="W25" s="9"/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'11.6'!V26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0</v>
      </c>
      <c r="W26" s="9"/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O16" sqref="O16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DATE(2017,6,12)</f>
        <v>42898</v>
      </c>
      <c r="E5" s="293">
        <f>D5+1</f>
        <v>42899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58"/>
      <c r="G6" s="258"/>
      <c r="H6" s="300"/>
      <c r="I6" s="300"/>
      <c r="J6" s="300"/>
      <c r="K6" s="300"/>
      <c r="L6" s="300"/>
      <c r="M6" s="300"/>
      <c r="N6" s="301"/>
      <c r="O6" s="257"/>
      <c r="P6" s="257"/>
      <c r="Q6" s="257"/>
      <c r="R6" s="257"/>
      <c r="S6" s="257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'12.6'!V8</f>
        <v>1270</v>
      </c>
      <c r="E8" s="11">
        <v>280</v>
      </c>
      <c r="F8" s="10"/>
      <c r="G8" s="10"/>
      <c r="H8" s="11"/>
      <c r="I8" s="11">
        <v>60</v>
      </c>
      <c r="J8" s="11">
        <v>150</v>
      </c>
      <c r="K8" s="11">
        <v>100</v>
      </c>
      <c r="L8" s="11">
        <v>100</v>
      </c>
      <c r="M8" s="11"/>
      <c r="N8" s="11"/>
      <c r="O8" s="11"/>
      <c r="P8" s="11"/>
      <c r="Q8" s="11"/>
      <c r="R8" s="11"/>
      <c r="S8" s="11"/>
      <c r="T8" s="11"/>
      <c r="U8" s="225">
        <f>SUM(F8:T8)</f>
        <v>410</v>
      </c>
      <c r="V8" s="9">
        <f>D8+E8-SUM(F8:T8)</f>
        <v>1140</v>
      </c>
      <c r="W8" s="9">
        <v>1140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'12.6'!V9</f>
        <v>1310</v>
      </c>
      <c r="E9" s="11">
        <v>200</v>
      </c>
      <c r="F9" s="10"/>
      <c r="G9" s="10"/>
      <c r="H9" s="11"/>
      <c r="I9" s="11">
        <v>50</v>
      </c>
      <c r="J9" s="11">
        <v>70</v>
      </c>
      <c r="K9" s="11">
        <v>50</v>
      </c>
      <c r="L9" s="11"/>
      <c r="M9" s="11"/>
      <c r="N9" s="11"/>
      <c r="O9" s="11"/>
      <c r="P9" s="11"/>
      <c r="Q9" s="11"/>
      <c r="R9" s="11"/>
      <c r="S9" s="11"/>
      <c r="T9" s="11"/>
      <c r="U9" s="225">
        <f t="shared" ref="U9:U29" si="0">SUM(F9:T9)</f>
        <v>170</v>
      </c>
      <c r="V9" s="9">
        <f t="shared" ref="V9:V29" si="1">D9+E9-SUM(F9:T9)</f>
        <v>1340</v>
      </c>
      <c r="W9" s="9">
        <v>1340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'12.6'!V10</f>
        <v>1580</v>
      </c>
      <c r="E10" s="11"/>
      <c r="F10" s="14"/>
      <c r="G10" s="14"/>
      <c r="H10" s="11"/>
      <c r="I10" s="11">
        <v>100</v>
      </c>
      <c r="J10" s="11">
        <v>100</v>
      </c>
      <c r="K10" s="11">
        <v>80</v>
      </c>
      <c r="L10" s="11"/>
      <c r="M10" s="11"/>
      <c r="N10" s="11"/>
      <c r="O10" s="11"/>
      <c r="P10" s="11"/>
      <c r="Q10" s="11"/>
      <c r="R10" s="11"/>
      <c r="S10" s="11"/>
      <c r="T10" s="11"/>
      <c r="U10" s="225">
        <f t="shared" si="0"/>
        <v>280</v>
      </c>
      <c r="V10" s="9">
        <f t="shared" si="1"/>
        <v>1300</v>
      </c>
      <c r="W10" s="9">
        <v>1300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'12.6'!V11</f>
        <v>1610</v>
      </c>
      <c r="E11" s="11"/>
      <c r="F11" s="14"/>
      <c r="G11" s="14"/>
      <c r="H11" s="11"/>
      <c r="I11" s="11">
        <v>50</v>
      </c>
      <c r="J11" s="11">
        <v>100</v>
      </c>
      <c r="K11" s="11">
        <v>60</v>
      </c>
      <c r="L11" s="11"/>
      <c r="M11" s="11"/>
      <c r="N11" s="11"/>
      <c r="O11" s="11"/>
      <c r="P11" s="11"/>
      <c r="Q11" s="11"/>
      <c r="R11" s="11"/>
      <c r="S11" s="11"/>
      <c r="T11" s="11"/>
      <c r="U11" s="225">
        <f t="shared" si="0"/>
        <v>210</v>
      </c>
      <c r="V11" s="9">
        <f t="shared" si="1"/>
        <v>1400</v>
      </c>
      <c r="W11" s="9">
        <v>1400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'12.6'!V12</f>
        <v>13</v>
      </c>
      <c r="E12" s="11">
        <v>10</v>
      </c>
      <c r="F12" s="14"/>
      <c r="G12" s="14"/>
      <c r="H12" s="11"/>
      <c r="I12" s="11">
        <v>1</v>
      </c>
      <c r="J12" s="11">
        <v>2</v>
      </c>
      <c r="K12" s="11">
        <v>2</v>
      </c>
      <c r="L12" s="11"/>
      <c r="M12" s="11"/>
      <c r="N12" s="11"/>
      <c r="O12" s="11"/>
      <c r="P12" s="11"/>
      <c r="Q12" s="11"/>
      <c r="R12" s="11"/>
      <c r="S12" s="11"/>
      <c r="T12" s="11"/>
      <c r="U12" s="225">
        <f t="shared" si="0"/>
        <v>5</v>
      </c>
      <c r="V12" s="9">
        <f t="shared" si="1"/>
        <v>18</v>
      </c>
      <c r="W12" s="9">
        <v>18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'12.6'!V13</f>
        <v>5934</v>
      </c>
      <c r="E13" s="11">
        <v>7000</v>
      </c>
      <c r="F13" s="14"/>
      <c r="G13" s="14"/>
      <c r="H13" s="11">
        <v>200</v>
      </c>
      <c r="I13" s="11">
        <v>200</v>
      </c>
      <c r="J13" s="11">
        <v>800</v>
      </c>
      <c r="K13" s="11"/>
      <c r="L13" s="11">
        <v>200</v>
      </c>
      <c r="M13" s="11">
        <v>100</v>
      </c>
      <c r="N13" s="11"/>
      <c r="O13" s="11">
        <v>800</v>
      </c>
      <c r="P13" s="11">
        <v>200</v>
      </c>
      <c r="Q13" s="11">
        <v>200</v>
      </c>
      <c r="R13" s="11"/>
      <c r="S13" s="11">
        <v>200</v>
      </c>
      <c r="T13" s="11">
        <v>200</v>
      </c>
      <c r="U13" s="225">
        <f t="shared" si="0"/>
        <v>3100</v>
      </c>
      <c r="V13" s="9">
        <f t="shared" si="1"/>
        <v>9834</v>
      </c>
      <c r="W13" s="9">
        <v>10834</v>
      </c>
      <c r="X13" s="9">
        <f t="shared" si="2"/>
        <v>1000</v>
      </c>
    </row>
    <row r="14" spans="1:25" ht="18.75">
      <c r="A14" s="6">
        <v>11</v>
      </c>
      <c r="B14" s="12" t="s">
        <v>26</v>
      </c>
      <c r="C14" s="6" t="s">
        <v>27</v>
      </c>
      <c r="D14" s="9">
        <f>'12.6'!V14</f>
        <v>3</v>
      </c>
      <c r="E14" s="11">
        <v>5</v>
      </c>
      <c r="F14" s="14"/>
      <c r="G14" s="14"/>
      <c r="H14" s="11"/>
      <c r="I14" s="11">
        <v>1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1</v>
      </c>
      <c r="V14" s="9">
        <f t="shared" si="1"/>
        <v>7</v>
      </c>
      <c r="W14" s="9">
        <v>7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'12.6'!V15</f>
        <v>2</v>
      </c>
      <c r="E15" s="14">
        <v>6</v>
      </c>
      <c r="F15" s="14"/>
      <c r="G15" s="14"/>
      <c r="H15" s="11"/>
      <c r="I15" s="11"/>
      <c r="J15" s="11">
        <v>1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25">
        <f t="shared" si="0"/>
        <v>1</v>
      </c>
      <c r="V15" s="9">
        <f t="shared" si="1"/>
        <v>7</v>
      </c>
      <c r="W15" s="9">
        <v>7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'12.6'!V16</f>
        <v>4</v>
      </c>
      <c r="E16" s="14"/>
      <c r="F16" s="14"/>
      <c r="G16" s="14"/>
      <c r="H16" s="11"/>
      <c r="I16" s="11"/>
      <c r="J16" s="11"/>
      <c r="K16" s="11">
        <v>1</v>
      </c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1</v>
      </c>
      <c r="V16" s="9">
        <f t="shared" si="1"/>
        <v>3</v>
      </c>
      <c r="W16" s="9">
        <v>3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'12.6'!V17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'12.6'!V18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0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'12.6'!V19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'12.6'!V20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225">
        <f t="shared" si="0"/>
        <v>0</v>
      </c>
      <c r="V20" s="9">
        <f t="shared" si="1"/>
        <v>0</v>
      </c>
      <c r="W20" s="9"/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'12.6'!V21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'12.6'!V22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'12.6'!V23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'12.6'!V24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0</v>
      </c>
      <c r="W24" s="9"/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'12.6'!V25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0</v>
      </c>
      <c r="W25" s="9"/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'12.6'!V26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0</v>
      </c>
      <c r="W26" s="9"/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U11" sqref="U11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DATE(2017,6,13)</f>
        <v>42899</v>
      </c>
      <c r="E5" s="293">
        <f>D5+1</f>
        <v>42900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60"/>
      <c r="G6" s="260"/>
      <c r="H6" s="300"/>
      <c r="I6" s="300"/>
      <c r="J6" s="300"/>
      <c r="K6" s="300"/>
      <c r="L6" s="300"/>
      <c r="M6" s="300"/>
      <c r="N6" s="301"/>
      <c r="O6" s="259"/>
      <c r="P6" s="259"/>
      <c r="Q6" s="259"/>
      <c r="R6" s="259"/>
      <c r="S6" s="259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'13.6'!V8</f>
        <v>1140</v>
      </c>
      <c r="E8" s="11">
        <v>270</v>
      </c>
      <c r="F8" s="10"/>
      <c r="G8" s="10"/>
      <c r="H8" s="11"/>
      <c r="I8" s="11"/>
      <c r="J8" s="11"/>
      <c r="K8" s="11"/>
      <c r="L8" s="11">
        <v>100</v>
      </c>
      <c r="M8" s="11"/>
      <c r="N8" s="11">
        <v>150</v>
      </c>
      <c r="O8" s="11"/>
      <c r="P8" s="11"/>
      <c r="Q8" s="11">
        <v>180</v>
      </c>
      <c r="R8" s="11"/>
      <c r="S8" s="11"/>
      <c r="T8" s="11"/>
      <c r="U8" s="225">
        <f>SUM(F8:T8)</f>
        <v>430</v>
      </c>
      <c r="V8" s="9">
        <f>D8+E8-SUM(F8:T8)</f>
        <v>980</v>
      </c>
      <c r="W8" s="9">
        <v>980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'13.6'!V9</f>
        <v>1340</v>
      </c>
      <c r="E9" s="11"/>
      <c r="F9" s="10"/>
      <c r="G9" s="10"/>
      <c r="H9" s="11"/>
      <c r="I9" s="11"/>
      <c r="J9" s="11"/>
      <c r="K9" s="11"/>
      <c r="L9" s="11"/>
      <c r="M9" s="11"/>
      <c r="N9" s="11">
        <v>70</v>
      </c>
      <c r="O9" s="11"/>
      <c r="P9" s="11"/>
      <c r="Q9" s="11">
        <v>120</v>
      </c>
      <c r="R9" s="11"/>
      <c r="S9" s="11"/>
      <c r="T9" s="11"/>
      <c r="U9" s="225">
        <f t="shared" ref="U9:U29" si="0">SUM(F9:T9)</f>
        <v>190</v>
      </c>
      <c r="V9" s="9">
        <f t="shared" ref="V9:V29" si="1">D9+E9-SUM(F9:T9)</f>
        <v>1150</v>
      </c>
      <c r="W9" s="9">
        <v>1150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'13.6'!V10</f>
        <v>1300</v>
      </c>
      <c r="E10" s="11">
        <v>300</v>
      </c>
      <c r="F10" s="14"/>
      <c r="G10" s="14"/>
      <c r="H10" s="11"/>
      <c r="I10" s="11"/>
      <c r="J10" s="11"/>
      <c r="K10" s="11"/>
      <c r="L10" s="11"/>
      <c r="M10" s="11"/>
      <c r="N10" s="11">
        <v>60</v>
      </c>
      <c r="O10" s="11"/>
      <c r="P10" s="11"/>
      <c r="Q10" s="11">
        <v>80</v>
      </c>
      <c r="R10" s="11"/>
      <c r="S10" s="11"/>
      <c r="T10" s="11"/>
      <c r="U10" s="225">
        <f t="shared" si="0"/>
        <v>140</v>
      </c>
      <c r="V10" s="9">
        <f t="shared" si="1"/>
        <v>1460</v>
      </c>
      <c r="W10" s="9">
        <v>1460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'13.6'!V11</f>
        <v>1400</v>
      </c>
      <c r="E11" s="11">
        <v>310</v>
      </c>
      <c r="F11" s="14"/>
      <c r="G11" s="14"/>
      <c r="H11" s="11"/>
      <c r="I11" s="11"/>
      <c r="J11" s="11"/>
      <c r="K11" s="11"/>
      <c r="L11" s="11"/>
      <c r="M11" s="11"/>
      <c r="N11" s="11">
        <v>60</v>
      </c>
      <c r="O11" s="11"/>
      <c r="P11" s="11"/>
      <c r="Q11" s="11">
        <v>100</v>
      </c>
      <c r="R11" s="11"/>
      <c r="S11" s="11"/>
      <c r="T11" s="11"/>
      <c r="U11" s="225">
        <f t="shared" si="0"/>
        <v>160</v>
      </c>
      <c r="V11" s="9">
        <f t="shared" si="1"/>
        <v>1550</v>
      </c>
      <c r="W11" s="9">
        <v>1550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'13.6'!V12</f>
        <v>18</v>
      </c>
      <c r="E12" s="11"/>
      <c r="F12" s="14"/>
      <c r="G12" s="14"/>
      <c r="H12" s="11"/>
      <c r="I12" s="11"/>
      <c r="J12" s="11"/>
      <c r="K12" s="11"/>
      <c r="L12" s="11">
        <v>2</v>
      </c>
      <c r="M12" s="11"/>
      <c r="N12" s="11"/>
      <c r="O12" s="11"/>
      <c r="P12" s="11"/>
      <c r="Q12" s="11">
        <v>2</v>
      </c>
      <c r="R12" s="11"/>
      <c r="S12" s="11"/>
      <c r="T12" s="11"/>
      <c r="U12" s="225">
        <f t="shared" si="0"/>
        <v>4</v>
      </c>
      <c r="V12" s="9">
        <f t="shared" si="1"/>
        <v>14</v>
      </c>
      <c r="W12" s="9">
        <v>14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'13.6'!V13</f>
        <v>9834</v>
      </c>
      <c r="E13" s="11">
        <v>5400</v>
      </c>
      <c r="F13" s="14"/>
      <c r="G13" s="14"/>
      <c r="H13" s="11">
        <v>200</v>
      </c>
      <c r="I13" s="11">
        <v>200</v>
      </c>
      <c r="J13" s="11">
        <v>800</v>
      </c>
      <c r="K13" s="11"/>
      <c r="L13" s="11">
        <v>200</v>
      </c>
      <c r="M13" s="11">
        <v>100</v>
      </c>
      <c r="N13" s="11"/>
      <c r="O13" s="11">
        <v>800</v>
      </c>
      <c r="P13" s="11"/>
      <c r="Q13" s="11">
        <v>200</v>
      </c>
      <c r="R13" s="11"/>
      <c r="S13" s="11">
        <v>200</v>
      </c>
      <c r="T13" s="11"/>
      <c r="U13" s="225">
        <f t="shared" si="0"/>
        <v>2700</v>
      </c>
      <c r="V13" s="9">
        <f t="shared" si="1"/>
        <v>12534</v>
      </c>
      <c r="W13" s="9">
        <v>13534</v>
      </c>
      <c r="X13" s="9">
        <f t="shared" si="2"/>
        <v>1000</v>
      </c>
    </row>
    <row r="14" spans="1:25" ht="18.75">
      <c r="A14" s="6">
        <v>11</v>
      </c>
      <c r="B14" s="12" t="s">
        <v>26</v>
      </c>
      <c r="C14" s="6" t="s">
        <v>27</v>
      </c>
      <c r="D14" s="9">
        <f>'13.6'!V14</f>
        <v>7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0</v>
      </c>
      <c r="V14" s="9">
        <f t="shared" si="1"/>
        <v>7</v>
      </c>
      <c r="W14" s="9">
        <v>7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'13.6'!V15</f>
        <v>7</v>
      </c>
      <c r="E15" s="14"/>
      <c r="F15" s="14"/>
      <c r="G15" s="14"/>
      <c r="H15" s="11"/>
      <c r="I15" s="11"/>
      <c r="J15" s="11"/>
      <c r="K15" s="11"/>
      <c r="L15" s="11"/>
      <c r="M15" s="11"/>
      <c r="N15" s="11">
        <v>1</v>
      </c>
      <c r="O15" s="11"/>
      <c r="P15" s="11"/>
      <c r="Q15" s="11"/>
      <c r="R15" s="11"/>
      <c r="S15" s="11"/>
      <c r="T15" s="11"/>
      <c r="U15" s="225">
        <f t="shared" si="0"/>
        <v>1</v>
      </c>
      <c r="V15" s="9">
        <f t="shared" si="1"/>
        <v>6</v>
      </c>
      <c r="W15" s="9">
        <v>6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'13.6'!V16</f>
        <v>3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0</v>
      </c>
      <c r="V16" s="9">
        <f t="shared" si="1"/>
        <v>3</v>
      </c>
      <c r="W16" s="9">
        <v>3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'13.6'!V17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'13.6'!V18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0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'13.6'!V19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'13.6'!V20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225">
        <f t="shared" si="0"/>
        <v>0</v>
      </c>
      <c r="V20" s="9">
        <f t="shared" si="1"/>
        <v>0</v>
      </c>
      <c r="W20" s="9"/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'13.6'!V21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'13.6'!V22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'13.6'!V23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'13.6'!V24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0</v>
      </c>
      <c r="W24" s="9"/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'13.6'!V25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0</v>
      </c>
      <c r="W25" s="9"/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'13.6'!V26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0</v>
      </c>
      <c r="W26" s="9"/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7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DATE(2015,4,25)</f>
        <v>42119</v>
      </c>
      <c r="E5" s="293">
        <f>D5+1</f>
        <v>42120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48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45</v>
      </c>
      <c r="H7" s="5" t="s">
        <v>50</v>
      </c>
      <c r="I7" s="5" t="s">
        <v>40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VLOOKUP($B8,'2504'!$B8:$M22,11,0)</f>
        <v>249</v>
      </c>
      <c r="E8" s="10">
        <f>38+112</f>
        <v>150</v>
      </c>
      <c r="F8" s="11">
        <v>51</v>
      </c>
      <c r="G8" s="11">
        <v>60</v>
      </c>
      <c r="H8" s="11">
        <v>60</v>
      </c>
      <c r="I8" s="11">
        <v>78</v>
      </c>
      <c r="J8" s="11"/>
      <c r="K8" s="9">
        <f>D8+E8-SUM(F8:J8)</f>
        <v>150</v>
      </c>
      <c r="L8" s="9">
        <v>150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VLOOKUP($B9,'2504'!$B9:$M23,11,0)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VLOOKUP($B10,'2504'!$B10:$M24,11,0)</f>
        <v>142</v>
      </c>
      <c r="E10" s="10"/>
      <c r="F10" s="11"/>
      <c r="G10" s="11">
        <v>60</v>
      </c>
      <c r="H10" s="11"/>
      <c r="I10" s="11">
        <v>82</v>
      </c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VLOOKUP($B11,'2504'!$B11:$M25,11,0)</f>
        <v>0</v>
      </c>
      <c r="E11" s="10">
        <v>300</v>
      </c>
      <c r="F11" s="11"/>
      <c r="G11" s="11"/>
      <c r="H11" s="11"/>
      <c r="I11" s="11"/>
      <c r="J11" s="11"/>
      <c r="K11" s="9">
        <f t="shared" si="1"/>
        <v>300</v>
      </c>
      <c r="L11" s="9">
        <v>300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VLOOKUP($B12,'2504'!$B12:$M26,11,0)</f>
        <v>209</v>
      </c>
      <c r="E12" s="14">
        <v>120</v>
      </c>
      <c r="F12" s="11"/>
      <c r="G12" s="11">
        <v>59</v>
      </c>
      <c r="H12" s="11">
        <v>50</v>
      </c>
      <c r="I12" s="11">
        <v>100</v>
      </c>
      <c r="J12" s="11"/>
      <c r="K12" s="9">
        <f t="shared" si="1"/>
        <v>120</v>
      </c>
      <c r="L12" s="9">
        <v>120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VLOOKUP($B13,'2504'!$B13:$M27,11,0)</f>
        <v>98</v>
      </c>
      <c r="E13" s="14">
        <v>106</v>
      </c>
      <c r="F13" s="11">
        <v>22</v>
      </c>
      <c r="G13" s="11"/>
      <c r="H13" s="11">
        <v>26</v>
      </c>
      <c r="I13" s="11">
        <v>50</v>
      </c>
      <c r="J13" s="11"/>
      <c r="K13" s="9">
        <f t="shared" si="1"/>
        <v>106</v>
      </c>
      <c r="L13" s="9">
        <v>106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VLOOKUP($B14,'2504'!$B14:$M28,11,0)</f>
        <v>1</v>
      </c>
      <c r="E14" s="14"/>
      <c r="F14" s="11"/>
      <c r="G14" s="11"/>
      <c r="H14" s="11"/>
      <c r="I14" s="11"/>
      <c r="J14" s="11"/>
      <c r="K14" s="9">
        <f t="shared" si="1"/>
        <v>1</v>
      </c>
      <c r="L14" s="9">
        <v>1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VLOOKUP($B15,'2504'!$B15:$M29,11,0)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VLOOKUP($B16,'2504'!$B16:$M30,11,0)</f>
        <v>7</v>
      </c>
      <c r="E16" s="14"/>
      <c r="F16" s="11"/>
      <c r="G16" s="11">
        <v>3</v>
      </c>
      <c r="H16" s="11">
        <v>2</v>
      </c>
      <c r="I16" s="11">
        <v>2</v>
      </c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VLOOKUP($B17,'2504'!$B17:$M31,11,0)</f>
        <v>2</v>
      </c>
      <c r="E17" s="14"/>
      <c r="F17" s="11"/>
      <c r="G17" s="11">
        <v>2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VLOOKUP($B18,'2504'!$B18:$M32,11,0)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VLOOKUP($B19,'2504'!$B19:$M33,11,0)</f>
        <v>3</v>
      </c>
      <c r="E19" s="14"/>
      <c r="F19" s="11"/>
      <c r="G19" s="11"/>
      <c r="H19" s="11">
        <v>1</v>
      </c>
      <c r="I19" s="11">
        <v>1</v>
      </c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VLOOKUP($B20,'2504'!$B20:$M34,11,0)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VLOOKUP($B21,'2504'!$B21:$M35,11,0)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VLOOKUP($B22,'2504'!$B22:$M36,11,0)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VLOOKUP($B24,'2504'!$B24:$M38,11,0)</f>
        <v>712</v>
      </c>
      <c r="E24" s="9">
        <f t="shared" ref="E24:K24" si="3">SUM(E8:E22)</f>
        <v>676</v>
      </c>
      <c r="F24" s="9"/>
      <c r="G24" s="9"/>
      <c r="H24" s="9"/>
      <c r="I24" s="9"/>
      <c r="J24" s="9"/>
      <c r="K24" s="9">
        <f t="shared" si="3"/>
        <v>679</v>
      </c>
      <c r="L24" s="9"/>
      <c r="M24" s="9">
        <f>L24-K24</f>
        <v>-679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VLOOKUP($B26,'2504'!$B26:$M29,11,0)</f>
        <v>205</v>
      </c>
      <c r="E26" s="10">
        <v>156</v>
      </c>
      <c r="F26" s="9">
        <v>131</v>
      </c>
      <c r="G26" s="11"/>
      <c r="H26" s="9"/>
      <c r="I26" s="9"/>
      <c r="J26" s="9"/>
      <c r="K26" s="9">
        <f t="shared" ref="K26" si="4">D26+E26-F26</f>
        <v>230</v>
      </c>
      <c r="L26" s="9">
        <v>230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VLOOKUP($B27,'2504'!$B27:$M30,11,0)</f>
        <v>111</v>
      </c>
      <c r="E27" s="9"/>
      <c r="F27" s="9">
        <v>41</v>
      </c>
      <c r="G27" s="11"/>
      <c r="H27" s="9"/>
      <c r="I27" s="9"/>
      <c r="J27" s="9"/>
      <c r="K27" s="9">
        <f>D27+E27-F27</f>
        <v>70</v>
      </c>
      <c r="L27" s="9">
        <v>70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VLOOKUP($B28,'2504'!$B28:$M31,11,0)</f>
        <v>330</v>
      </c>
      <c r="E28" s="9">
        <v>127</v>
      </c>
      <c r="F28" s="9">
        <v>130</v>
      </c>
      <c r="G28" s="11"/>
      <c r="H28" s="9"/>
      <c r="I28" s="9"/>
      <c r="J28" s="9"/>
      <c r="K28" s="9">
        <f>D28+E28-F28</f>
        <v>327</v>
      </c>
      <c r="L28" s="9">
        <v>327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VLOOKUP($B29,'2504'!$B29:$M32,11,0)</f>
        <v>188</v>
      </c>
      <c r="E29" s="9"/>
      <c r="F29" s="9">
        <v>40</v>
      </c>
      <c r="G29" s="11"/>
      <c r="H29" s="9"/>
      <c r="I29" s="9"/>
      <c r="J29" s="9"/>
      <c r="K29" s="9">
        <f>D29+E29-F29</f>
        <v>148</v>
      </c>
      <c r="L29" s="9">
        <v>148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11" activePane="bottomRight" state="frozen"/>
      <selection activeCell="F29" sqref="F29"/>
      <selection pane="topRight" activeCell="F29" sqref="F29"/>
      <selection pane="bottomLeft" activeCell="F29" sqref="F29"/>
      <selection pane="bottomRight" activeCell="L18" sqref="L18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DATE(2017,6,14)</f>
        <v>42900</v>
      </c>
      <c r="E5" s="293">
        <f>D5+1</f>
        <v>42901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62"/>
      <c r="G6" s="262"/>
      <c r="H6" s="300"/>
      <c r="I6" s="300"/>
      <c r="J6" s="300"/>
      <c r="K6" s="300"/>
      <c r="L6" s="300"/>
      <c r="M6" s="300"/>
      <c r="N6" s="301"/>
      <c r="O6" s="261"/>
      <c r="P6" s="261"/>
      <c r="Q6" s="261"/>
      <c r="R6" s="261"/>
      <c r="S6" s="261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'14.6'!W8</f>
        <v>980</v>
      </c>
      <c r="E8" s="11">
        <v>275</v>
      </c>
      <c r="F8" s="10"/>
      <c r="G8" s="10">
        <v>30</v>
      </c>
      <c r="H8" s="11"/>
      <c r="I8" s="11"/>
      <c r="J8" s="11"/>
      <c r="K8" s="11"/>
      <c r="L8" s="11">
        <v>275</v>
      </c>
      <c r="M8" s="11"/>
      <c r="N8" s="11"/>
      <c r="O8" s="11"/>
      <c r="P8" s="11"/>
      <c r="Q8" s="11"/>
      <c r="R8" s="11"/>
      <c r="S8" s="11">
        <v>60</v>
      </c>
      <c r="T8" s="11"/>
      <c r="U8" s="225">
        <f>SUM(F8:T8)</f>
        <v>365</v>
      </c>
      <c r="V8" s="9">
        <f>D8+E8-SUM(F8:T8)</f>
        <v>890</v>
      </c>
      <c r="W8" s="9">
        <v>890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'14.6'!W9</f>
        <v>1150</v>
      </c>
      <c r="E9" s="11">
        <v>290</v>
      </c>
      <c r="F9" s="10"/>
      <c r="G9" s="10">
        <v>50</v>
      </c>
      <c r="H9" s="11"/>
      <c r="I9" s="11"/>
      <c r="J9" s="11"/>
      <c r="K9" s="11"/>
      <c r="L9" s="11">
        <v>50</v>
      </c>
      <c r="M9" s="11"/>
      <c r="N9" s="11"/>
      <c r="O9" s="11"/>
      <c r="P9" s="11"/>
      <c r="Q9" s="11"/>
      <c r="R9" s="11"/>
      <c r="S9" s="11">
        <v>30</v>
      </c>
      <c r="T9" s="11">
        <v>60</v>
      </c>
      <c r="U9" s="225">
        <f t="shared" ref="U9:U29" si="0">SUM(F9:T9)</f>
        <v>190</v>
      </c>
      <c r="V9" s="9">
        <f t="shared" ref="V9:V29" si="1">D9+E9-SUM(F9:T9)</f>
        <v>1250</v>
      </c>
      <c r="W9" s="9">
        <v>1250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'14.6'!W10</f>
        <v>1460</v>
      </c>
      <c r="E10" s="11"/>
      <c r="F10" s="14"/>
      <c r="G10" s="14">
        <v>30</v>
      </c>
      <c r="H10" s="11"/>
      <c r="I10" s="11"/>
      <c r="J10" s="11"/>
      <c r="K10" s="11"/>
      <c r="L10" s="11">
        <v>50</v>
      </c>
      <c r="M10" s="11"/>
      <c r="N10" s="11"/>
      <c r="O10" s="11"/>
      <c r="P10" s="11"/>
      <c r="Q10" s="11"/>
      <c r="R10" s="11"/>
      <c r="S10" s="11">
        <v>40</v>
      </c>
      <c r="T10" s="11"/>
      <c r="U10" s="225">
        <f t="shared" si="0"/>
        <v>120</v>
      </c>
      <c r="V10" s="9">
        <f t="shared" si="1"/>
        <v>1340</v>
      </c>
      <c r="W10" s="9">
        <v>1340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'14.6'!W11</f>
        <v>1550</v>
      </c>
      <c r="E11" s="11"/>
      <c r="F11" s="14"/>
      <c r="G11" s="14">
        <v>30</v>
      </c>
      <c r="H11" s="11"/>
      <c r="I11" s="11"/>
      <c r="J11" s="11"/>
      <c r="K11" s="11"/>
      <c r="L11" s="11">
        <v>50</v>
      </c>
      <c r="M11" s="11"/>
      <c r="N11" s="11"/>
      <c r="O11" s="11"/>
      <c r="P11" s="11"/>
      <c r="Q11" s="11"/>
      <c r="R11" s="11"/>
      <c r="S11" s="11">
        <v>40</v>
      </c>
      <c r="T11" s="11"/>
      <c r="U11" s="225">
        <f t="shared" si="0"/>
        <v>120</v>
      </c>
      <c r="V11" s="9">
        <f t="shared" si="1"/>
        <v>1430</v>
      </c>
      <c r="W11" s="9">
        <v>1430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'14.6'!W12</f>
        <v>14</v>
      </c>
      <c r="E12" s="11">
        <v>16</v>
      </c>
      <c r="F12" s="14"/>
      <c r="G12" s="14">
        <v>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25">
        <f t="shared" si="0"/>
        <v>1</v>
      </c>
      <c r="V12" s="9">
        <f t="shared" si="1"/>
        <v>29</v>
      </c>
      <c r="W12" s="9">
        <v>29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'14.6'!W13</f>
        <v>13534</v>
      </c>
      <c r="E13" s="11">
        <v>4800</v>
      </c>
      <c r="F13" s="14"/>
      <c r="G13" s="14">
        <v>1200</v>
      </c>
      <c r="H13" s="11">
        <v>200</v>
      </c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>
        <v>400</v>
      </c>
      <c r="O13" s="11"/>
      <c r="P13" s="11">
        <v>200</v>
      </c>
      <c r="Q13" s="11">
        <v>200</v>
      </c>
      <c r="R13" s="11"/>
      <c r="S13" s="11"/>
      <c r="T13" s="11">
        <v>200</v>
      </c>
      <c r="U13" s="225">
        <f t="shared" si="0"/>
        <v>3900</v>
      </c>
      <c r="V13" s="9">
        <f t="shared" si="1"/>
        <v>14434</v>
      </c>
      <c r="W13" s="9">
        <v>14434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'14.6'!W14</f>
        <v>7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0</v>
      </c>
      <c r="V14" s="9">
        <f t="shared" si="1"/>
        <v>7</v>
      </c>
      <c r="W14" s="9">
        <v>7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'14.6'!W15</f>
        <v>6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25">
        <f t="shared" si="0"/>
        <v>0</v>
      </c>
      <c r="V15" s="9">
        <f t="shared" si="1"/>
        <v>6</v>
      </c>
      <c r="W15" s="9">
        <v>6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'14.6'!W16</f>
        <v>3</v>
      </c>
      <c r="E16" s="14">
        <v>10</v>
      </c>
      <c r="F16" s="14"/>
      <c r="G16" s="14">
        <v>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1</v>
      </c>
      <c r="V16" s="9">
        <f t="shared" si="1"/>
        <v>12</v>
      </c>
      <c r="W16" s="9">
        <v>12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'14.6'!W17</f>
        <v>0</v>
      </c>
      <c r="E17" s="14"/>
      <c r="F17" s="14"/>
      <c r="G17" s="317">
        <v>4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>
        <v>40</v>
      </c>
      <c r="T17" s="11"/>
      <c r="U17" s="225">
        <f t="shared" si="0"/>
        <v>44</v>
      </c>
      <c r="V17" s="9">
        <f t="shared" si="1"/>
        <v>-44</v>
      </c>
      <c r="W17" s="9"/>
      <c r="X17" s="9">
        <f t="shared" si="2"/>
        <v>44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'14.6'!W18</f>
        <v>0</v>
      </c>
      <c r="E18" s="14"/>
      <c r="F18" s="14"/>
      <c r="G18" s="317">
        <v>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>
        <v>20</v>
      </c>
      <c r="T18" s="11"/>
      <c r="U18" s="225">
        <f t="shared" si="0"/>
        <v>23</v>
      </c>
      <c r="V18" s="9">
        <f t="shared" si="1"/>
        <v>-23</v>
      </c>
      <c r="W18" s="9"/>
      <c r="X18" s="9">
        <f t="shared" si="2"/>
        <v>23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'14.6'!W19</f>
        <v>0</v>
      </c>
      <c r="E19" s="14"/>
      <c r="F19" s="14"/>
      <c r="G19" s="317">
        <v>3</v>
      </c>
      <c r="H19" s="11"/>
      <c r="I19" s="11"/>
      <c r="J19" s="11"/>
      <c r="N19" s="11"/>
      <c r="O19" s="11"/>
      <c r="P19" s="11"/>
      <c r="Q19" s="11"/>
      <c r="R19" s="11"/>
      <c r="S19" s="11">
        <v>40</v>
      </c>
      <c r="T19" s="11"/>
      <c r="U19" s="225">
        <f t="shared" si="0"/>
        <v>43</v>
      </c>
      <c r="V19" s="9">
        <f t="shared" si="1"/>
        <v>-43</v>
      </c>
      <c r="W19" s="9"/>
      <c r="X19" s="9">
        <f t="shared" si="2"/>
        <v>43</v>
      </c>
    </row>
    <row r="20" spans="1:24" ht="18.75">
      <c r="A20" s="6"/>
      <c r="B20" s="220" t="s">
        <v>110</v>
      </c>
      <c r="C20" s="6" t="s">
        <v>111</v>
      </c>
      <c r="D20" s="9">
        <f>'14.6'!W20</f>
        <v>0</v>
      </c>
      <c r="E20" s="14"/>
      <c r="F20" s="14"/>
      <c r="G20" s="317">
        <v>10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>
        <v>10</v>
      </c>
      <c r="T20" s="9"/>
      <c r="U20" s="225">
        <f t="shared" si="0"/>
        <v>20</v>
      </c>
      <c r="V20" s="9">
        <f t="shared" si="1"/>
        <v>-20</v>
      </c>
      <c r="W20" s="9"/>
      <c r="X20" s="9">
        <f t="shared" si="2"/>
        <v>20</v>
      </c>
    </row>
    <row r="21" spans="1:24" ht="18.75">
      <c r="A21" s="6"/>
      <c r="B21" s="221" t="s">
        <v>112</v>
      </c>
      <c r="C21" s="6" t="s">
        <v>111</v>
      </c>
      <c r="D21" s="9">
        <f>'14.6'!W21</f>
        <v>0</v>
      </c>
      <c r="E21" s="14"/>
      <c r="F21" s="14"/>
      <c r="G21" s="317">
        <v>3</v>
      </c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>
        <v>20</v>
      </c>
      <c r="T21" s="9"/>
      <c r="U21" s="225">
        <f t="shared" si="0"/>
        <v>23</v>
      </c>
      <c r="V21" s="9">
        <f t="shared" si="1"/>
        <v>-23</v>
      </c>
      <c r="W21" s="9"/>
      <c r="X21" s="9">
        <f t="shared" si="2"/>
        <v>23</v>
      </c>
    </row>
    <row r="22" spans="1:24" ht="18.75">
      <c r="A22" s="6"/>
      <c r="B22" s="20" t="s">
        <v>32</v>
      </c>
      <c r="C22" s="6"/>
      <c r="D22" s="9">
        <f>'14.6'!W22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'14.6'!W23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'14.6'!W24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0</v>
      </c>
      <c r="W24" s="9"/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'14.6'!W25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0</v>
      </c>
      <c r="W25" s="9"/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'14.6'!W26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0</v>
      </c>
      <c r="W26" s="9"/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W13" sqref="W13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DATE(2017,6,15)</f>
        <v>42901</v>
      </c>
      <c r="E5" s="293">
        <f>D5+1</f>
        <v>42902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64"/>
      <c r="G6" s="264"/>
      <c r="H6" s="300"/>
      <c r="I6" s="300"/>
      <c r="J6" s="300"/>
      <c r="K6" s="300"/>
      <c r="L6" s="300"/>
      <c r="M6" s="300"/>
      <c r="N6" s="301"/>
      <c r="O6" s="263"/>
      <c r="P6" s="263"/>
      <c r="Q6" s="263"/>
      <c r="R6" s="263"/>
      <c r="S6" s="263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'15.6'!W8</f>
        <v>890</v>
      </c>
      <c r="E8" s="11"/>
      <c r="F8" s="10"/>
      <c r="G8" s="10"/>
      <c r="H8" s="11">
        <v>40</v>
      </c>
      <c r="I8" s="11"/>
      <c r="J8" s="11"/>
      <c r="K8" s="11"/>
      <c r="L8" s="11"/>
      <c r="M8" s="11"/>
      <c r="N8" s="11"/>
      <c r="O8" s="11">
        <v>250</v>
      </c>
      <c r="P8" s="11"/>
      <c r="Q8" s="11"/>
      <c r="R8" s="11"/>
      <c r="S8" s="11"/>
      <c r="T8" s="11"/>
      <c r="U8" s="225">
        <f>SUM(F8:T8)</f>
        <v>290</v>
      </c>
      <c r="V8" s="9">
        <f>D8+E8-SUM(F8:T8)</f>
        <v>600</v>
      </c>
      <c r="W8" s="9">
        <v>600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'15.6'!W9</f>
        <v>1250</v>
      </c>
      <c r="E9" s="11"/>
      <c r="F9" s="10"/>
      <c r="G9" s="10"/>
      <c r="H9" s="11">
        <v>70</v>
      </c>
      <c r="I9" s="11"/>
      <c r="J9" s="11"/>
      <c r="K9" s="11"/>
      <c r="L9" s="11"/>
      <c r="M9" s="11"/>
      <c r="N9" s="11"/>
      <c r="O9" s="11">
        <v>150</v>
      </c>
      <c r="P9" s="11"/>
      <c r="Q9" s="11"/>
      <c r="R9" s="11"/>
      <c r="S9" s="11"/>
      <c r="T9" s="11"/>
      <c r="U9" s="225">
        <f t="shared" ref="U9:U29" si="0">SUM(F9:T9)</f>
        <v>220</v>
      </c>
      <c r="V9" s="9">
        <f t="shared" ref="V9:V29" si="1">D9+E9-SUM(F9:T9)</f>
        <v>1030</v>
      </c>
      <c r="W9" s="9">
        <v>1030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'15.6'!W10</f>
        <v>1340</v>
      </c>
      <c r="E10" s="11"/>
      <c r="F10" s="14"/>
      <c r="G10" s="14"/>
      <c r="H10" s="11">
        <v>70</v>
      </c>
      <c r="I10" s="11"/>
      <c r="J10" s="11"/>
      <c r="K10" s="11"/>
      <c r="L10" s="11"/>
      <c r="M10" s="11"/>
      <c r="N10" s="11"/>
      <c r="O10" s="11">
        <v>150</v>
      </c>
      <c r="P10" s="11"/>
      <c r="Q10" s="11"/>
      <c r="R10" s="11"/>
      <c r="S10" s="11"/>
      <c r="T10" s="11"/>
      <c r="U10" s="225">
        <f t="shared" si="0"/>
        <v>220</v>
      </c>
      <c r="V10" s="9">
        <f t="shared" si="1"/>
        <v>1120</v>
      </c>
      <c r="W10" s="9">
        <v>1120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'15.6'!W11</f>
        <v>1430</v>
      </c>
      <c r="E11" s="11"/>
      <c r="F11" s="14"/>
      <c r="G11" s="14"/>
      <c r="H11" s="11">
        <v>70</v>
      </c>
      <c r="I11" s="11"/>
      <c r="J11" s="11"/>
      <c r="K11" s="11"/>
      <c r="L11" s="11"/>
      <c r="M11" s="11"/>
      <c r="N11" s="11"/>
      <c r="O11" s="11">
        <v>150</v>
      </c>
      <c r="P11" s="11"/>
      <c r="Q11" s="11"/>
      <c r="R11" s="11"/>
      <c r="S11" s="11"/>
      <c r="T11" s="11"/>
      <c r="U11" s="225">
        <f t="shared" si="0"/>
        <v>220</v>
      </c>
      <c r="V11" s="9">
        <f t="shared" si="1"/>
        <v>1210</v>
      </c>
      <c r="W11" s="9">
        <v>1210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'15.6'!W12</f>
        <v>29</v>
      </c>
      <c r="E12" s="11"/>
      <c r="F12" s="14"/>
      <c r="G12" s="14"/>
      <c r="H12" s="11">
        <v>1</v>
      </c>
      <c r="I12" s="11"/>
      <c r="J12" s="11"/>
      <c r="K12" s="11"/>
      <c r="L12" s="11"/>
      <c r="M12" s="11"/>
      <c r="N12" s="11"/>
      <c r="O12" s="11">
        <v>3</v>
      </c>
      <c r="P12" s="11"/>
      <c r="Q12" s="11"/>
      <c r="R12" s="11"/>
      <c r="S12" s="11"/>
      <c r="T12" s="11"/>
      <c r="U12" s="225">
        <f t="shared" si="0"/>
        <v>4</v>
      </c>
      <c r="V12" s="9">
        <f t="shared" si="1"/>
        <v>25</v>
      </c>
      <c r="W12" s="9">
        <v>25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'15.6'!W13</f>
        <v>14434</v>
      </c>
      <c r="E13" s="11"/>
      <c r="F13" s="14"/>
      <c r="G13" s="14"/>
      <c r="H13" s="11">
        <v>200</v>
      </c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>
        <v>400</v>
      </c>
      <c r="O13" s="11">
        <v>800</v>
      </c>
      <c r="P13" s="11">
        <v>200</v>
      </c>
      <c r="Q13" s="11">
        <v>200</v>
      </c>
      <c r="R13" s="11"/>
      <c r="S13" s="11"/>
      <c r="T13" s="11"/>
      <c r="U13" s="225">
        <f t="shared" si="0"/>
        <v>3300</v>
      </c>
      <c r="V13" s="9">
        <f t="shared" si="1"/>
        <v>11134</v>
      </c>
      <c r="W13" s="9">
        <v>11134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'15.6'!W14</f>
        <v>7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0</v>
      </c>
      <c r="V14" s="9">
        <f t="shared" si="1"/>
        <v>7</v>
      </c>
      <c r="W14" s="9">
        <v>7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'15.6'!W15</f>
        <v>6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>
        <v>1</v>
      </c>
      <c r="P15" s="11"/>
      <c r="Q15" s="11"/>
      <c r="R15" s="11"/>
      <c r="S15" s="11"/>
      <c r="T15" s="11"/>
      <c r="U15" s="225">
        <f t="shared" si="0"/>
        <v>1</v>
      </c>
      <c r="V15" s="9">
        <f t="shared" si="1"/>
        <v>5</v>
      </c>
      <c r="W15" s="9">
        <v>5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'15.6'!W16</f>
        <v>12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0</v>
      </c>
      <c r="V16" s="9">
        <f t="shared" si="1"/>
        <v>12</v>
      </c>
      <c r="W16" s="9">
        <v>12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'15.6'!W17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'15.6'!W18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0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'15.6'!W19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'15.6'!W20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225">
        <f t="shared" si="0"/>
        <v>0</v>
      </c>
      <c r="V20" s="9">
        <f t="shared" si="1"/>
        <v>0</v>
      </c>
      <c r="W20" s="9"/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'15.6'!W21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'15.6'!W22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'15.6'!W23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'15.6'!W24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0</v>
      </c>
      <c r="W24" s="9"/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'15.6'!W25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0</v>
      </c>
      <c r="W25" s="9"/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'15.6'!W26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0</v>
      </c>
      <c r="W26" s="9"/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T10" sqref="T10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DATE(2017,6,16)</f>
        <v>42902</v>
      </c>
      <c r="E5" s="293">
        <f>D5+1</f>
        <v>42903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64"/>
      <c r="G6" s="264"/>
      <c r="H6" s="300"/>
      <c r="I6" s="300"/>
      <c r="J6" s="300"/>
      <c r="K6" s="300"/>
      <c r="L6" s="300"/>
      <c r="M6" s="300"/>
      <c r="N6" s="301"/>
      <c r="O6" s="263"/>
      <c r="P6" s="263"/>
      <c r="Q6" s="263"/>
      <c r="R6" s="263"/>
      <c r="S6" s="263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'16.6'!W8</f>
        <v>600</v>
      </c>
      <c r="E8" s="11">
        <v>940</v>
      </c>
      <c r="F8" s="10">
        <v>100</v>
      </c>
      <c r="G8" s="10"/>
      <c r="H8" s="11"/>
      <c r="I8" s="11"/>
      <c r="J8" s="11"/>
      <c r="K8" s="11"/>
      <c r="L8" s="11">
        <v>200</v>
      </c>
      <c r="M8" s="11"/>
      <c r="N8" s="11"/>
      <c r="O8" s="11"/>
      <c r="P8" s="11"/>
      <c r="Q8" s="11"/>
      <c r="R8" s="11"/>
      <c r="S8" s="11"/>
      <c r="T8" s="11"/>
      <c r="U8" s="225">
        <f>SUM(F8:T8)</f>
        <v>300</v>
      </c>
      <c r="V8" s="9">
        <f>D8+E8-SUM(F8:T8)</f>
        <v>1240</v>
      </c>
      <c r="W8" s="9">
        <v>1240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'16.6'!W9</f>
        <v>1030</v>
      </c>
      <c r="E9" s="11"/>
      <c r="F9" s="10">
        <v>100</v>
      </c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v>60</v>
      </c>
      <c r="U9" s="225">
        <f t="shared" ref="U9:U29" si="0">SUM(F9:T9)</f>
        <v>160</v>
      </c>
      <c r="V9" s="9">
        <f t="shared" ref="V9:V29" si="1">D9+E9-SUM(F9:T9)</f>
        <v>870</v>
      </c>
      <c r="W9" s="9">
        <v>930</v>
      </c>
      <c r="X9" s="9">
        <f t="shared" ref="X9:X22" si="2">W9-V9</f>
        <v>60</v>
      </c>
    </row>
    <row r="10" spans="1:25" ht="18.75">
      <c r="A10" s="6">
        <v>5</v>
      </c>
      <c r="B10" s="15" t="s">
        <v>18</v>
      </c>
      <c r="C10" s="6" t="s">
        <v>17</v>
      </c>
      <c r="D10" s="9">
        <f>'16.6'!W10</f>
        <v>1120</v>
      </c>
      <c r="E10" s="11"/>
      <c r="F10" s="14">
        <v>80</v>
      </c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225">
        <f t="shared" si="0"/>
        <v>80</v>
      </c>
      <c r="V10" s="9">
        <f t="shared" si="1"/>
        <v>1040</v>
      </c>
      <c r="W10" s="9">
        <v>1040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'16.6'!W11</f>
        <v>1210</v>
      </c>
      <c r="E11" s="11"/>
      <c r="F11" s="14">
        <v>70</v>
      </c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25">
        <f t="shared" si="0"/>
        <v>70</v>
      </c>
      <c r="V11" s="9">
        <f t="shared" si="1"/>
        <v>1140</v>
      </c>
      <c r="W11" s="9">
        <v>1140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'16.6'!W12</f>
        <v>25</v>
      </c>
      <c r="E12" s="11"/>
      <c r="F12" s="14">
        <v>4</v>
      </c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25">
        <f t="shared" si="0"/>
        <v>4</v>
      </c>
      <c r="V12" s="9">
        <f t="shared" si="1"/>
        <v>21</v>
      </c>
      <c r="W12" s="9">
        <v>21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'16.6'!W13</f>
        <v>11134</v>
      </c>
      <c r="E13" s="11">
        <v>4750</v>
      </c>
      <c r="F13" s="14">
        <v>1000</v>
      </c>
      <c r="G13" s="14"/>
      <c r="H13" s="11">
        <v>200</v>
      </c>
      <c r="I13" s="11">
        <v>300</v>
      </c>
      <c r="J13" s="11">
        <v>1400</v>
      </c>
      <c r="K13" s="11">
        <v>200</v>
      </c>
      <c r="L13" s="11">
        <v>200</v>
      </c>
      <c r="M13" s="11">
        <v>100</v>
      </c>
      <c r="N13" s="11">
        <v>400</v>
      </c>
      <c r="O13" s="11">
        <v>2000</v>
      </c>
      <c r="P13" s="11">
        <v>300</v>
      </c>
      <c r="Q13" s="11">
        <v>500</v>
      </c>
      <c r="R13" s="11"/>
      <c r="S13" s="11">
        <v>200</v>
      </c>
      <c r="T13" s="11">
        <v>200</v>
      </c>
      <c r="U13" s="225">
        <f t="shared" si="0"/>
        <v>7000</v>
      </c>
      <c r="V13" s="9">
        <f t="shared" si="1"/>
        <v>8884</v>
      </c>
      <c r="W13" s="9">
        <v>8884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'16.6'!W14</f>
        <v>7</v>
      </c>
      <c r="E14" s="11"/>
      <c r="F14" s="14">
        <v>1</v>
      </c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1</v>
      </c>
      <c r="V14" s="9">
        <f t="shared" si="1"/>
        <v>6</v>
      </c>
      <c r="W14" s="9">
        <v>6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'16.6'!W15</f>
        <v>5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25">
        <f t="shared" si="0"/>
        <v>0</v>
      </c>
      <c r="V15" s="9">
        <f t="shared" si="1"/>
        <v>5</v>
      </c>
      <c r="W15" s="9">
        <v>5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'16.6'!W16</f>
        <v>12</v>
      </c>
      <c r="E16" s="14"/>
      <c r="F16" s="14">
        <v>1</v>
      </c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1</v>
      </c>
      <c r="V16" s="9">
        <f t="shared" si="1"/>
        <v>11</v>
      </c>
      <c r="W16" s="9">
        <v>11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'16.6'!W17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'16.6'!W18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0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'16.6'!W19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'16.6'!W20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225">
        <f t="shared" si="0"/>
        <v>0</v>
      </c>
      <c r="V20" s="9">
        <f t="shared" si="1"/>
        <v>0</v>
      </c>
      <c r="W20" s="9"/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'16.6'!W21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'16.6'!W22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'16.6'!W23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'16.6'!W24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0</v>
      </c>
      <c r="W24" s="9"/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'16.6'!W25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0</v>
      </c>
      <c r="W25" s="9"/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'16.6'!W26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0</v>
      </c>
      <c r="W26" s="9"/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W17" sqref="W17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DATE(2017,6,17)</f>
        <v>42903</v>
      </c>
      <c r="E5" s="293">
        <f>D5+1</f>
        <v>42904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66"/>
      <c r="G6" s="266"/>
      <c r="H6" s="300"/>
      <c r="I6" s="300"/>
      <c r="J6" s="300"/>
      <c r="K6" s="300"/>
      <c r="L6" s="300"/>
      <c r="M6" s="300"/>
      <c r="N6" s="301"/>
      <c r="O6" s="265"/>
      <c r="P6" s="265"/>
      <c r="Q6" s="265"/>
      <c r="R6" s="265"/>
      <c r="S6" s="265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'17.6'!W8</f>
        <v>1240</v>
      </c>
      <c r="E8" s="11"/>
      <c r="F8" s="10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225">
        <f>SUM(F8:T8)</f>
        <v>0</v>
      </c>
      <c r="V8" s="9">
        <f>D8+E8-SUM(F8:T8)</f>
        <v>1240</v>
      </c>
      <c r="W8" s="9">
        <v>1240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'17.6'!W9</f>
        <v>930</v>
      </c>
      <c r="E9" s="11"/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225">
        <f t="shared" ref="U9:U29" si="0">SUM(F9:T9)</f>
        <v>0</v>
      </c>
      <c r="V9" s="9">
        <f t="shared" ref="V9:V29" si="1">D9+E9-SUM(F9:T9)</f>
        <v>930</v>
      </c>
      <c r="W9" s="9">
        <v>930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'17.6'!W10</f>
        <v>1040</v>
      </c>
      <c r="E10" s="11">
        <v>350</v>
      </c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225">
        <f t="shared" si="0"/>
        <v>0</v>
      </c>
      <c r="V10" s="9">
        <f t="shared" si="1"/>
        <v>1390</v>
      </c>
      <c r="W10" s="9">
        <v>1390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'17.6'!W11</f>
        <v>1140</v>
      </c>
      <c r="E11" s="11">
        <v>300</v>
      </c>
      <c r="F11" s="14"/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25">
        <f t="shared" si="0"/>
        <v>0</v>
      </c>
      <c r="V11" s="9">
        <f t="shared" si="1"/>
        <v>1440</v>
      </c>
      <c r="W11" s="9">
        <v>1440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'17.6'!W12</f>
        <v>21</v>
      </c>
      <c r="E12" s="11"/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25">
        <f t="shared" si="0"/>
        <v>0</v>
      </c>
      <c r="V12" s="9">
        <f t="shared" si="1"/>
        <v>21</v>
      </c>
      <c r="W12" s="9">
        <v>21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'17.6'!W13</f>
        <v>8884</v>
      </c>
      <c r="E13" s="11">
        <v>5500</v>
      </c>
      <c r="F13" s="14"/>
      <c r="G13" s="14"/>
      <c r="H13" s="11">
        <v>200</v>
      </c>
      <c r="I13" s="11">
        <v>300</v>
      </c>
      <c r="J13" s="11">
        <v>1400</v>
      </c>
      <c r="K13" s="11">
        <v>200</v>
      </c>
      <c r="L13" s="11">
        <v>200</v>
      </c>
      <c r="M13" s="11">
        <v>100</v>
      </c>
      <c r="N13" s="11">
        <v>400</v>
      </c>
      <c r="O13" s="11">
        <v>1400</v>
      </c>
      <c r="P13" s="11">
        <v>300</v>
      </c>
      <c r="Q13" s="11">
        <v>500</v>
      </c>
      <c r="R13" s="11"/>
      <c r="S13" s="11">
        <v>200</v>
      </c>
      <c r="T13" s="11">
        <v>200</v>
      </c>
      <c r="U13" s="225">
        <f t="shared" si="0"/>
        <v>5400</v>
      </c>
      <c r="V13" s="9">
        <f t="shared" si="1"/>
        <v>8984</v>
      </c>
      <c r="W13" s="9">
        <v>8984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'17.6'!W14</f>
        <v>6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0</v>
      </c>
      <c r="V14" s="9">
        <f t="shared" si="1"/>
        <v>6</v>
      </c>
      <c r="W14" s="9">
        <v>6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'17.6'!W15</f>
        <v>5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25">
        <f t="shared" si="0"/>
        <v>0</v>
      </c>
      <c r="V15" s="9">
        <f t="shared" si="1"/>
        <v>5</v>
      </c>
      <c r="W15" s="9">
        <v>5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'17.6'!W16</f>
        <v>11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0</v>
      </c>
      <c r="V16" s="9">
        <f t="shared" si="1"/>
        <v>11</v>
      </c>
      <c r="W16" s="9">
        <v>11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'17.6'!W17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'17.6'!W18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0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'17.6'!W19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'17.6'!W20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225">
        <f t="shared" si="0"/>
        <v>0</v>
      </c>
      <c r="V20" s="9">
        <f t="shared" si="1"/>
        <v>0</v>
      </c>
      <c r="W20" s="9"/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'17.6'!W21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'17.6'!W22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'17.6'!W23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'17.6'!W24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0</v>
      </c>
      <c r="W24" s="9"/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'17.6'!W25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0</v>
      </c>
      <c r="W25" s="9"/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'17.6'!W26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0</v>
      </c>
      <c r="W26" s="9"/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P21" sqref="P21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DATE(2017,6,18)</f>
        <v>42904</v>
      </c>
      <c r="E5" s="293">
        <f>D5+1</f>
        <v>42905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66"/>
      <c r="G6" s="266"/>
      <c r="H6" s="300"/>
      <c r="I6" s="300"/>
      <c r="J6" s="300"/>
      <c r="K6" s="300"/>
      <c r="L6" s="300"/>
      <c r="M6" s="300"/>
      <c r="N6" s="301"/>
      <c r="O6" s="265"/>
      <c r="P6" s="265"/>
      <c r="Q6" s="265"/>
      <c r="R6" s="265"/>
      <c r="S6" s="265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'18.6'!W8</f>
        <v>1240</v>
      </c>
      <c r="E8" s="11"/>
      <c r="F8" s="10"/>
      <c r="G8" s="10"/>
      <c r="H8" s="11"/>
      <c r="I8" s="11"/>
      <c r="J8" s="11"/>
      <c r="K8" s="11"/>
      <c r="L8" s="11"/>
      <c r="M8" s="11"/>
      <c r="N8" s="11"/>
      <c r="O8" s="11"/>
      <c r="P8" s="11">
        <v>60</v>
      </c>
      <c r="Q8" s="11"/>
      <c r="R8" s="11"/>
      <c r="S8" s="11"/>
      <c r="T8" s="11"/>
      <c r="U8" s="225">
        <f>SUM(F8:T8)</f>
        <v>60</v>
      </c>
      <c r="V8" s="9">
        <f>D8+E8-SUM(F8:T8)</f>
        <v>1180</v>
      </c>
      <c r="W8" s="9">
        <v>1180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'18.6'!W9</f>
        <v>930</v>
      </c>
      <c r="E9" s="11"/>
      <c r="F9" s="10"/>
      <c r="G9" s="10"/>
      <c r="H9" s="11"/>
      <c r="I9" s="11"/>
      <c r="J9" s="11"/>
      <c r="K9" s="11"/>
      <c r="L9" s="11"/>
      <c r="M9" s="11"/>
      <c r="N9" s="11"/>
      <c r="O9" s="11"/>
      <c r="P9" s="11">
        <v>60</v>
      </c>
      <c r="Q9" s="11"/>
      <c r="R9" s="11"/>
      <c r="S9" s="11"/>
      <c r="T9" s="11"/>
      <c r="U9" s="225">
        <f t="shared" ref="U9:U29" si="0">SUM(F9:T9)</f>
        <v>60</v>
      </c>
      <c r="V9" s="9">
        <f t="shared" ref="V9:V29" si="1">D9+E9-SUM(F9:T9)</f>
        <v>870</v>
      </c>
      <c r="W9" s="9">
        <v>870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'18.6'!W10</f>
        <v>1390</v>
      </c>
      <c r="E10" s="11">
        <v>330</v>
      </c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>
        <v>40</v>
      </c>
      <c r="Q10" s="11"/>
      <c r="R10" s="11"/>
      <c r="S10" s="11"/>
      <c r="T10" s="11"/>
      <c r="U10" s="225">
        <f t="shared" si="0"/>
        <v>40</v>
      </c>
      <c r="V10" s="9">
        <f t="shared" si="1"/>
        <v>1680</v>
      </c>
      <c r="W10" s="9">
        <v>1680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'18.6'!W11</f>
        <v>1440</v>
      </c>
      <c r="E11" s="11">
        <v>280</v>
      </c>
      <c r="F11" s="14"/>
      <c r="G11" s="14"/>
      <c r="H11" s="11"/>
      <c r="I11" s="11"/>
      <c r="J11" s="11"/>
      <c r="K11" s="11"/>
      <c r="L11" s="11"/>
      <c r="M11" s="11"/>
      <c r="N11" s="11"/>
      <c r="O11" s="11"/>
      <c r="P11" s="11">
        <v>50</v>
      </c>
      <c r="Q11" s="11"/>
      <c r="R11" s="11"/>
      <c r="S11" s="11"/>
      <c r="T11" s="11"/>
      <c r="U11" s="225">
        <f t="shared" si="0"/>
        <v>50</v>
      </c>
      <c r="V11" s="9">
        <f t="shared" si="1"/>
        <v>1670</v>
      </c>
      <c r="W11" s="9">
        <v>1670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'18.6'!W12</f>
        <v>21</v>
      </c>
      <c r="E12" s="11"/>
      <c r="F12" s="14"/>
      <c r="G12" s="14"/>
      <c r="H12" s="11"/>
      <c r="I12" s="11"/>
      <c r="J12" s="11">
        <v>1</v>
      </c>
      <c r="K12" s="11"/>
      <c r="L12" s="11"/>
      <c r="M12" s="11"/>
      <c r="N12" s="11">
        <v>2</v>
      </c>
      <c r="O12" s="11"/>
      <c r="P12" s="11">
        <v>1</v>
      </c>
      <c r="Q12" s="11"/>
      <c r="R12" s="11"/>
      <c r="S12" s="11"/>
      <c r="T12" s="11"/>
      <c r="U12" s="225">
        <f t="shared" si="0"/>
        <v>4</v>
      </c>
      <c r="V12" s="9">
        <f t="shared" si="1"/>
        <v>17</v>
      </c>
      <c r="W12" s="9">
        <v>17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'18.6'!W13</f>
        <v>8984</v>
      </c>
      <c r="E13" s="11">
        <v>5300</v>
      </c>
      <c r="F13" s="14"/>
      <c r="G13" s="14"/>
      <c r="H13" s="11">
        <v>200</v>
      </c>
      <c r="I13" s="11">
        <v>300</v>
      </c>
      <c r="J13" s="11">
        <v>800</v>
      </c>
      <c r="K13" s="11">
        <v>200</v>
      </c>
      <c r="L13" s="11">
        <v>200</v>
      </c>
      <c r="M13" s="11">
        <v>100</v>
      </c>
      <c r="N13" s="11">
        <v>400</v>
      </c>
      <c r="O13" s="11">
        <v>800</v>
      </c>
      <c r="P13" s="11"/>
      <c r="Q13" s="11"/>
      <c r="R13" s="11"/>
      <c r="S13" s="11">
        <v>200</v>
      </c>
      <c r="T13" s="11"/>
      <c r="U13" s="225">
        <f t="shared" si="0"/>
        <v>3200</v>
      </c>
      <c r="V13" s="9">
        <f t="shared" si="1"/>
        <v>11084</v>
      </c>
      <c r="W13" s="9">
        <v>11084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'18.6'!W14</f>
        <v>6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0</v>
      </c>
      <c r="V14" s="9">
        <f t="shared" si="1"/>
        <v>6</v>
      </c>
      <c r="W14" s="9">
        <v>6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'18.6'!W15</f>
        <v>5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25">
        <f t="shared" si="0"/>
        <v>0</v>
      </c>
      <c r="V15" s="9">
        <f t="shared" si="1"/>
        <v>5</v>
      </c>
      <c r="W15" s="9">
        <v>5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'18.6'!W16</f>
        <v>11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0</v>
      </c>
      <c r="V16" s="9">
        <f t="shared" si="1"/>
        <v>11</v>
      </c>
      <c r="W16" s="9">
        <v>11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'18.6'!W17</f>
        <v>0</v>
      </c>
      <c r="E17" s="14">
        <v>7</v>
      </c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7</v>
      </c>
      <c r="W17" s="9">
        <v>7</v>
      </c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'18.6'!W18</f>
        <v>0</v>
      </c>
      <c r="E18" s="14">
        <v>15</v>
      </c>
      <c r="F18" s="14">
        <v>15</v>
      </c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15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'18.6'!W19</f>
        <v>0</v>
      </c>
      <c r="E19" s="14">
        <v>10</v>
      </c>
      <c r="F19" s="14">
        <v>10</v>
      </c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10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'18.6'!W20</f>
        <v>0</v>
      </c>
      <c r="E20" s="14">
        <v>80</v>
      </c>
      <c r="F20" s="14"/>
      <c r="G20" s="14"/>
      <c r="H20" s="9"/>
      <c r="I20" s="9"/>
      <c r="J20" s="9"/>
      <c r="K20" s="9"/>
      <c r="L20" s="9"/>
      <c r="M20" s="9"/>
      <c r="N20" s="9"/>
      <c r="O20" s="9"/>
      <c r="P20" s="9">
        <v>20</v>
      </c>
      <c r="Q20" s="9"/>
      <c r="R20" s="9"/>
      <c r="S20" s="9"/>
      <c r="T20" s="9"/>
      <c r="U20" s="225">
        <f t="shared" si="0"/>
        <v>20</v>
      </c>
      <c r="V20" s="9">
        <f t="shared" si="1"/>
        <v>60</v>
      </c>
      <c r="W20" s="9">
        <v>80</v>
      </c>
      <c r="X20" s="9">
        <f t="shared" si="2"/>
        <v>20</v>
      </c>
    </row>
    <row r="21" spans="1:24" ht="18.75">
      <c r="A21" s="6"/>
      <c r="B21" s="221" t="s">
        <v>112</v>
      </c>
      <c r="C21" s="6" t="s">
        <v>111</v>
      </c>
      <c r="D21" s="9">
        <f>'18.6'!W21</f>
        <v>0</v>
      </c>
      <c r="E21" s="14">
        <v>20</v>
      </c>
      <c r="F21" s="14">
        <v>10</v>
      </c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>
        <v>10</v>
      </c>
      <c r="S21" s="9"/>
      <c r="T21" s="9"/>
      <c r="U21" s="225">
        <f t="shared" si="0"/>
        <v>20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'18.6'!W22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'18.6'!W23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'18.6'!W24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0</v>
      </c>
      <c r="W24" s="9"/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'18.6'!W25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0</v>
      </c>
      <c r="W25" s="9"/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'18.6'!W26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0</v>
      </c>
      <c r="W26" s="9"/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G8" activePane="bottomRight" state="frozen"/>
      <selection activeCell="F29" sqref="F29"/>
      <selection pane="topRight" activeCell="F29" sqref="F29"/>
      <selection pane="bottomLeft" activeCell="F29" sqref="F29"/>
      <selection pane="bottomRight" activeCell="I22" sqref="I22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DATE(2017,6,19)</f>
        <v>42905</v>
      </c>
      <c r="E5" s="293">
        <f>D5+1</f>
        <v>42906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66"/>
      <c r="G6" s="266"/>
      <c r="H6" s="300"/>
      <c r="I6" s="300"/>
      <c r="J6" s="300"/>
      <c r="K6" s="300"/>
      <c r="L6" s="300"/>
      <c r="M6" s="300"/>
      <c r="N6" s="301"/>
      <c r="O6" s="265"/>
      <c r="P6" s="265"/>
      <c r="Q6" s="265"/>
      <c r="R6" s="265"/>
      <c r="S6" s="265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'19.6'!W8</f>
        <v>1180</v>
      </c>
      <c r="E8" s="11">
        <v>76</v>
      </c>
      <c r="F8" s="10"/>
      <c r="G8" s="10"/>
      <c r="H8" s="11"/>
      <c r="I8" s="11">
        <v>40</v>
      </c>
      <c r="J8" s="11">
        <v>180</v>
      </c>
      <c r="K8" s="11">
        <v>60</v>
      </c>
      <c r="L8" s="11">
        <v>76</v>
      </c>
      <c r="M8" s="11"/>
      <c r="N8" s="11"/>
      <c r="O8" s="11"/>
      <c r="P8" s="11"/>
      <c r="Q8" s="11"/>
      <c r="R8" s="11"/>
      <c r="S8" s="11"/>
      <c r="T8" s="11"/>
      <c r="U8" s="225">
        <f>SUM(F8:T8)</f>
        <v>356</v>
      </c>
      <c r="V8" s="9">
        <f>D8+E8-SUM(F8:T8)</f>
        <v>900</v>
      </c>
      <c r="W8" s="9">
        <v>900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'19.6'!W9</f>
        <v>870</v>
      </c>
      <c r="E9" s="11"/>
      <c r="F9" s="10"/>
      <c r="G9" s="10"/>
      <c r="H9" s="11"/>
      <c r="I9" s="11">
        <v>30</v>
      </c>
      <c r="J9" s="11">
        <v>100</v>
      </c>
      <c r="K9" s="11">
        <v>40</v>
      </c>
      <c r="L9" s="11">
        <v>50</v>
      </c>
      <c r="M9" s="11"/>
      <c r="N9" s="11"/>
      <c r="O9" s="11"/>
      <c r="P9" s="11"/>
      <c r="Q9" s="11"/>
      <c r="R9" s="11"/>
      <c r="S9" s="11"/>
      <c r="T9" s="11"/>
      <c r="U9" s="225">
        <f t="shared" ref="U9:U29" si="0">SUM(F9:T9)</f>
        <v>220</v>
      </c>
      <c r="V9" s="9">
        <f t="shared" ref="V9:V29" si="1">D9+E9-SUM(F9:T9)</f>
        <v>650</v>
      </c>
      <c r="W9" s="9">
        <v>650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'19.6'!W10</f>
        <v>1680</v>
      </c>
      <c r="E10" s="11"/>
      <c r="F10" s="14"/>
      <c r="G10" s="14"/>
      <c r="H10" s="11"/>
      <c r="I10" s="11">
        <v>40</v>
      </c>
      <c r="J10" s="11">
        <v>100</v>
      </c>
      <c r="K10" s="11">
        <v>100</v>
      </c>
      <c r="L10" s="11">
        <v>50</v>
      </c>
      <c r="M10" s="11"/>
      <c r="N10" s="11"/>
      <c r="O10" s="11"/>
      <c r="P10" s="11"/>
      <c r="Q10" s="11"/>
      <c r="R10" s="11"/>
      <c r="S10" s="11"/>
      <c r="T10" s="11"/>
      <c r="U10" s="225">
        <f t="shared" si="0"/>
        <v>290</v>
      </c>
      <c r="V10" s="9">
        <f t="shared" si="1"/>
        <v>1390</v>
      </c>
      <c r="W10" s="9">
        <v>1390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'19.6'!W11</f>
        <v>1670</v>
      </c>
      <c r="E11" s="11"/>
      <c r="F11" s="14"/>
      <c r="G11" s="14"/>
      <c r="H11" s="11"/>
      <c r="I11" s="11">
        <v>40</v>
      </c>
      <c r="J11" s="11">
        <v>100</v>
      </c>
      <c r="K11" s="11">
        <v>50</v>
      </c>
      <c r="L11" s="11">
        <v>50</v>
      </c>
      <c r="M11" s="11"/>
      <c r="N11" s="11"/>
      <c r="O11" s="11"/>
      <c r="P11" s="11"/>
      <c r="Q11" s="11"/>
      <c r="R11" s="11"/>
      <c r="S11" s="11"/>
      <c r="T11" s="11"/>
      <c r="U11" s="225">
        <f t="shared" si="0"/>
        <v>240</v>
      </c>
      <c r="V11" s="9">
        <f t="shared" si="1"/>
        <v>1430</v>
      </c>
      <c r="W11" s="9">
        <v>1430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'19.6'!W12</f>
        <v>17</v>
      </c>
      <c r="E12" s="11"/>
      <c r="F12" s="14"/>
      <c r="G12" s="14"/>
      <c r="H12" s="11"/>
      <c r="I12" s="11">
        <v>1</v>
      </c>
      <c r="J12" s="11">
        <v>2</v>
      </c>
      <c r="K12" s="11">
        <v>1</v>
      </c>
      <c r="L12" s="11"/>
      <c r="M12" s="11"/>
      <c r="N12" s="11"/>
      <c r="O12" s="11"/>
      <c r="P12" s="11"/>
      <c r="Q12" s="11"/>
      <c r="R12" s="11"/>
      <c r="S12" s="11"/>
      <c r="T12" s="11"/>
      <c r="U12" s="225">
        <f t="shared" si="0"/>
        <v>4</v>
      </c>
      <c r="V12" s="9">
        <f t="shared" si="1"/>
        <v>13</v>
      </c>
      <c r="W12" s="9">
        <v>13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'19.6'!W13</f>
        <v>11084</v>
      </c>
      <c r="E13" s="11">
        <v>11100</v>
      </c>
      <c r="F13" s="14"/>
      <c r="G13" s="14"/>
      <c r="H13" s="11">
        <v>200</v>
      </c>
      <c r="I13" s="11">
        <v>200</v>
      </c>
      <c r="J13" s="11">
        <v>800</v>
      </c>
      <c r="K13" s="11"/>
      <c r="L13" s="11">
        <v>200</v>
      </c>
      <c r="M13" s="11">
        <v>100</v>
      </c>
      <c r="N13" s="11">
        <v>400</v>
      </c>
      <c r="O13" s="11">
        <v>1400</v>
      </c>
      <c r="P13" s="11"/>
      <c r="Q13" s="11">
        <v>200</v>
      </c>
      <c r="R13" s="11"/>
      <c r="S13" s="11"/>
      <c r="T13" s="11"/>
      <c r="U13" s="225">
        <f t="shared" si="0"/>
        <v>3500</v>
      </c>
      <c r="V13" s="9">
        <f t="shared" si="1"/>
        <v>18684</v>
      </c>
      <c r="W13" s="9">
        <v>18684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'19.6'!W14</f>
        <v>6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0</v>
      </c>
      <c r="V14" s="9">
        <f t="shared" si="1"/>
        <v>6</v>
      </c>
      <c r="W14" s="9">
        <v>6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'19.6'!W15</f>
        <v>5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25">
        <f t="shared" si="0"/>
        <v>0</v>
      </c>
      <c r="V15" s="9">
        <f t="shared" si="1"/>
        <v>5</v>
      </c>
      <c r="W15" s="9">
        <v>5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'19.6'!W16</f>
        <v>11</v>
      </c>
      <c r="E16" s="14"/>
      <c r="F16" s="14"/>
      <c r="G16" s="14"/>
      <c r="H16" s="11"/>
      <c r="I16" s="11"/>
      <c r="J16" s="11"/>
      <c r="K16" s="11">
        <v>1</v>
      </c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1</v>
      </c>
      <c r="V16" s="9">
        <f t="shared" si="1"/>
        <v>10</v>
      </c>
      <c r="W16" s="9">
        <v>10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'19.6'!W17</f>
        <v>7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>
        <v>7</v>
      </c>
      <c r="Q17" s="11"/>
      <c r="R17" s="11"/>
      <c r="S17" s="11"/>
      <c r="T17" s="11"/>
      <c r="U17" s="225">
        <f t="shared" si="0"/>
        <v>7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'19.6'!W18</f>
        <v>0</v>
      </c>
      <c r="E18" s="14"/>
      <c r="F18" s="14"/>
      <c r="G18" s="14"/>
      <c r="H18" s="11"/>
      <c r="I18" s="11">
        <v>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1</v>
      </c>
      <c r="V18" s="9">
        <f t="shared" si="1"/>
        <v>-1</v>
      </c>
      <c r="W18" s="9"/>
      <c r="X18" s="9">
        <f t="shared" si="2"/>
        <v>1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'19.6'!W19</f>
        <v>0</v>
      </c>
      <c r="E19" s="14"/>
      <c r="F19" s="14"/>
      <c r="G19" s="14"/>
      <c r="H19" s="11"/>
      <c r="I19" s="11">
        <v>1</v>
      </c>
      <c r="J19" s="11"/>
      <c r="N19" s="11"/>
      <c r="O19" s="11"/>
      <c r="P19" s="11"/>
      <c r="Q19" s="11"/>
      <c r="R19" s="11"/>
      <c r="S19" s="11"/>
      <c r="T19" s="11"/>
      <c r="U19" s="225">
        <f t="shared" si="0"/>
        <v>1</v>
      </c>
      <c r="V19" s="9">
        <f t="shared" si="1"/>
        <v>-1</v>
      </c>
      <c r="W19" s="9"/>
      <c r="X19" s="9">
        <f t="shared" si="2"/>
        <v>1</v>
      </c>
    </row>
    <row r="20" spans="1:24" ht="18.75">
      <c r="A20" s="6"/>
      <c r="B20" s="220" t="s">
        <v>110</v>
      </c>
      <c r="C20" s="6" t="s">
        <v>111</v>
      </c>
      <c r="D20" s="9">
        <f>'19.6'!W20</f>
        <v>80</v>
      </c>
      <c r="E20" s="14">
        <v>120</v>
      </c>
      <c r="F20" s="14"/>
      <c r="G20" s="14"/>
      <c r="H20" s="9"/>
      <c r="I20" s="9">
        <v>10</v>
      </c>
      <c r="J20" s="9">
        <v>60</v>
      </c>
      <c r="K20" s="9">
        <v>16</v>
      </c>
      <c r="L20" s="9">
        <v>5</v>
      </c>
      <c r="M20" s="9"/>
      <c r="N20" s="9">
        <v>5</v>
      </c>
      <c r="O20" s="9"/>
      <c r="P20" s="9"/>
      <c r="Q20" s="9"/>
      <c r="R20" s="9"/>
      <c r="S20" s="9"/>
      <c r="T20" s="9"/>
      <c r="U20" s="225">
        <f t="shared" si="0"/>
        <v>96</v>
      </c>
      <c r="V20" s="9">
        <f t="shared" si="1"/>
        <v>104</v>
      </c>
      <c r="W20" s="9">
        <v>104</v>
      </c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'19.6'!W21</f>
        <v>0</v>
      </c>
      <c r="E21" s="14"/>
      <c r="F21" s="14"/>
      <c r="G21" s="14"/>
      <c r="H21" s="9"/>
      <c r="I21" s="9">
        <v>1</v>
      </c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1</v>
      </c>
      <c r="V21" s="9">
        <f t="shared" si="1"/>
        <v>-1</v>
      </c>
      <c r="W21" s="9"/>
      <c r="X21" s="9">
        <f t="shared" si="2"/>
        <v>1</v>
      </c>
    </row>
    <row r="22" spans="1:24" ht="18.75">
      <c r="A22" s="6"/>
      <c r="B22" s="20" t="s">
        <v>32</v>
      </c>
      <c r="C22" s="6"/>
      <c r="D22" s="9">
        <f>'19.6'!W22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'19.6'!W23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'19.6'!W24</f>
        <v>0</v>
      </c>
      <c r="E24" s="10">
        <v>18</v>
      </c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18</v>
      </c>
      <c r="W24" s="9">
        <v>18</v>
      </c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'19.6'!W25</f>
        <v>0</v>
      </c>
      <c r="E25" s="9">
        <v>20</v>
      </c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20</v>
      </c>
      <c r="W25" s="9">
        <v>20</v>
      </c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'19.6'!W26</f>
        <v>0</v>
      </c>
      <c r="E26" s="9">
        <v>20</v>
      </c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20</v>
      </c>
      <c r="W26" s="9">
        <v>20</v>
      </c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11" activePane="bottomRight" state="frozen"/>
      <selection activeCell="F29" sqref="F29"/>
      <selection pane="topRight" activeCell="F29" sqref="F29"/>
      <selection pane="bottomLeft" activeCell="F29" sqref="F29"/>
      <selection pane="bottomRight" activeCell="Q23" sqref="Q23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DATE(2017,6,20)</f>
        <v>42906</v>
      </c>
      <c r="E5" s="293">
        <f>D5+1</f>
        <v>42907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68"/>
      <c r="G6" s="268"/>
      <c r="H6" s="300"/>
      <c r="I6" s="300"/>
      <c r="J6" s="300"/>
      <c r="K6" s="300"/>
      <c r="L6" s="300"/>
      <c r="M6" s="300"/>
      <c r="N6" s="301"/>
      <c r="O6" s="267"/>
      <c r="P6" s="267"/>
      <c r="Q6" s="267"/>
      <c r="R6" s="267"/>
      <c r="S6" s="267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'20.6'!W8</f>
        <v>900</v>
      </c>
      <c r="E8" s="11">
        <v>420</v>
      </c>
      <c r="F8" s="10"/>
      <c r="G8" s="10"/>
      <c r="H8" s="11"/>
      <c r="I8" s="11"/>
      <c r="J8" s="11"/>
      <c r="K8" s="11"/>
      <c r="L8" s="11"/>
      <c r="M8" s="11"/>
      <c r="N8" s="11">
        <v>120</v>
      </c>
      <c r="O8" s="11"/>
      <c r="P8" s="11"/>
      <c r="Q8" s="11">
        <v>180</v>
      </c>
      <c r="R8" s="11"/>
      <c r="S8" s="11"/>
      <c r="T8" s="11"/>
      <c r="U8" s="225">
        <f>SUM(F8:T8)</f>
        <v>300</v>
      </c>
      <c r="V8" s="9">
        <f>D8+E8-SUM(F8:T8)</f>
        <v>1020</v>
      </c>
      <c r="W8" s="9">
        <v>1020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'20.6'!W9</f>
        <v>650</v>
      </c>
      <c r="E9" s="11">
        <v>470</v>
      </c>
      <c r="F9" s="10"/>
      <c r="G9" s="10"/>
      <c r="H9" s="11"/>
      <c r="I9" s="11"/>
      <c r="J9" s="11"/>
      <c r="K9" s="11"/>
      <c r="L9" s="11"/>
      <c r="M9" s="11"/>
      <c r="N9" s="11">
        <v>70</v>
      </c>
      <c r="O9" s="11"/>
      <c r="P9" s="11"/>
      <c r="Q9" s="11">
        <v>120</v>
      </c>
      <c r="R9" s="11"/>
      <c r="S9" s="11"/>
      <c r="T9" s="11"/>
      <c r="U9" s="225">
        <f t="shared" ref="U9:U29" si="0">SUM(F9:T9)</f>
        <v>190</v>
      </c>
      <c r="V9" s="9">
        <f t="shared" ref="V9:V29" si="1">D9+E9-SUM(F9:T9)</f>
        <v>930</v>
      </c>
      <c r="W9" s="9">
        <v>930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'20.6'!W10</f>
        <v>1390</v>
      </c>
      <c r="E10" s="11">
        <v>300</v>
      </c>
      <c r="F10" s="14"/>
      <c r="G10" s="14"/>
      <c r="H10" s="11"/>
      <c r="I10" s="11"/>
      <c r="J10" s="11"/>
      <c r="K10" s="11"/>
      <c r="L10" s="11"/>
      <c r="M10" s="11"/>
      <c r="N10" s="11">
        <v>70</v>
      </c>
      <c r="O10" s="11"/>
      <c r="P10" s="11"/>
      <c r="Q10" s="11">
        <v>100</v>
      </c>
      <c r="R10" s="11"/>
      <c r="S10" s="11"/>
      <c r="T10" s="11"/>
      <c r="U10" s="225">
        <f t="shared" si="0"/>
        <v>170</v>
      </c>
      <c r="V10" s="9">
        <f t="shared" si="1"/>
        <v>1520</v>
      </c>
      <c r="W10" s="9">
        <v>1520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'20.6'!W11</f>
        <v>1430</v>
      </c>
      <c r="E11" s="11">
        <v>310</v>
      </c>
      <c r="F11" s="14"/>
      <c r="G11" s="14"/>
      <c r="H11" s="11"/>
      <c r="I11" s="11"/>
      <c r="J11" s="11"/>
      <c r="K11" s="11"/>
      <c r="L11" s="11"/>
      <c r="M11" s="11"/>
      <c r="N11" s="11">
        <v>60</v>
      </c>
      <c r="O11" s="11"/>
      <c r="P11" s="11"/>
      <c r="Q11" s="11">
        <v>80</v>
      </c>
      <c r="R11" s="11"/>
      <c r="S11" s="11"/>
      <c r="T11" s="11"/>
      <c r="U11" s="225">
        <f t="shared" si="0"/>
        <v>140</v>
      </c>
      <c r="V11" s="9">
        <f t="shared" si="1"/>
        <v>1600</v>
      </c>
      <c r="W11" s="9">
        <v>1600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'20.6'!W12</f>
        <v>13</v>
      </c>
      <c r="E12" s="11"/>
      <c r="F12" s="14"/>
      <c r="G12" s="14"/>
      <c r="H12" s="11"/>
      <c r="I12" s="11"/>
      <c r="J12" s="11"/>
      <c r="K12" s="11"/>
      <c r="L12" s="11"/>
      <c r="M12" s="11"/>
      <c r="N12" s="11">
        <v>2</v>
      </c>
      <c r="O12" s="11"/>
      <c r="P12" s="11"/>
      <c r="Q12" s="11">
        <v>2</v>
      </c>
      <c r="R12" s="11"/>
      <c r="S12" s="11"/>
      <c r="T12" s="11"/>
      <c r="U12" s="225">
        <f t="shared" si="0"/>
        <v>4</v>
      </c>
      <c r="V12" s="9">
        <f t="shared" si="1"/>
        <v>9</v>
      </c>
      <c r="W12" s="9">
        <v>9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'20.6'!W13</f>
        <v>18684</v>
      </c>
      <c r="E13" s="11">
        <v>5000</v>
      </c>
      <c r="F13" s="14"/>
      <c r="G13" s="14"/>
      <c r="H13" s="11">
        <v>200</v>
      </c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>
        <v>400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11">
        <v>200</v>
      </c>
      <c r="U13" s="225">
        <f t="shared" si="0"/>
        <v>3700</v>
      </c>
      <c r="V13" s="9">
        <f t="shared" si="1"/>
        <v>19984</v>
      </c>
      <c r="W13" s="9">
        <v>19984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'20.6'!W14</f>
        <v>6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>
        <v>1</v>
      </c>
      <c r="R14" s="11"/>
      <c r="S14" s="11"/>
      <c r="T14" s="11"/>
      <c r="U14" s="225">
        <f t="shared" si="0"/>
        <v>1</v>
      </c>
      <c r="V14" s="9">
        <f t="shared" si="1"/>
        <v>5</v>
      </c>
      <c r="W14" s="9">
        <v>5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'20.6'!W15</f>
        <v>5</v>
      </c>
      <c r="E15" s="14"/>
      <c r="F15" s="14"/>
      <c r="G15" s="14"/>
      <c r="H15" s="11"/>
      <c r="I15" s="11"/>
      <c r="J15" s="11"/>
      <c r="K15" s="11"/>
      <c r="L15" s="11"/>
      <c r="M15" s="11"/>
      <c r="N15" s="11">
        <v>1</v>
      </c>
      <c r="O15" s="11"/>
      <c r="P15" s="11"/>
      <c r="Q15" s="11">
        <v>1</v>
      </c>
      <c r="R15" s="11"/>
      <c r="S15" s="11"/>
      <c r="T15" s="11"/>
      <c r="U15" s="225">
        <f t="shared" si="0"/>
        <v>2</v>
      </c>
      <c r="V15" s="9">
        <f t="shared" si="1"/>
        <v>3</v>
      </c>
      <c r="W15" s="9">
        <v>3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'20.6'!W16</f>
        <v>10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0</v>
      </c>
      <c r="V16" s="9">
        <f t="shared" si="1"/>
        <v>10</v>
      </c>
      <c r="W16" s="9">
        <v>10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'20.6'!W17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'20.6'!W18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0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'20.6'!W19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'20.6'!W20</f>
        <v>104</v>
      </c>
      <c r="E20" s="14"/>
      <c r="F20" s="14"/>
      <c r="G20" s="14"/>
      <c r="H20" s="9"/>
      <c r="I20" s="9"/>
      <c r="J20" s="9"/>
      <c r="K20" s="9"/>
      <c r="L20" s="9">
        <v>5</v>
      </c>
      <c r="M20" s="9"/>
      <c r="N20" s="9">
        <v>46</v>
      </c>
      <c r="O20" s="9"/>
      <c r="P20" s="9"/>
      <c r="Q20" s="9">
        <v>48</v>
      </c>
      <c r="R20" s="9"/>
      <c r="S20" s="9"/>
      <c r="T20" s="9"/>
      <c r="U20" s="225">
        <f t="shared" si="0"/>
        <v>99</v>
      </c>
      <c r="V20" s="9">
        <f t="shared" si="1"/>
        <v>5</v>
      </c>
      <c r="W20" s="9">
        <v>5</v>
      </c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'20.6'!W21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'20.6'!W22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'20.6'!W23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'20.6'!W24</f>
        <v>18</v>
      </c>
      <c r="E24" s="10">
        <v>18</v>
      </c>
      <c r="F24" s="10"/>
      <c r="G24" s="10"/>
      <c r="H24" s="11">
        <v>5</v>
      </c>
      <c r="I24" s="9"/>
      <c r="J24" s="11">
        <v>5</v>
      </c>
      <c r="K24" s="9"/>
      <c r="L24" s="9"/>
      <c r="M24" s="9"/>
      <c r="N24" s="9">
        <v>3</v>
      </c>
      <c r="O24" s="9">
        <v>2</v>
      </c>
      <c r="P24" s="9">
        <v>2</v>
      </c>
      <c r="Q24" s="9"/>
      <c r="R24" s="9"/>
      <c r="S24" s="9"/>
      <c r="T24" s="9">
        <v>1</v>
      </c>
      <c r="U24" s="225">
        <f t="shared" si="0"/>
        <v>18</v>
      </c>
      <c r="V24" s="9">
        <f t="shared" si="1"/>
        <v>18</v>
      </c>
      <c r="W24" s="9">
        <v>18</v>
      </c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'20.6'!W25</f>
        <v>20</v>
      </c>
      <c r="E25" s="9">
        <v>20</v>
      </c>
      <c r="F25" s="9"/>
      <c r="G25" s="9"/>
      <c r="H25" s="11">
        <v>5</v>
      </c>
      <c r="I25" s="9"/>
      <c r="J25" s="11">
        <v>5</v>
      </c>
      <c r="K25" s="9"/>
      <c r="L25" s="9"/>
      <c r="M25" s="9"/>
      <c r="N25" s="9">
        <v>3</v>
      </c>
      <c r="O25" s="9">
        <v>2</v>
      </c>
      <c r="P25" s="9">
        <v>2</v>
      </c>
      <c r="Q25" s="9">
        <v>2</v>
      </c>
      <c r="R25" s="9"/>
      <c r="S25" s="9"/>
      <c r="T25" s="9">
        <v>1</v>
      </c>
      <c r="U25" s="225">
        <f t="shared" si="0"/>
        <v>20</v>
      </c>
      <c r="V25" s="9">
        <f t="shared" si="1"/>
        <v>20</v>
      </c>
      <c r="W25" s="9">
        <v>20</v>
      </c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'20.6'!W26</f>
        <v>20</v>
      </c>
      <c r="E26" s="9">
        <v>20</v>
      </c>
      <c r="F26" s="9"/>
      <c r="G26" s="9"/>
      <c r="H26" s="11">
        <v>5</v>
      </c>
      <c r="I26" s="9"/>
      <c r="J26" s="11">
        <v>5</v>
      </c>
      <c r="K26" s="9"/>
      <c r="L26" s="9"/>
      <c r="M26" s="9"/>
      <c r="N26" s="9">
        <v>3</v>
      </c>
      <c r="O26" s="9">
        <v>2</v>
      </c>
      <c r="P26" s="9">
        <v>2</v>
      </c>
      <c r="Q26" s="9">
        <v>2</v>
      </c>
      <c r="R26" s="9"/>
      <c r="S26" s="9"/>
      <c r="T26" s="9">
        <v>1</v>
      </c>
      <c r="U26" s="225">
        <f t="shared" si="0"/>
        <v>20</v>
      </c>
      <c r="V26" s="9">
        <f t="shared" si="1"/>
        <v>20</v>
      </c>
      <c r="W26" s="9">
        <v>20</v>
      </c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G17" sqref="G17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DATE(2017,6,21)</f>
        <v>42907</v>
      </c>
      <c r="E5" s="293">
        <f>D5+1</f>
        <v>42908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70"/>
      <c r="G6" s="270"/>
      <c r="H6" s="300"/>
      <c r="I6" s="300"/>
      <c r="J6" s="300"/>
      <c r="K6" s="300"/>
      <c r="L6" s="300"/>
      <c r="M6" s="300"/>
      <c r="N6" s="301"/>
      <c r="O6" s="269"/>
      <c r="P6" s="269"/>
      <c r="Q6" s="269"/>
      <c r="R6" s="269"/>
      <c r="S6" s="269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'21.6'!W8</f>
        <v>1020</v>
      </c>
      <c r="E8" s="11">
        <v>75</v>
      </c>
      <c r="F8" s="10"/>
      <c r="G8" s="10"/>
      <c r="H8" s="11">
        <v>70</v>
      </c>
      <c r="I8" s="11"/>
      <c r="J8" s="11"/>
      <c r="K8" s="11"/>
      <c r="L8" s="11">
        <v>75</v>
      </c>
      <c r="M8" s="11"/>
      <c r="N8" s="11"/>
      <c r="O8" s="11"/>
      <c r="P8" s="11"/>
      <c r="Q8" s="11"/>
      <c r="R8" s="11"/>
      <c r="S8" s="11">
        <v>60</v>
      </c>
      <c r="T8" s="11">
        <v>20</v>
      </c>
      <c r="U8" s="225">
        <f>SUM(F8:T8)</f>
        <v>225</v>
      </c>
      <c r="V8" s="9">
        <f>D8+E8-SUM(F8:T8)</f>
        <v>870</v>
      </c>
      <c r="W8" s="9">
        <v>870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'21.6'!W9</f>
        <v>930</v>
      </c>
      <c r="E9" s="11"/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>
        <v>60</v>
      </c>
      <c r="T9" s="11">
        <v>20</v>
      </c>
      <c r="U9" s="225">
        <f t="shared" ref="U9:U29" si="0">SUM(F9:T9)</f>
        <v>80</v>
      </c>
      <c r="V9" s="9">
        <f t="shared" ref="V9:V29" si="1">D9+E9-SUM(F9:T9)</f>
        <v>850</v>
      </c>
      <c r="W9" s="9">
        <v>850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'21.6'!W10</f>
        <v>1520</v>
      </c>
      <c r="E10" s="11"/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>
        <v>40</v>
      </c>
      <c r="T10" s="11">
        <v>10</v>
      </c>
      <c r="U10" s="225">
        <f t="shared" si="0"/>
        <v>50</v>
      </c>
      <c r="V10" s="9">
        <f t="shared" si="1"/>
        <v>1470</v>
      </c>
      <c r="W10" s="9">
        <v>1470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'21.6'!W11</f>
        <v>1600</v>
      </c>
      <c r="E11" s="11"/>
      <c r="F11" s="14"/>
      <c r="G11" s="14">
        <v>30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30</v>
      </c>
      <c r="T11" s="11">
        <v>30</v>
      </c>
      <c r="U11" s="225">
        <f t="shared" si="0"/>
        <v>90</v>
      </c>
      <c r="V11" s="9">
        <f t="shared" si="1"/>
        <v>1510</v>
      </c>
      <c r="W11" s="9">
        <v>1510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'21.6'!W12</f>
        <v>9</v>
      </c>
      <c r="E12" s="11"/>
      <c r="F12" s="14"/>
      <c r="G12" s="14">
        <v>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1</v>
      </c>
      <c r="T12" s="11"/>
      <c r="U12" s="225">
        <f t="shared" si="0"/>
        <v>2</v>
      </c>
      <c r="V12" s="9">
        <f t="shared" si="1"/>
        <v>7</v>
      </c>
      <c r="W12" s="9">
        <v>7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'21.6'!W13</f>
        <v>19984</v>
      </c>
      <c r="E13" s="11">
        <v>8000</v>
      </c>
      <c r="F13" s="14"/>
      <c r="G13" s="14">
        <v>1000</v>
      </c>
      <c r="H13" s="11">
        <v>200</v>
      </c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>
        <v>400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11">
        <v>200</v>
      </c>
      <c r="U13" s="225">
        <f t="shared" si="0"/>
        <v>4700</v>
      </c>
      <c r="V13" s="9">
        <f t="shared" si="1"/>
        <v>23284</v>
      </c>
      <c r="W13" s="9">
        <v>23284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'21.6'!W14</f>
        <v>5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>
        <v>1</v>
      </c>
      <c r="U14" s="225">
        <f t="shared" si="0"/>
        <v>1</v>
      </c>
      <c r="V14" s="9">
        <f t="shared" si="1"/>
        <v>4</v>
      </c>
      <c r="W14" s="9">
        <v>4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'21.6'!W15</f>
        <v>3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>
        <v>1</v>
      </c>
      <c r="U15" s="225">
        <f t="shared" si="0"/>
        <v>1</v>
      </c>
      <c r="V15" s="9">
        <f t="shared" si="1"/>
        <v>2</v>
      </c>
      <c r="W15" s="9">
        <v>2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'21.6'!W16</f>
        <v>10</v>
      </c>
      <c r="E16" s="14"/>
      <c r="F16" s="14"/>
      <c r="G16" s="14">
        <v>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1</v>
      </c>
      <c r="V16" s="9">
        <f t="shared" si="1"/>
        <v>9</v>
      </c>
      <c r="W16" s="9">
        <v>9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'21.6'!W17</f>
        <v>0</v>
      </c>
      <c r="E17" s="14">
        <v>59</v>
      </c>
      <c r="F17" s="14"/>
      <c r="G17" s="14">
        <v>4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4</v>
      </c>
      <c r="V17" s="9">
        <f t="shared" si="1"/>
        <v>55</v>
      </c>
      <c r="W17" s="9">
        <v>55</v>
      </c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'21.6'!W18</f>
        <v>0</v>
      </c>
      <c r="E18" s="14">
        <v>33</v>
      </c>
      <c r="F18" s="14"/>
      <c r="G18" s="14">
        <v>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3</v>
      </c>
      <c r="V18" s="9">
        <f t="shared" si="1"/>
        <v>30</v>
      </c>
      <c r="W18" s="9">
        <v>30</v>
      </c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'21.6'!W19</f>
        <v>0</v>
      </c>
      <c r="E19" s="14">
        <v>64</v>
      </c>
      <c r="F19" s="14"/>
      <c r="G19" s="14">
        <v>3</v>
      </c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3</v>
      </c>
      <c r="V19" s="9">
        <f t="shared" si="1"/>
        <v>61</v>
      </c>
      <c r="W19" s="9">
        <v>61</v>
      </c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'21.6'!W20</f>
        <v>5</v>
      </c>
      <c r="E20" s="14">
        <v>251</v>
      </c>
      <c r="F20" s="14"/>
      <c r="G20" s="14">
        <v>20</v>
      </c>
      <c r="H20" s="9"/>
      <c r="I20" s="9"/>
      <c r="J20" s="9"/>
      <c r="K20" s="9"/>
      <c r="L20" s="9">
        <v>5</v>
      </c>
      <c r="M20" s="9"/>
      <c r="N20" s="9"/>
      <c r="O20" s="9"/>
      <c r="P20" s="9"/>
      <c r="Q20" s="9"/>
      <c r="R20" s="9"/>
      <c r="S20" s="9"/>
      <c r="T20" s="9"/>
      <c r="U20" s="225">
        <f t="shared" si="0"/>
        <v>25</v>
      </c>
      <c r="V20" s="9">
        <f t="shared" si="1"/>
        <v>231</v>
      </c>
      <c r="W20" s="9">
        <v>221</v>
      </c>
      <c r="X20" s="9">
        <f t="shared" si="2"/>
        <v>-10</v>
      </c>
    </row>
    <row r="21" spans="1:24" ht="18.75">
      <c r="A21" s="6"/>
      <c r="B21" s="221" t="s">
        <v>112</v>
      </c>
      <c r="C21" s="6" t="s">
        <v>111</v>
      </c>
      <c r="D21" s="9">
        <f>'21.6'!W21</f>
        <v>0</v>
      </c>
      <c r="E21" s="14">
        <v>39</v>
      </c>
      <c r="F21" s="14"/>
      <c r="G21" s="14">
        <v>3</v>
      </c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3</v>
      </c>
      <c r="V21" s="9">
        <f t="shared" si="1"/>
        <v>36</v>
      </c>
      <c r="W21" s="9">
        <v>36</v>
      </c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'21.6'!W22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'21.6'!W23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'21.6'!W24</f>
        <v>18</v>
      </c>
      <c r="E24" s="10"/>
      <c r="F24" s="10"/>
      <c r="G24" s="10"/>
      <c r="H24" s="11"/>
      <c r="I24" s="9">
        <v>3</v>
      </c>
      <c r="J24" s="11"/>
      <c r="K24" s="9">
        <v>2</v>
      </c>
      <c r="L24" s="9"/>
      <c r="M24" s="9"/>
      <c r="N24" s="9"/>
      <c r="O24" s="9"/>
      <c r="P24" s="9"/>
      <c r="Q24" s="9"/>
      <c r="R24" s="9"/>
      <c r="S24" s="9">
        <v>2</v>
      </c>
      <c r="T24" s="9"/>
      <c r="U24" s="225">
        <f t="shared" si="0"/>
        <v>7</v>
      </c>
      <c r="V24" s="9">
        <f t="shared" si="1"/>
        <v>11</v>
      </c>
      <c r="W24" s="9">
        <v>11</v>
      </c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'21.6'!W25</f>
        <v>20</v>
      </c>
      <c r="E25" s="9"/>
      <c r="F25" s="9"/>
      <c r="G25" s="9"/>
      <c r="H25" s="11"/>
      <c r="I25" s="9">
        <v>3</v>
      </c>
      <c r="J25" s="11"/>
      <c r="K25" s="9">
        <v>2</v>
      </c>
      <c r="L25" s="9"/>
      <c r="M25" s="9"/>
      <c r="N25" s="9"/>
      <c r="O25" s="9"/>
      <c r="P25" s="9"/>
      <c r="Q25" s="9"/>
      <c r="R25" s="9"/>
      <c r="S25" s="9">
        <v>2</v>
      </c>
      <c r="T25" s="9"/>
      <c r="U25" s="225">
        <f t="shared" si="0"/>
        <v>7</v>
      </c>
      <c r="V25" s="9">
        <f t="shared" si="1"/>
        <v>13</v>
      </c>
      <c r="W25" s="9">
        <v>13</v>
      </c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'21.6'!W26</f>
        <v>20</v>
      </c>
      <c r="E26" s="9"/>
      <c r="F26" s="9"/>
      <c r="G26" s="9"/>
      <c r="H26" s="11"/>
      <c r="I26" s="9">
        <v>3</v>
      </c>
      <c r="J26" s="11"/>
      <c r="K26" s="9">
        <v>2</v>
      </c>
      <c r="L26" s="9"/>
      <c r="M26" s="9"/>
      <c r="N26" s="9"/>
      <c r="O26" s="9"/>
      <c r="P26" s="9"/>
      <c r="Q26" s="9"/>
      <c r="R26" s="9"/>
      <c r="S26" s="9">
        <v>2</v>
      </c>
      <c r="T26" s="9"/>
      <c r="U26" s="225">
        <f t="shared" si="0"/>
        <v>7</v>
      </c>
      <c r="V26" s="9">
        <f t="shared" si="1"/>
        <v>13</v>
      </c>
      <c r="W26" s="9">
        <v>13</v>
      </c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W21" sqref="W21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DATE(2017,6,22)</f>
        <v>42908</v>
      </c>
      <c r="E5" s="293">
        <f>D5+1</f>
        <v>42909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72"/>
      <c r="G6" s="272"/>
      <c r="H6" s="300"/>
      <c r="I6" s="300"/>
      <c r="J6" s="300"/>
      <c r="K6" s="300"/>
      <c r="L6" s="300"/>
      <c r="M6" s="300"/>
      <c r="N6" s="301"/>
      <c r="O6" s="271"/>
      <c r="P6" s="271"/>
      <c r="Q6" s="271"/>
      <c r="R6" s="271"/>
      <c r="S6" s="271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'22.6'!W8</f>
        <v>870</v>
      </c>
      <c r="E8" s="11">
        <v>380</v>
      </c>
      <c r="F8" s="10"/>
      <c r="G8" s="10"/>
      <c r="H8" s="11">
        <v>80</v>
      </c>
      <c r="I8" s="11"/>
      <c r="J8" s="11"/>
      <c r="K8" s="11"/>
      <c r="L8" s="11">
        <v>80</v>
      </c>
      <c r="M8" s="11"/>
      <c r="N8" s="11"/>
      <c r="O8" s="11">
        <v>250</v>
      </c>
      <c r="P8" s="11"/>
      <c r="Q8" s="11"/>
      <c r="R8" s="11"/>
      <c r="S8" s="11"/>
      <c r="T8" s="11"/>
      <c r="U8" s="225">
        <f>SUM(F8:T8)</f>
        <v>410</v>
      </c>
      <c r="V8" s="9">
        <f>D8+E8-SUM(F8:T8)</f>
        <v>840</v>
      </c>
      <c r="W8" s="9">
        <v>840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'22.6'!W9</f>
        <v>850</v>
      </c>
      <c r="E9" s="11">
        <v>200</v>
      </c>
      <c r="F9" s="10"/>
      <c r="G9" s="10"/>
      <c r="H9" s="11">
        <v>80</v>
      </c>
      <c r="I9" s="11"/>
      <c r="J9" s="11"/>
      <c r="K9" s="11"/>
      <c r="L9" s="11"/>
      <c r="M9" s="11"/>
      <c r="N9" s="11"/>
      <c r="O9" s="11">
        <v>150</v>
      </c>
      <c r="P9" s="11"/>
      <c r="Q9" s="11"/>
      <c r="R9" s="11"/>
      <c r="S9" s="11"/>
      <c r="T9" s="11"/>
      <c r="U9" s="225">
        <f t="shared" ref="U9:U29" si="0">SUM(F9:T9)</f>
        <v>230</v>
      </c>
      <c r="V9" s="9">
        <f t="shared" ref="V9:V29" si="1">D9+E9-SUM(F9:T9)</f>
        <v>820</v>
      </c>
      <c r="W9" s="9">
        <v>820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'22.6'!W10</f>
        <v>1470</v>
      </c>
      <c r="E10" s="11"/>
      <c r="F10" s="14"/>
      <c r="G10" s="14"/>
      <c r="H10" s="11">
        <v>80</v>
      </c>
      <c r="I10" s="11"/>
      <c r="J10" s="11"/>
      <c r="K10" s="11"/>
      <c r="L10" s="11"/>
      <c r="M10" s="11"/>
      <c r="N10" s="11"/>
      <c r="O10" s="11">
        <v>150</v>
      </c>
      <c r="P10" s="11"/>
      <c r="Q10" s="11"/>
      <c r="R10" s="11"/>
      <c r="S10" s="11"/>
      <c r="T10" s="11"/>
      <c r="U10" s="225">
        <f t="shared" si="0"/>
        <v>230</v>
      </c>
      <c r="V10" s="9">
        <f t="shared" si="1"/>
        <v>1240</v>
      </c>
      <c r="W10" s="9">
        <v>1240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'22.6'!W11</f>
        <v>1510</v>
      </c>
      <c r="E11" s="11"/>
      <c r="F11" s="14"/>
      <c r="G11" s="14"/>
      <c r="H11" s="11">
        <v>80</v>
      </c>
      <c r="I11" s="11"/>
      <c r="J11" s="11"/>
      <c r="K11" s="11"/>
      <c r="L11" s="11"/>
      <c r="M11" s="11"/>
      <c r="N11" s="11"/>
      <c r="O11" s="11">
        <v>150</v>
      </c>
      <c r="P11" s="11"/>
      <c r="Q11" s="11"/>
      <c r="R11" s="11"/>
      <c r="S11" s="11"/>
      <c r="T11" s="11"/>
      <c r="U11" s="225">
        <f t="shared" si="0"/>
        <v>230</v>
      </c>
      <c r="V11" s="9">
        <f t="shared" si="1"/>
        <v>1280</v>
      </c>
      <c r="W11" s="9">
        <v>1280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'22.6'!W12</f>
        <v>7</v>
      </c>
      <c r="E12" s="11"/>
      <c r="F12" s="14"/>
      <c r="G12" s="14"/>
      <c r="H12" s="11">
        <v>1</v>
      </c>
      <c r="I12" s="11"/>
      <c r="J12" s="11"/>
      <c r="K12" s="11"/>
      <c r="L12" s="11"/>
      <c r="M12" s="11"/>
      <c r="N12" s="11"/>
      <c r="O12" s="11">
        <v>3</v>
      </c>
      <c r="P12" s="11"/>
      <c r="Q12" s="11"/>
      <c r="R12" s="11"/>
      <c r="S12" s="11"/>
      <c r="T12" s="11"/>
      <c r="U12" s="225">
        <f t="shared" si="0"/>
        <v>4</v>
      </c>
      <c r="V12" s="9">
        <f t="shared" si="1"/>
        <v>3</v>
      </c>
      <c r="W12" s="9">
        <v>3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'22.6'!W13</f>
        <v>23284</v>
      </c>
      <c r="E13" s="11">
        <v>8100</v>
      </c>
      <c r="F13" s="14"/>
      <c r="G13" s="14"/>
      <c r="H13" s="11">
        <v>200</v>
      </c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>
        <v>400</v>
      </c>
      <c r="O13" s="11">
        <v>1400</v>
      </c>
      <c r="P13" s="11">
        <v>200</v>
      </c>
      <c r="Q13" s="11">
        <v>200</v>
      </c>
      <c r="R13" s="11"/>
      <c r="S13" s="11"/>
      <c r="T13" s="11">
        <v>200</v>
      </c>
      <c r="U13" s="225">
        <f t="shared" si="0"/>
        <v>4100</v>
      </c>
      <c r="V13" s="9">
        <f t="shared" si="1"/>
        <v>27284</v>
      </c>
      <c r="W13" s="9">
        <v>27284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'22.6'!W14</f>
        <v>4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0</v>
      </c>
      <c r="V14" s="9">
        <f t="shared" si="1"/>
        <v>4</v>
      </c>
      <c r="W14" s="9">
        <v>4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'22.6'!W15</f>
        <v>2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>
        <v>1</v>
      </c>
      <c r="P15" s="11"/>
      <c r="Q15" s="11"/>
      <c r="R15" s="11"/>
      <c r="S15" s="11"/>
      <c r="T15" s="11"/>
      <c r="U15" s="225">
        <f t="shared" si="0"/>
        <v>1</v>
      </c>
      <c r="V15" s="9">
        <f t="shared" si="1"/>
        <v>1</v>
      </c>
      <c r="W15" s="9">
        <v>1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'22.6'!W16</f>
        <v>9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0</v>
      </c>
      <c r="V16" s="9">
        <f t="shared" si="1"/>
        <v>9</v>
      </c>
      <c r="W16" s="9">
        <v>9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'22.6'!W17</f>
        <v>55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55</v>
      </c>
      <c r="W17" s="9">
        <v>55</v>
      </c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'22.6'!W18</f>
        <v>30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0</v>
      </c>
      <c r="V18" s="9">
        <f t="shared" si="1"/>
        <v>30</v>
      </c>
      <c r="W18" s="9">
        <v>30</v>
      </c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'22.6'!W19</f>
        <v>61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0</v>
      </c>
      <c r="V19" s="9">
        <f t="shared" si="1"/>
        <v>61</v>
      </c>
      <c r="W19" s="9">
        <v>61</v>
      </c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'22.6'!W20</f>
        <v>221</v>
      </c>
      <c r="E20" s="14">
        <v>50</v>
      </c>
      <c r="F20" s="14"/>
      <c r="G20" s="14"/>
      <c r="H20" s="9">
        <v>6</v>
      </c>
      <c r="I20" s="9"/>
      <c r="J20" s="9"/>
      <c r="K20" s="9"/>
      <c r="L20" s="9">
        <v>5</v>
      </c>
      <c r="M20" s="9"/>
      <c r="N20" s="9"/>
      <c r="O20" s="9">
        <v>25</v>
      </c>
      <c r="P20" s="9"/>
      <c r="Q20" s="9"/>
      <c r="R20" s="9"/>
      <c r="S20" s="9"/>
      <c r="T20" s="9"/>
      <c r="U20" s="225">
        <f t="shared" si="0"/>
        <v>36</v>
      </c>
      <c r="V20" s="9">
        <f t="shared" si="1"/>
        <v>235</v>
      </c>
      <c r="W20" s="9">
        <v>235</v>
      </c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'22.6'!W21</f>
        <v>36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36</v>
      </c>
      <c r="W21" s="9">
        <v>36</v>
      </c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'22.6'!W22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'22.6'!W23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'22.6'!W24</f>
        <v>11</v>
      </c>
      <c r="E24" s="10"/>
      <c r="F24" s="10"/>
      <c r="G24" s="10"/>
      <c r="H24" s="11"/>
      <c r="I24" s="9"/>
      <c r="J24" s="11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11</v>
      </c>
      <c r="W24" s="9">
        <v>11</v>
      </c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'22.6'!W25</f>
        <v>13</v>
      </c>
      <c r="E25" s="9"/>
      <c r="F25" s="9"/>
      <c r="G25" s="9"/>
      <c r="H25" s="11"/>
      <c r="I25" s="9"/>
      <c r="J25" s="11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13</v>
      </c>
      <c r="W25" s="9">
        <v>13</v>
      </c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'22.6'!W26</f>
        <v>13</v>
      </c>
      <c r="E26" s="9"/>
      <c r="F26" s="9"/>
      <c r="G26" s="9"/>
      <c r="H26" s="11"/>
      <c r="I26" s="9"/>
      <c r="J26" s="11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13</v>
      </c>
      <c r="W26" s="9">
        <v>13</v>
      </c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17" activePane="bottomRight" state="frozen"/>
      <selection activeCell="F29" sqref="F29"/>
      <selection pane="topRight" activeCell="F29" sqref="F29"/>
      <selection pane="bottomLeft" activeCell="F29" sqref="F29"/>
      <selection pane="bottomRight" activeCell="W16" sqref="W16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DATE(2017,6,23)</f>
        <v>42909</v>
      </c>
      <c r="E5" s="293">
        <f>D5+1</f>
        <v>42910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72"/>
      <c r="G6" s="272"/>
      <c r="H6" s="300"/>
      <c r="I6" s="300"/>
      <c r="J6" s="300"/>
      <c r="K6" s="300"/>
      <c r="L6" s="300"/>
      <c r="M6" s="300"/>
      <c r="N6" s="301"/>
      <c r="O6" s="271"/>
      <c r="P6" s="271"/>
      <c r="Q6" s="271"/>
      <c r="R6" s="271"/>
      <c r="S6" s="271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'23.6'!W8</f>
        <v>840</v>
      </c>
      <c r="E8" s="11">
        <v>680</v>
      </c>
      <c r="F8" s="10">
        <v>100</v>
      </c>
      <c r="G8" s="10"/>
      <c r="H8" s="11"/>
      <c r="I8" s="11"/>
      <c r="J8" s="11"/>
      <c r="K8" s="11"/>
      <c r="L8" s="11">
        <v>400</v>
      </c>
      <c r="M8" s="11"/>
      <c r="N8" s="11"/>
      <c r="O8" s="11"/>
      <c r="P8" s="11"/>
      <c r="Q8" s="11"/>
      <c r="R8" s="11"/>
      <c r="S8" s="11"/>
      <c r="T8" s="11"/>
      <c r="U8" s="225">
        <f>SUM(F8:T8)</f>
        <v>500</v>
      </c>
      <c r="V8" s="9">
        <f>D8+E8-SUM(F8:T8)</f>
        <v>1020</v>
      </c>
      <c r="W8" s="9">
        <v>1020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'23.6'!W9</f>
        <v>820</v>
      </c>
      <c r="E9" s="11"/>
      <c r="F9" s="10">
        <v>60</v>
      </c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225">
        <f t="shared" ref="U9:U29" si="0">SUM(F9:T9)</f>
        <v>60</v>
      </c>
      <c r="V9" s="9">
        <f t="shared" ref="V9:V29" si="1">D9+E9-SUM(F9:T9)</f>
        <v>760</v>
      </c>
      <c r="W9" s="9">
        <v>760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'23.6'!W10</f>
        <v>1240</v>
      </c>
      <c r="E10" s="11">
        <v>390</v>
      </c>
      <c r="F10" s="14">
        <v>100</v>
      </c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225">
        <f t="shared" si="0"/>
        <v>100</v>
      </c>
      <c r="V10" s="9">
        <f t="shared" si="1"/>
        <v>1530</v>
      </c>
      <c r="W10" s="9">
        <v>1530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'23.6'!W11</f>
        <v>1280</v>
      </c>
      <c r="E11" s="11">
        <v>290</v>
      </c>
      <c r="F11" s="14">
        <v>60</v>
      </c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25">
        <f t="shared" si="0"/>
        <v>60</v>
      </c>
      <c r="V11" s="9">
        <f t="shared" si="1"/>
        <v>1510</v>
      </c>
      <c r="W11" s="9">
        <v>1510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'23.6'!W12</f>
        <v>3</v>
      </c>
      <c r="E12" s="11">
        <v>11</v>
      </c>
      <c r="F12" s="14">
        <v>2</v>
      </c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25">
        <f t="shared" si="0"/>
        <v>2</v>
      </c>
      <c r="V12" s="9">
        <f t="shared" si="1"/>
        <v>12</v>
      </c>
      <c r="W12" s="9">
        <v>12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'23.6'!W13</f>
        <v>27284</v>
      </c>
      <c r="E13" s="11">
        <v>1200</v>
      </c>
      <c r="F13" s="14">
        <v>1000</v>
      </c>
      <c r="G13" s="14"/>
      <c r="H13" s="11">
        <v>200</v>
      </c>
      <c r="I13" s="11">
        <v>200</v>
      </c>
      <c r="J13" s="11"/>
      <c r="K13" s="11">
        <v>200</v>
      </c>
      <c r="L13" s="11">
        <v>200</v>
      </c>
      <c r="M13" s="11">
        <v>100</v>
      </c>
      <c r="N13" s="11">
        <v>400</v>
      </c>
      <c r="O13" s="11"/>
      <c r="P13" s="11">
        <v>200</v>
      </c>
      <c r="Q13" s="11">
        <v>200</v>
      </c>
      <c r="R13" s="11"/>
      <c r="S13" s="11"/>
      <c r="T13" s="11">
        <v>200</v>
      </c>
      <c r="U13" s="225">
        <f t="shared" si="0"/>
        <v>2900</v>
      </c>
      <c r="V13" s="9">
        <f t="shared" si="1"/>
        <v>25584</v>
      </c>
      <c r="W13" s="9">
        <v>25584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'23.6'!W14</f>
        <v>4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0</v>
      </c>
      <c r="V14" s="9">
        <f t="shared" si="1"/>
        <v>4</v>
      </c>
      <c r="W14" s="9">
        <v>4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'23.6'!W15</f>
        <v>1</v>
      </c>
      <c r="E15" s="14">
        <v>6</v>
      </c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25">
        <f t="shared" si="0"/>
        <v>0</v>
      </c>
      <c r="V15" s="9">
        <f t="shared" si="1"/>
        <v>7</v>
      </c>
      <c r="W15" s="9">
        <v>7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'23.6'!W16</f>
        <v>9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0</v>
      </c>
      <c r="V16" s="9">
        <f t="shared" si="1"/>
        <v>9</v>
      </c>
      <c r="W16" s="9">
        <v>9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'23.6'!W17</f>
        <v>55</v>
      </c>
      <c r="E17" s="14">
        <v>27</v>
      </c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82</v>
      </c>
      <c r="W17" s="9">
        <v>82</v>
      </c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'23.6'!W18</f>
        <v>30</v>
      </c>
      <c r="E18" s="14">
        <v>12</v>
      </c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0</v>
      </c>
      <c r="V18" s="9">
        <f t="shared" si="1"/>
        <v>42</v>
      </c>
      <c r="W18" s="9">
        <v>42</v>
      </c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'23.6'!W19</f>
        <v>61</v>
      </c>
      <c r="E19" s="14">
        <v>15</v>
      </c>
      <c r="F19" s="14">
        <v>10</v>
      </c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10</v>
      </c>
      <c r="V19" s="9">
        <f t="shared" si="1"/>
        <v>66</v>
      </c>
      <c r="W19" s="9">
        <v>66</v>
      </c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'23.6'!W20</f>
        <v>235</v>
      </c>
      <c r="E20" s="14"/>
      <c r="F20" s="14">
        <v>40</v>
      </c>
      <c r="G20" s="14"/>
      <c r="H20" s="9">
        <v>10</v>
      </c>
      <c r="I20" s="9"/>
      <c r="J20" s="9"/>
      <c r="K20" s="9"/>
      <c r="L20" s="9">
        <v>5</v>
      </c>
      <c r="M20" s="9"/>
      <c r="N20" s="9"/>
      <c r="O20" s="9"/>
      <c r="P20" s="9"/>
      <c r="Q20" s="9"/>
      <c r="R20" s="9"/>
      <c r="S20" s="9"/>
      <c r="T20" s="9"/>
      <c r="U20" s="225">
        <f t="shared" si="0"/>
        <v>55</v>
      </c>
      <c r="V20" s="9">
        <f t="shared" si="1"/>
        <v>180</v>
      </c>
      <c r="W20" s="9">
        <v>180</v>
      </c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'23.6'!W21</f>
        <v>36</v>
      </c>
      <c r="E21" s="14"/>
      <c r="F21" s="14">
        <v>6</v>
      </c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6</v>
      </c>
      <c r="V21" s="9">
        <f t="shared" si="1"/>
        <v>30</v>
      </c>
      <c r="W21" s="9">
        <v>30</v>
      </c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'23.6'!W22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'23.6'!W23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'23.6'!W24</f>
        <v>11</v>
      </c>
      <c r="E24" s="10"/>
      <c r="F24" s="10"/>
      <c r="G24" s="10"/>
      <c r="H24" s="11"/>
      <c r="I24" s="9"/>
      <c r="J24" s="11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11</v>
      </c>
      <c r="W24" s="9">
        <v>11</v>
      </c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'23.6'!W25</f>
        <v>13</v>
      </c>
      <c r="E25" s="9"/>
      <c r="F25" s="9"/>
      <c r="G25" s="9"/>
      <c r="H25" s="11"/>
      <c r="I25" s="9"/>
      <c r="J25" s="11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13</v>
      </c>
      <c r="W25" s="9">
        <v>13</v>
      </c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'23.6'!W26</f>
        <v>13</v>
      </c>
      <c r="E26" s="9"/>
      <c r="F26" s="9"/>
      <c r="G26" s="9"/>
      <c r="H26" s="11"/>
      <c r="I26" s="9"/>
      <c r="J26" s="11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13</v>
      </c>
      <c r="W26" s="9">
        <v>13</v>
      </c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DATE(2015,4,26)</f>
        <v>42120</v>
      </c>
      <c r="E5" s="293">
        <f>D5+1</f>
        <v>42121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49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39</v>
      </c>
      <c r="H7" s="5" t="s">
        <v>45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VLOOKUP($B8,'2604'!$B8:$M22,11,0)</f>
        <v>150</v>
      </c>
      <c r="E8" s="10">
        <f>59+106</f>
        <v>165</v>
      </c>
      <c r="F8" s="11">
        <v>50</v>
      </c>
      <c r="G8" s="11">
        <v>40</v>
      </c>
      <c r="H8" s="11">
        <v>60</v>
      </c>
      <c r="I8" s="11"/>
      <c r="J8" s="11"/>
      <c r="K8" s="9">
        <f>D8+E8-SUM(F8:J8)</f>
        <v>165</v>
      </c>
      <c r="L8" s="9">
        <f>165</f>
        <v>165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VLOOKUP($B9,'2604'!$B9:$M23,11,0)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VLOOKUP($B10,'2604'!$B10:$M24,11,0)</f>
        <v>0</v>
      </c>
      <c r="E10" s="10">
        <v>118</v>
      </c>
      <c r="F10" s="11"/>
      <c r="G10" s="11">
        <v>60</v>
      </c>
      <c r="H10" s="11">
        <v>30</v>
      </c>
      <c r="I10" s="11"/>
      <c r="J10" s="11"/>
      <c r="K10" s="9">
        <f t="shared" si="1"/>
        <v>28</v>
      </c>
      <c r="L10" s="9">
        <v>28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VLOOKUP($B11,'2604'!$B11:$M25,11,0)</f>
        <v>300</v>
      </c>
      <c r="E11" s="10">
        <v>303</v>
      </c>
      <c r="F11" s="11"/>
      <c r="G11" s="11">
        <v>240</v>
      </c>
      <c r="H11" s="11">
        <v>40</v>
      </c>
      <c r="I11" s="11"/>
      <c r="J11" s="11"/>
      <c r="K11" s="9">
        <f t="shared" si="1"/>
        <v>323</v>
      </c>
      <c r="L11" s="9">
        <f>20+303</f>
        <v>323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VLOOKUP($B12,'2604'!$B12:$M26,11,0)</f>
        <v>120</v>
      </c>
      <c r="E12" s="14">
        <v>125</v>
      </c>
      <c r="F12" s="11">
        <v>10</v>
      </c>
      <c r="G12" s="11">
        <v>60</v>
      </c>
      <c r="H12" s="11">
        <v>50</v>
      </c>
      <c r="I12" s="11"/>
      <c r="J12" s="11"/>
      <c r="K12" s="9">
        <f t="shared" si="1"/>
        <v>125</v>
      </c>
      <c r="L12" s="9">
        <v>125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VLOOKUP($B13,'2604'!$B13:$M27,11,0)</f>
        <v>106</v>
      </c>
      <c r="E13" s="14">
        <v>122</v>
      </c>
      <c r="F13" s="11">
        <v>10</v>
      </c>
      <c r="G13" s="11">
        <v>60</v>
      </c>
      <c r="H13" s="11"/>
      <c r="I13" s="11"/>
      <c r="J13" s="11"/>
      <c r="K13" s="9">
        <f t="shared" si="1"/>
        <v>158</v>
      </c>
      <c r="L13" s="9">
        <f>122+36</f>
        <v>158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VLOOKUP($B14,'2604'!$B14:$M28,11,0)</f>
        <v>1</v>
      </c>
      <c r="E14" s="14"/>
      <c r="F14" s="11"/>
      <c r="G14" s="11"/>
      <c r="H14" s="11"/>
      <c r="I14" s="11"/>
      <c r="J14" s="11"/>
      <c r="K14" s="9">
        <f t="shared" si="1"/>
        <v>1</v>
      </c>
      <c r="L14" s="9">
        <v>1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VLOOKUP($B15,'2604'!$B15:$M29,11,0)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VLOOKUP($B16,'2604'!$B16:$M30,11,0)</f>
        <v>0</v>
      </c>
      <c r="E16" s="14">
        <v>8</v>
      </c>
      <c r="F16" s="11"/>
      <c r="G16" s="11">
        <v>2</v>
      </c>
      <c r="H16" s="11"/>
      <c r="I16" s="11"/>
      <c r="J16" s="11"/>
      <c r="K16" s="9">
        <f t="shared" si="1"/>
        <v>6</v>
      </c>
      <c r="L16" s="9">
        <v>6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VLOOKUP($B17,'2604'!$B17:$M31,11,0)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VLOOKUP($B18,'2604'!$B18:$M32,11,0)</f>
        <v>1</v>
      </c>
      <c r="E18" s="14">
        <v>1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VLOOKUP($B19,'2604'!$B19:$M33,11,0)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VLOOKUP($B20,'2604'!$B20:$M34,11,0)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VLOOKUP($B21,'2604'!$B21:$M35,11,0)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VLOOKUP($B22,'2604'!$B22:$M36,11,0)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VLOOKUP($B24,'2504'!$B24:$M38,11,0)</f>
        <v>712</v>
      </c>
      <c r="E24" s="9">
        <f t="shared" ref="E24:K24" si="3">SUM(E8:E22)</f>
        <v>842</v>
      </c>
      <c r="F24" s="9"/>
      <c r="G24" s="9"/>
      <c r="H24" s="9"/>
      <c r="I24" s="9"/>
      <c r="J24" s="9"/>
      <c r="K24" s="9">
        <f t="shared" si="3"/>
        <v>809</v>
      </c>
      <c r="L24" s="9"/>
      <c r="M24" s="9">
        <f>L24-K24</f>
        <v>-809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VLOOKUP($B26,'2604'!$B26:$M29,11,0)</f>
        <v>230</v>
      </c>
      <c r="E26" s="10">
        <v>74</v>
      </c>
      <c r="F26" s="9">
        <v>76</v>
      </c>
      <c r="G26" s="11"/>
      <c r="H26" s="9"/>
      <c r="I26" s="9"/>
      <c r="J26" s="9"/>
      <c r="K26" s="9">
        <f t="shared" ref="K26" si="4">D26+E26-F26</f>
        <v>228</v>
      </c>
      <c r="L26" s="9">
        <v>228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VLOOKUP($B27,'2604'!$B27:$M30,11,0)</f>
        <v>70</v>
      </c>
      <c r="E27" s="9">
        <v>20</v>
      </c>
      <c r="F27" s="9">
        <v>30</v>
      </c>
      <c r="G27" s="11"/>
      <c r="H27" s="9"/>
      <c r="I27" s="9"/>
      <c r="J27" s="9"/>
      <c r="K27" s="9">
        <f>D27+E27-F27</f>
        <v>60</v>
      </c>
      <c r="L27" s="9">
        <v>60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VLOOKUP($B28,'2604'!$B28:$M31,11,0)</f>
        <v>327</v>
      </c>
      <c r="E28" s="9">
        <v>130</v>
      </c>
      <c r="F28" s="9">
        <v>25</v>
      </c>
      <c r="G28" s="11"/>
      <c r="H28" s="9"/>
      <c r="I28" s="9"/>
      <c r="J28" s="9"/>
      <c r="K28" s="9">
        <f>D28+E28-F28</f>
        <v>432</v>
      </c>
      <c r="L28" s="9">
        <v>432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VLOOKUP($B29,'2604'!$B29:$M32,11,0)</f>
        <v>148</v>
      </c>
      <c r="E29" s="9"/>
      <c r="F29" s="9">
        <v>57</v>
      </c>
      <c r="G29" s="11"/>
      <c r="H29" s="9"/>
      <c r="I29" s="9"/>
      <c r="J29" s="9"/>
      <c r="K29" s="9">
        <f>D29+E29-F29</f>
        <v>91</v>
      </c>
      <c r="L29" s="9">
        <v>91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  <legacyDrawing r:id="rId1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W16" sqref="W16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DATE(2017,6,24)</f>
        <v>42910</v>
      </c>
      <c r="E5" s="293">
        <f>D5+1</f>
        <v>42911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72"/>
      <c r="G6" s="272"/>
      <c r="H6" s="300"/>
      <c r="I6" s="300"/>
      <c r="J6" s="300"/>
      <c r="K6" s="300"/>
      <c r="L6" s="300"/>
      <c r="M6" s="300"/>
      <c r="N6" s="301"/>
      <c r="O6" s="271"/>
      <c r="P6" s="271"/>
      <c r="Q6" s="271"/>
      <c r="R6" s="271"/>
      <c r="S6" s="271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'24.6'!W8</f>
        <v>1020</v>
      </c>
      <c r="E8" s="11"/>
      <c r="F8" s="10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225">
        <f>SUM(F8:T8)</f>
        <v>0</v>
      </c>
      <c r="V8" s="9">
        <f>D8+E8-SUM(F8:T8)</f>
        <v>1020</v>
      </c>
      <c r="W8" s="9">
        <v>1020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'24.6'!W9</f>
        <v>760</v>
      </c>
      <c r="E9" s="11"/>
      <c r="F9" s="10"/>
      <c r="G9" s="10"/>
      <c r="H9" s="11"/>
      <c r="I9" s="11"/>
      <c r="J9" s="11"/>
      <c r="K9" s="11"/>
      <c r="L9" s="11">
        <v>50</v>
      </c>
      <c r="M9" s="11"/>
      <c r="N9" s="11"/>
      <c r="O9" s="11"/>
      <c r="P9" s="11"/>
      <c r="Q9" s="11"/>
      <c r="R9" s="11"/>
      <c r="S9" s="11"/>
      <c r="T9" s="11"/>
      <c r="U9" s="225">
        <f t="shared" ref="U9:U29" si="0">SUM(F9:T9)</f>
        <v>50</v>
      </c>
      <c r="V9" s="9">
        <f t="shared" ref="V9:V29" si="1">D9+E9-SUM(F9:T9)</f>
        <v>710</v>
      </c>
      <c r="W9" s="9">
        <v>710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'24.6'!W10</f>
        <v>1530</v>
      </c>
      <c r="E10" s="11"/>
      <c r="F10" s="14"/>
      <c r="G10" s="14"/>
      <c r="H10" s="11"/>
      <c r="I10" s="11"/>
      <c r="J10" s="11"/>
      <c r="K10" s="11"/>
      <c r="L10" s="11">
        <v>50</v>
      </c>
      <c r="M10" s="11"/>
      <c r="N10" s="11"/>
      <c r="O10" s="11"/>
      <c r="P10" s="11"/>
      <c r="Q10" s="11"/>
      <c r="R10" s="11"/>
      <c r="S10" s="11"/>
      <c r="T10" s="11"/>
      <c r="U10" s="225">
        <f t="shared" si="0"/>
        <v>50</v>
      </c>
      <c r="V10" s="9">
        <f t="shared" si="1"/>
        <v>1480</v>
      </c>
      <c r="W10" s="9">
        <v>1480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'24.6'!W11</f>
        <v>1510</v>
      </c>
      <c r="E11" s="11"/>
      <c r="F11" s="14"/>
      <c r="G11" s="14"/>
      <c r="H11" s="11"/>
      <c r="I11" s="11"/>
      <c r="J11" s="11"/>
      <c r="K11" s="11"/>
      <c r="L11" s="11">
        <v>50</v>
      </c>
      <c r="M11" s="11"/>
      <c r="N11" s="11"/>
      <c r="O11" s="11"/>
      <c r="P11" s="11"/>
      <c r="Q11" s="11"/>
      <c r="R11" s="11"/>
      <c r="S11" s="11"/>
      <c r="T11" s="11"/>
      <c r="U11" s="225">
        <f t="shared" si="0"/>
        <v>50</v>
      </c>
      <c r="V11" s="9">
        <f t="shared" si="1"/>
        <v>1460</v>
      </c>
      <c r="W11" s="9">
        <v>1460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'24.6'!W12</f>
        <v>12</v>
      </c>
      <c r="E12" s="11"/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25">
        <f t="shared" si="0"/>
        <v>0</v>
      </c>
      <c r="V12" s="9">
        <f t="shared" si="1"/>
        <v>12</v>
      </c>
      <c r="W12" s="9">
        <v>12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'24.6'!W13</f>
        <v>25584</v>
      </c>
      <c r="E13" s="11"/>
      <c r="F13" s="14"/>
      <c r="G13" s="14"/>
      <c r="H13" s="11">
        <v>200</v>
      </c>
      <c r="I13" s="11">
        <v>200</v>
      </c>
      <c r="J13" s="11">
        <v>80</v>
      </c>
      <c r="K13" s="11">
        <v>200</v>
      </c>
      <c r="L13" s="11">
        <v>200</v>
      </c>
      <c r="M13" s="11">
        <v>100</v>
      </c>
      <c r="N13" s="11">
        <v>400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11">
        <v>200</v>
      </c>
      <c r="U13" s="225">
        <f t="shared" si="0"/>
        <v>2980</v>
      </c>
      <c r="V13" s="9">
        <f t="shared" si="1"/>
        <v>22604</v>
      </c>
      <c r="W13" s="9">
        <v>22604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'24.6'!W14</f>
        <v>4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0</v>
      </c>
      <c r="V14" s="9">
        <f t="shared" si="1"/>
        <v>4</v>
      </c>
      <c r="W14" s="9">
        <v>4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'24.6'!W15</f>
        <v>7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25">
        <f t="shared" si="0"/>
        <v>0</v>
      </c>
      <c r="V15" s="9">
        <f t="shared" si="1"/>
        <v>7</v>
      </c>
      <c r="W15" s="9">
        <v>7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'24.6'!W16</f>
        <v>9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0</v>
      </c>
      <c r="V16" s="9">
        <f t="shared" si="1"/>
        <v>9</v>
      </c>
      <c r="W16" s="9">
        <v>9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'24.6'!W17</f>
        <v>82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>
        <v>15</v>
      </c>
      <c r="R17" s="11"/>
      <c r="S17" s="11">
        <v>40</v>
      </c>
      <c r="T17" s="11"/>
      <c r="U17" s="225">
        <f t="shared" si="0"/>
        <v>55</v>
      </c>
      <c r="V17" s="9">
        <f t="shared" si="1"/>
        <v>27</v>
      </c>
      <c r="W17" s="9">
        <v>27</v>
      </c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'24.6'!W18</f>
        <v>42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>
        <v>10</v>
      </c>
      <c r="R18" s="11"/>
      <c r="S18" s="11">
        <v>20</v>
      </c>
      <c r="T18" s="11"/>
      <c r="U18" s="225">
        <f t="shared" si="0"/>
        <v>30</v>
      </c>
      <c r="V18" s="9">
        <f t="shared" si="1"/>
        <v>12</v>
      </c>
      <c r="W18" s="9">
        <v>12</v>
      </c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'24.6'!W19</f>
        <v>66</v>
      </c>
      <c r="E19" s="14"/>
      <c r="F19" s="14"/>
      <c r="G19" s="14"/>
      <c r="H19" s="11"/>
      <c r="I19" s="11"/>
      <c r="J19" s="11"/>
      <c r="N19" s="11"/>
      <c r="O19" s="11"/>
      <c r="P19" s="11"/>
      <c r="Q19" s="11">
        <v>15</v>
      </c>
      <c r="R19" s="11"/>
      <c r="S19" s="11">
        <v>36</v>
      </c>
      <c r="T19" s="11"/>
      <c r="U19" s="225">
        <f t="shared" si="0"/>
        <v>51</v>
      </c>
      <c r="V19" s="9">
        <f t="shared" si="1"/>
        <v>15</v>
      </c>
      <c r="W19" s="9">
        <v>15</v>
      </c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'24.6'!W20</f>
        <v>180</v>
      </c>
      <c r="E20" s="14"/>
      <c r="F20" s="14"/>
      <c r="G20" s="14"/>
      <c r="H20" s="9"/>
      <c r="I20" s="9"/>
      <c r="J20" s="9"/>
      <c r="K20" s="9"/>
      <c r="L20" s="9">
        <v>5</v>
      </c>
      <c r="M20" s="9"/>
      <c r="N20" s="9"/>
      <c r="O20" s="9"/>
      <c r="P20" s="9"/>
      <c r="Q20" s="9"/>
      <c r="R20" s="9"/>
      <c r="S20" s="9"/>
      <c r="T20" s="9"/>
      <c r="U20" s="225">
        <f t="shared" si="0"/>
        <v>5</v>
      </c>
      <c r="V20" s="9">
        <f t="shared" si="1"/>
        <v>175</v>
      </c>
      <c r="W20" s="9">
        <v>175</v>
      </c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'24.6'!W21</f>
        <v>30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>
        <v>10</v>
      </c>
      <c r="R21" s="9"/>
      <c r="S21" s="9">
        <v>20</v>
      </c>
      <c r="T21" s="9"/>
      <c r="U21" s="225">
        <f t="shared" si="0"/>
        <v>30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'24.6'!W22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'24.6'!W23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'24.6'!W24</f>
        <v>11</v>
      </c>
      <c r="E24" s="10"/>
      <c r="F24" s="10"/>
      <c r="G24" s="10"/>
      <c r="H24" s="11"/>
      <c r="I24" s="9"/>
      <c r="J24" s="11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11</v>
      </c>
      <c r="W24" s="9">
        <v>11</v>
      </c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'24.6'!W25</f>
        <v>13</v>
      </c>
      <c r="E25" s="9"/>
      <c r="F25" s="9"/>
      <c r="G25" s="9"/>
      <c r="H25" s="11"/>
      <c r="I25" s="9"/>
      <c r="J25" s="11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13</v>
      </c>
      <c r="W25" s="9">
        <v>13</v>
      </c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'24.6'!W26</f>
        <v>13</v>
      </c>
      <c r="E26" s="9"/>
      <c r="F26" s="9"/>
      <c r="G26" s="9"/>
      <c r="H26" s="11"/>
      <c r="I26" s="9"/>
      <c r="J26" s="11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13</v>
      </c>
      <c r="W26" s="9">
        <v>13</v>
      </c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E5" sqref="E5:X5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DATE(2017,6,24)</f>
        <v>42910</v>
      </c>
      <c r="E5" s="293">
        <f>D5+1</f>
        <v>42911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72"/>
      <c r="G6" s="272"/>
      <c r="H6" s="300"/>
      <c r="I6" s="300"/>
      <c r="J6" s="300"/>
      <c r="K6" s="300"/>
      <c r="L6" s="300"/>
      <c r="M6" s="300"/>
      <c r="N6" s="301"/>
      <c r="O6" s="271"/>
      <c r="P6" s="271"/>
      <c r="Q6" s="271"/>
      <c r="R6" s="271"/>
      <c r="S6" s="271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'25.6'!W8</f>
        <v>1020</v>
      </c>
      <c r="E8" s="11"/>
      <c r="F8" s="10"/>
      <c r="G8" s="10"/>
      <c r="H8" s="11"/>
      <c r="I8" s="11"/>
      <c r="J8" s="11">
        <v>50</v>
      </c>
      <c r="K8" s="11"/>
      <c r="L8" s="11"/>
      <c r="M8" s="11"/>
      <c r="N8" s="11"/>
      <c r="O8" s="11">
        <v>120</v>
      </c>
      <c r="P8" s="11">
        <v>60</v>
      </c>
      <c r="Q8" s="11"/>
      <c r="R8" s="11"/>
      <c r="S8" s="11"/>
      <c r="T8" s="11"/>
      <c r="U8" s="225">
        <f>SUM(F8:T8)</f>
        <v>230</v>
      </c>
      <c r="V8" s="9">
        <f>D8+E8-SUM(F8:T8)</f>
        <v>790</v>
      </c>
      <c r="W8" s="9">
        <v>790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'25.6'!W9</f>
        <v>710</v>
      </c>
      <c r="E9" s="11"/>
      <c r="F9" s="10"/>
      <c r="G9" s="10"/>
      <c r="H9" s="11"/>
      <c r="I9" s="11"/>
      <c r="J9" s="11"/>
      <c r="K9" s="11"/>
      <c r="L9" s="11"/>
      <c r="M9" s="11"/>
      <c r="N9" s="11"/>
      <c r="O9" s="11">
        <v>80</v>
      </c>
      <c r="P9" s="11">
        <v>60</v>
      </c>
      <c r="Q9" s="11"/>
      <c r="R9" s="11"/>
      <c r="S9" s="11"/>
      <c r="T9" s="11"/>
      <c r="U9" s="225">
        <f t="shared" ref="U9:U29" si="0">SUM(F9:T9)</f>
        <v>140</v>
      </c>
      <c r="V9" s="9">
        <f t="shared" ref="V9:V29" si="1">D9+E9-SUM(F9:T9)</f>
        <v>570</v>
      </c>
      <c r="W9" s="9">
        <v>570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'25.6'!W10</f>
        <v>1480</v>
      </c>
      <c r="E10" s="11"/>
      <c r="F10" s="14"/>
      <c r="G10" s="14"/>
      <c r="H10" s="11"/>
      <c r="I10" s="11"/>
      <c r="J10" s="11">
        <v>80</v>
      </c>
      <c r="K10" s="11"/>
      <c r="L10" s="11"/>
      <c r="M10" s="11"/>
      <c r="N10" s="11"/>
      <c r="O10" s="11">
        <v>80</v>
      </c>
      <c r="P10" s="11">
        <v>60</v>
      </c>
      <c r="Q10" s="11"/>
      <c r="R10" s="11"/>
      <c r="S10" s="11"/>
      <c r="T10" s="11"/>
      <c r="U10" s="225">
        <f t="shared" si="0"/>
        <v>220</v>
      </c>
      <c r="V10" s="9">
        <f t="shared" si="1"/>
        <v>1260</v>
      </c>
      <c r="W10" s="9">
        <v>1260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'25.6'!W11</f>
        <v>1460</v>
      </c>
      <c r="E11" s="11"/>
      <c r="F11" s="14"/>
      <c r="G11" s="14"/>
      <c r="H11" s="11"/>
      <c r="I11" s="11"/>
      <c r="J11" s="11"/>
      <c r="K11" s="11"/>
      <c r="L11" s="11"/>
      <c r="M11" s="11"/>
      <c r="N11" s="11"/>
      <c r="O11" s="11">
        <v>80</v>
      </c>
      <c r="P11" s="11">
        <v>50</v>
      </c>
      <c r="Q11" s="11"/>
      <c r="R11" s="11"/>
      <c r="S11" s="11"/>
      <c r="T11" s="11"/>
      <c r="U11" s="225">
        <f t="shared" si="0"/>
        <v>130</v>
      </c>
      <c r="V11" s="9">
        <f t="shared" si="1"/>
        <v>1330</v>
      </c>
      <c r="W11" s="9">
        <v>1330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'25.6'!W12</f>
        <v>12</v>
      </c>
      <c r="E12" s="11"/>
      <c r="F12" s="14"/>
      <c r="G12" s="14"/>
      <c r="H12" s="11"/>
      <c r="I12" s="11"/>
      <c r="J12" s="11">
        <v>1</v>
      </c>
      <c r="K12" s="11"/>
      <c r="L12" s="11"/>
      <c r="M12" s="11"/>
      <c r="N12" s="11"/>
      <c r="O12" s="11">
        <v>2</v>
      </c>
      <c r="P12" s="11">
        <v>1</v>
      </c>
      <c r="Q12" s="11"/>
      <c r="R12" s="11"/>
      <c r="S12" s="11"/>
      <c r="T12" s="11"/>
      <c r="U12" s="225">
        <f t="shared" si="0"/>
        <v>4</v>
      </c>
      <c r="V12" s="9">
        <f t="shared" si="1"/>
        <v>8</v>
      </c>
      <c r="W12" s="9">
        <v>8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'25.6'!W13</f>
        <v>22604</v>
      </c>
      <c r="E13" s="11"/>
      <c r="F13" s="14"/>
      <c r="G13" s="14"/>
      <c r="H13" s="11">
        <v>200</v>
      </c>
      <c r="I13" s="11">
        <v>200</v>
      </c>
      <c r="J13" s="11">
        <v>800</v>
      </c>
      <c r="K13" s="11"/>
      <c r="L13" s="11">
        <v>200</v>
      </c>
      <c r="M13" s="11">
        <v>100</v>
      </c>
      <c r="N13" s="11">
        <v>400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11"/>
      <c r="U13" s="225">
        <f t="shared" si="0"/>
        <v>3300</v>
      </c>
      <c r="V13" s="9">
        <f t="shared" si="1"/>
        <v>19304</v>
      </c>
      <c r="W13" s="9">
        <v>19304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'25.6'!W14</f>
        <v>4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0</v>
      </c>
      <c r="V14" s="9">
        <f t="shared" si="1"/>
        <v>4</v>
      </c>
      <c r="W14" s="9">
        <v>4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'25.6'!W15</f>
        <v>7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25">
        <f t="shared" si="0"/>
        <v>0</v>
      </c>
      <c r="V15" s="9">
        <f t="shared" si="1"/>
        <v>7</v>
      </c>
      <c r="W15" s="9">
        <v>7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'25.6'!W16</f>
        <v>9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0</v>
      </c>
      <c r="V16" s="9">
        <f t="shared" si="1"/>
        <v>9</v>
      </c>
      <c r="W16" s="9">
        <v>9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'25.6'!W17</f>
        <v>27</v>
      </c>
      <c r="E17" s="14">
        <v>40</v>
      </c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>
        <v>2</v>
      </c>
      <c r="Q17" s="11"/>
      <c r="R17" s="11">
        <v>25</v>
      </c>
      <c r="S17" s="11"/>
      <c r="T17" s="11"/>
      <c r="U17" s="225">
        <f t="shared" si="0"/>
        <v>27</v>
      </c>
      <c r="V17" s="9">
        <f t="shared" si="1"/>
        <v>40</v>
      </c>
      <c r="W17" s="9">
        <v>40</v>
      </c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'25.6'!W18</f>
        <v>12</v>
      </c>
      <c r="E18" s="14">
        <v>10</v>
      </c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>
        <v>12</v>
      </c>
      <c r="S18" s="11"/>
      <c r="T18" s="11"/>
      <c r="U18" s="225">
        <f t="shared" si="0"/>
        <v>12</v>
      </c>
      <c r="V18" s="9">
        <f t="shared" si="1"/>
        <v>10</v>
      </c>
      <c r="W18" s="9">
        <v>10</v>
      </c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'25.6'!W19</f>
        <v>15</v>
      </c>
      <c r="E19" s="14">
        <v>40</v>
      </c>
      <c r="F19" s="14"/>
      <c r="G19" s="14"/>
      <c r="H19" s="11"/>
      <c r="I19" s="11"/>
      <c r="J19" s="11"/>
      <c r="N19" s="11"/>
      <c r="O19" s="11"/>
      <c r="P19" s="11"/>
      <c r="Q19" s="11"/>
      <c r="R19" s="11">
        <v>15</v>
      </c>
      <c r="S19" s="11"/>
      <c r="T19" s="11"/>
      <c r="U19" s="225">
        <f t="shared" si="0"/>
        <v>15</v>
      </c>
      <c r="V19" s="9">
        <f t="shared" si="1"/>
        <v>40</v>
      </c>
      <c r="W19" s="9">
        <v>40</v>
      </c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'25.6'!W20</f>
        <v>175</v>
      </c>
      <c r="E20" s="14"/>
      <c r="F20" s="14"/>
      <c r="G20" s="14"/>
      <c r="H20" s="9"/>
      <c r="I20" s="9"/>
      <c r="J20" s="9"/>
      <c r="K20" s="9"/>
      <c r="L20" s="9">
        <v>5</v>
      </c>
      <c r="M20" s="9"/>
      <c r="N20" s="9"/>
      <c r="O20" s="9">
        <v>40</v>
      </c>
      <c r="P20" s="9">
        <v>20</v>
      </c>
      <c r="Q20" s="9"/>
      <c r="R20" s="9">
        <v>30</v>
      </c>
      <c r="S20" s="9"/>
      <c r="T20" s="9"/>
      <c r="U20" s="225">
        <f t="shared" si="0"/>
        <v>95</v>
      </c>
      <c r="V20" s="9">
        <f t="shared" si="1"/>
        <v>80</v>
      </c>
      <c r="W20" s="9">
        <v>80</v>
      </c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'25.6'!W21</f>
        <v>0</v>
      </c>
      <c r="E21" s="14">
        <v>10</v>
      </c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10</v>
      </c>
      <c r="W21" s="9">
        <v>10</v>
      </c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'25.6'!W22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'25.6'!W23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'25.6'!W24</f>
        <v>11</v>
      </c>
      <c r="E24" s="10"/>
      <c r="F24" s="10"/>
      <c r="G24" s="10"/>
      <c r="H24" s="11"/>
      <c r="I24" s="9"/>
      <c r="J24" s="11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11</v>
      </c>
      <c r="W24" s="9">
        <v>11</v>
      </c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'25.6'!W25</f>
        <v>13</v>
      </c>
      <c r="E25" s="9"/>
      <c r="F25" s="9"/>
      <c r="G25" s="9"/>
      <c r="H25" s="11"/>
      <c r="I25" s="9"/>
      <c r="J25" s="11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13</v>
      </c>
      <c r="W25" s="9">
        <v>13</v>
      </c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'25.6'!W26</f>
        <v>13</v>
      </c>
      <c r="E26" s="9"/>
      <c r="F26" s="9"/>
      <c r="G26" s="9"/>
      <c r="H26" s="11"/>
      <c r="I26" s="9"/>
      <c r="J26" s="11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13</v>
      </c>
      <c r="W26" s="9">
        <v>13</v>
      </c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S22" sqref="S22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DATE(2017,6,26)</f>
        <v>42912</v>
      </c>
      <c r="E5" s="293">
        <f>D5+1</f>
        <v>42913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74"/>
      <c r="G6" s="274"/>
      <c r="H6" s="300"/>
      <c r="I6" s="300"/>
      <c r="J6" s="300"/>
      <c r="K6" s="300"/>
      <c r="L6" s="300"/>
      <c r="M6" s="300"/>
      <c r="N6" s="301"/>
      <c r="O6" s="273"/>
      <c r="P6" s="273"/>
      <c r="Q6" s="273"/>
      <c r="R6" s="273"/>
      <c r="S6" s="273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'26.6'!W8</f>
        <v>790</v>
      </c>
      <c r="E8" s="11"/>
      <c r="F8" s="10"/>
      <c r="G8" s="10"/>
      <c r="H8" s="11"/>
      <c r="I8" s="11"/>
      <c r="J8" s="11"/>
      <c r="K8" s="11">
        <v>100</v>
      </c>
      <c r="L8" s="11"/>
      <c r="M8" s="11"/>
      <c r="N8" s="11"/>
      <c r="O8" s="11"/>
      <c r="P8" s="11"/>
      <c r="Q8" s="11"/>
      <c r="R8" s="11"/>
      <c r="S8" s="11">
        <v>40</v>
      </c>
      <c r="T8" s="11"/>
      <c r="U8" s="225">
        <f>SUM(F8:T8)</f>
        <v>140</v>
      </c>
      <c r="V8" s="9">
        <f>D8+E8-SUM(F8:T8)</f>
        <v>650</v>
      </c>
      <c r="W8" s="9">
        <v>650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'26.6'!W9</f>
        <v>570</v>
      </c>
      <c r="E9" s="11">
        <v>850</v>
      </c>
      <c r="F9" s="10"/>
      <c r="G9" s="10"/>
      <c r="H9" s="11"/>
      <c r="I9" s="11"/>
      <c r="J9" s="11"/>
      <c r="K9" s="11">
        <v>70</v>
      </c>
      <c r="L9" s="11"/>
      <c r="M9" s="11"/>
      <c r="N9" s="11"/>
      <c r="O9" s="11"/>
      <c r="P9" s="11"/>
      <c r="Q9" s="11"/>
      <c r="R9" s="11"/>
      <c r="S9" s="11">
        <v>40</v>
      </c>
      <c r="T9" s="11"/>
      <c r="U9" s="225">
        <f t="shared" ref="U9:U29" si="0">SUM(F9:T9)</f>
        <v>110</v>
      </c>
      <c r="V9" s="9">
        <f t="shared" ref="V9:V29" si="1">D9+E9-SUM(F9:T9)</f>
        <v>1310</v>
      </c>
      <c r="W9" s="9">
        <v>1310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'26.6'!W10</f>
        <v>1260</v>
      </c>
      <c r="E10" s="11"/>
      <c r="F10" s="14"/>
      <c r="G10" s="14"/>
      <c r="H10" s="11"/>
      <c r="I10" s="11"/>
      <c r="J10" s="11"/>
      <c r="K10" s="11">
        <v>80</v>
      </c>
      <c r="L10" s="11"/>
      <c r="M10" s="11"/>
      <c r="N10" s="11"/>
      <c r="O10" s="11"/>
      <c r="P10" s="11"/>
      <c r="Q10" s="11"/>
      <c r="R10" s="11"/>
      <c r="S10" s="11">
        <v>30</v>
      </c>
      <c r="T10" s="11"/>
      <c r="U10" s="225">
        <f t="shared" si="0"/>
        <v>110</v>
      </c>
      <c r="V10" s="9">
        <f t="shared" si="1"/>
        <v>1150</v>
      </c>
      <c r="W10" s="9">
        <v>1150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'26.6'!W11</f>
        <v>1330</v>
      </c>
      <c r="E11" s="11"/>
      <c r="F11" s="14"/>
      <c r="G11" s="14"/>
      <c r="H11" s="11"/>
      <c r="I11" s="11"/>
      <c r="J11" s="11"/>
      <c r="K11" s="11">
        <v>60</v>
      </c>
      <c r="L11" s="11"/>
      <c r="M11" s="11"/>
      <c r="N11" s="11"/>
      <c r="O11" s="11"/>
      <c r="P11" s="11"/>
      <c r="Q11" s="11"/>
      <c r="R11" s="11"/>
      <c r="S11" s="11">
        <v>30</v>
      </c>
      <c r="T11" s="11"/>
      <c r="U11" s="225">
        <f t="shared" si="0"/>
        <v>90</v>
      </c>
      <c r="V11" s="9">
        <f t="shared" si="1"/>
        <v>1240</v>
      </c>
      <c r="W11" s="9">
        <v>1240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'26.6'!W12</f>
        <v>8</v>
      </c>
      <c r="E12" s="11"/>
      <c r="F12" s="14"/>
      <c r="G12" s="14"/>
      <c r="H12" s="11">
        <v>1</v>
      </c>
      <c r="I12" s="11"/>
      <c r="J12" s="11"/>
      <c r="K12" s="11">
        <v>2</v>
      </c>
      <c r="L12" s="11">
        <v>2</v>
      </c>
      <c r="M12" s="11"/>
      <c r="N12" s="11"/>
      <c r="O12" s="11"/>
      <c r="P12" s="11"/>
      <c r="Q12" s="11"/>
      <c r="R12" s="11"/>
      <c r="S12" s="11"/>
      <c r="T12" s="11"/>
      <c r="U12" s="225">
        <f t="shared" si="0"/>
        <v>5</v>
      </c>
      <c r="V12" s="9">
        <f t="shared" si="1"/>
        <v>3</v>
      </c>
      <c r="W12" s="9">
        <v>3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'26.6'!W13</f>
        <v>19304</v>
      </c>
      <c r="E13" s="11"/>
      <c r="F13" s="14"/>
      <c r="G13" s="14"/>
      <c r="H13" s="11">
        <v>200</v>
      </c>
      <c r="I13" s="11">
        <v>200</v>
      </c>
      <c r="J13" s="11">
        <v>800</v>
      </c>
      <c r="K13" s="11"/>
      <c r="L13" s="11">
        <v>200</v>
      </c>
      <c r="M13" s="11">
        <v>100</v>
      </c>
      <c r="N13" s="11">
        <v>400</v>
      </c>
      <c r="O13" s="11">
        <v>1400</v>
      </c>
      <c r="P13" s="11">
        <v>200</v>
      </c>
      <c r="Q13" s="11">
        <v>200</v>
      </c>
      <c r="R13" s="11"/>
      <c r="S13" s="11">
        <v>200</v>
      </c>
      <c r="T13" s="11"/>
      <c r="U13" s="225">
        <f t="shared" si="0"/>
        <v>3900</v>
      </c>
      <c r="V13" s="9">
        <f t="shared" si="1"/>
        <v>15404</v>
      </c>
      <c r="W13" s="9">
        <v>15404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'26.6'!W14</f>
        <v>4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0</v>
      </c>
      <c r="V14" s="9">
        <f t="shared" si="1"/>
        <v>4</v>
      </c>
      <c r="W14" s="9">
        <v>4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'26.6'!W15</f>
        <v>7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25">
        <f t="shared" si="0"/>
        <v>0</v>
      </c>
      <c r="V15" s="9">
        <f t="shared" si="1"/>
        <v>7</v>
      </c>
      <c r="W15" s="9">
        <v>7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'26.6'!W16</f>
        <v>9</v>
      </c>
      <c r="E16" s="14"/>
      <c r="F16" s="14"/>
      <c r="G16" s="14"/>
      <c r="H16" s="11"/>
      <c r="I16" s="11"/>
      <c r="J16" s="11"/>
      <c r="K16" s="11">
        <v>1</v>
      </c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1</v>
      </c>
      <c r="V16" s="9">
        <f t="shared" si="1"/>
        <v>8</v>
      </c>
      <c r="W16" s="9">
        <v>9</v>
      </c>
      <c r="X16" s="9">
        <f t="shared" si="2"/>
        <v>1</v>
      </c>
    </row>
    <row r="17" spans="1:24" ht="18.75">
      <c r="A17" s="6">
        <v>13</v>
      </c>
      <c r="B17" s="220" t="s">
        <v>107</v>
      </c>
      <c r="C17" s="6" t="s">
        <v>111</v>
      </c>
      <c r="D17" s="9">
        <f>'26.6'!W17</f>
        <v>40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>
        <v>40</v>
      </c>
      <c r="T17" s="11"/>
      <c r="U17" s="225">
        <f t="shared" si="0"/>
        <v>40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'26.6'!W18</f>
        <v>10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>
        <v>10</v>
      </c>
      <c r="T18" s="11"/>
      <c r="U18" s="225">
        <f t="shared" si="0"/>
        <v>10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'26.6'!W19</f>
        <v>40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>
        <v>40</v>
      </c>
      <c r="T19" s="11"/>
      <c r="U19" s="225">
        <f t="shared" si="0"/>
        <v>40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'26.6'!W20</f>
        <v>80</v>
      </c>
      <c r="E20" s="14">
        <v>40</v>
      </c>
      <c r="F20" s="14"/>
      <c r="G20" s="14"/>
      <c r="H20" s="9"/>
      <c r="I20" s="9"/>
      <c r="J20" s="9"/>
      <c r="K20" s="9">
        <v>10</v>
      </c>
      <c r="L20" s="9">
        <v>5</v>
      </c>
      <c r="M20" s="9"/>
      <c r="N20" s="9"/>
      <c r="O20" s="9"/>
      <c r="P20" s="9"/>
      <c r="Q20" s="9"/>
      <c r="R20" s="9"/>
      <c r="S20" s="9">
        <v>5</v>
      </c>
      <c r="T20" s="9"/>
      <c r="U20" s="225">
        <f t="shared" si="0"/>
        <v>20</v>
      </c>
      <c r="V20" s="9">
        <f t="shared" si="1"/>
        <v>100</v>
      </c>
      <c r="W20" s="9">
        <v>100</v>
      </c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'26.6'!W21</f>
        <v>10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>
        <v>10</v>
      </c>
      <c r="T21" s="9"/>
      <c r="U21" s="225">
        <f t="shared" si="0"/>
        <v>10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'26.6'!W22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'26.6'!W23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'26.6'!W24</f>
        <v>11</v>
      </c>
      <c r="E24" s="10"/>
      <c r="F24" s="10"/>
      <c r="G24" s="10"/>
      <c r="H24" s="11"/>
      <c r="I24" s="9"/>
      <c r="J24" s="11"/>
      <c r="K24" s="9"/>
      <c r="L24" s="9"/>
      <c r="M24" s="9"/>
      <c r="N24" s="9">
        <v>4</v>
      </c>
      <c r="O24" s="9"/>
      <c r="P24" s="9"/>
      <c r="Q24" s="9"/>
      <c r="R24" s="9"/>
      <c r="S24" s="9"/>
      <c r="T24" s="9"/>
      <c r="U24" s="225">
        <f t="shared" si="0"/>
        <v>4</v>
      </c>
      <c r="V24" s="9">
        <f t="shared" si="1"/>
        <v>7</v>
      </c>
      <c r="W24" s="9">
        <v>7</v>
      </c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'26.6'!W25</f>
        <v>13</v>
      </c>
      <c r="E25" s="9"/>
      <c r="F25" s="9"/>
      <c r="G25" s="9"/>
      <c r="H25" s="11"/>
      <c r="I25" s="9"/>
      <c r="J25" s="11"/>
      <c r="K25" s="9"/>
      <c r="L25" s="9"/>
      <c r="M25" s="9"/>
      <c r="N25" s="9">
        <v>4</v>
      </c>
      <c r="O25" s="9"/>
      <c r="P25" s="9"/>
      <c r="Q25" s="9"/>
      <c r="R25" s="9"/>
      <c r="S25" s="9"/>
      <c r="T25" s="9"/>
      <c r="U25" s="225">
        <f t="shared" si="0"/>
        <v>4</v>
      </c>
      <c r="V25" s="9">
        <f t="shared" si="1"/>
        <v>9</v>
      </c>
      <c r="W25" s="9">
        <v>9</v>
      </c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'26.6'!W26</f>
        <v>13</v>
      </c>
      <c r="E26" s="9"/>
      <c r="F26" s="9"/>
      <c r="G26" s="9"/>
      <c r="H26" s="11"/>
      <c r="I26" s="9"/>
      <c r="J26" s="11"/>
      <c r="K26" s="9"/>
      <c r="L26" s="9"/>
      <c r="M26" s="9"/>
      <c r="N26" s="9">
        <v>4</v>
      </c>
      <c r="O26" s="9"/>
      <c r="P26" s="9"/>
      <c r="Q26" s="9"/>
      <c r="R26" s="9"/>
      <c r="S26" s="9"/>
      <c r="T26" s="9"/>
      <c r="U26" s="225">
        <f t="shared" si="0"/>
        <v>4</v>
      </c>
      <c r="V26" s="9">
        <f t="shared" si="1"/>
        <v>9</v>
      </c>
      <c r="W26" s="9">
        <v>9</v>
      </c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T8" sqref="T8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DATE(2017,6,27)</f>
        <v>42913</v>
      </c>
      <c r="E5" s="293">
        <f>D5+1</f>
        <v>42914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74"/>
      <c r="G6" s="274"/>
      <c r="H6" s="300"/>
      <c r="I6" s="300"/>
      <c r="J6" s="300"/>
      <c r="K6" s="300"/>
      <c r="L6" s="300"/>
      <c r="M6" s="300"/>
      <c r="N6" s="301"/>
      <c r="O6" s="273"/>
      <c r="P6" s="273"/>
      <c r="Q6" s="273"/>
      <c r="R6" s="273"/>
      <c r="S6" s="273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'27.6'!W8</f>
        <v>650</v>
      </c>
      <c r="E8" s="11">
        <v>520</v>
      </c>
      <c r="F8" s="10"/>
      <c r="G8" s="10"/>
      <c r="H8" s="11"/>
      <c r="I8" s="11"/>
      <c r="J8" s="11"/>
      <c r="K8" s="11"/>
      <c r="L8" s="11"/>
      <c r="M8" s="11"/>
      <c r="N8" s="11">
        <v>120</v>
      </c>
      <c r="O8" s="11"/>
      <c r="P8" s="11"/>
      <c r="Q8" s="11">
        <v>180</v>
      </c>
      <c r="R8" s="11"/>
      <c r="S8" s="11"/>
      <c r="T8" s="11">
        <v>20</v>
      </c>
      <c r="U8" s="225">
        <f>SUM(F8:T8)</f>
        <v>320</v>
      </c>
      <c r="V8" s="9">
        <f>D8+E8-SUM(F8:T8)</f>
        <v>850</v>
      </c>
      <c r="W8" s="9">
        <v>850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'27.6'!W9</f>
        <v>1310</v>
      </c>
      <c r="E9" s="11"/>
      <c r="F9" s="10"/>
      <c r="G9" s="10"/>
      <c r="H9" s="11"/>
      <c r="I9" s="11"/>
      <c r="J9" s="11"/>
      <c r="K9" s="11"/>
      <c r="L9" s="11"/>
      <c r="M9" s="11"/>
      <c r="N9" s="11">
        <v>90</v>
      </c>
      <c r="O9" s="11"/>
      <c r="P9" s="11"/>
      <c r="Q9" s="11">
        <v>120</v>
      </c>
      <c r="R9" s="11"/>
      <c r="S9" s="11"/>
      <c r="T9" s="11">
        <v>20</v>
      </c>
      <c r="U9" s="225">
        <f t="shared" ref="U9:U29" si="0">SUM(F9:T9)</f>
        <v>230</v>
      </c>
      <c r="V9" s="9">
        <f t="shared" ref="V9:V29" si="1">D9+E9-SUM(F9:T9)</f>
        <v>1080</v>
      </c>
      <c r="W9" s="9">
        <v>1080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'27.6'!W10</f>
        <v>1150</v>
      </c>
      <c r="E10" s="11"/>
      <c r="F10" s="14"/>
      <c r="G10" s="14"/>
      <c r="H10" s="11"/>
      <c r="I10" s="11"/>
      <c r="J10" s="11"/>
      <c r="K10" s="11"/>
      <c r="L10" s="11"/>
      <c r="M10" s="11"/>
      <c r="N10" s="11">
        <v>80</v>
      </c>
      <c r="O10" s="11"/>
      <c r="P10" s="11"/>
      <c r="Q10" s="11">
        <v>100</v>
      </c>
      <c r="R10" s="11"/>
      <c r="S10" s="11"/>
      <c r="T10" s="11">
        <v>10</v>
      </c>
      <c r="U10" s="225">
        <f t="shared" si="0"/>
        <v>190</v>
      </c>
      <c r="V10" s="9">
        <f t="shared" si="1"/>
        <v>960</v>
      </c>
      <c r="W10" s="9">
        <v>960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'27.6'!W11</f>
        <v>1240</v>
      </c>
      <c r="E11" s="11"/>
      <c r="F11" s="14"/>
      <c r="G11" s="14"/>
      <c r="H11" s="11"/>
      <c r="I11" s="11"/>
      <c r="J11" s="11"/>
      <c r="K11" s="11"/>
      <c r="L11" s="11"/>
      <c r="M11" s="11"/>
      <c r="N11" s="11">
        <v>90</v>
      </c>
      <c r="O11" s="11"/>
      <c r="P11" s="11"/>
      <c r="Q11" s="11">
        <v>70</v>
      </c>
      <c r="R11" s="11"/>
      <c r="S11" s="11"/>
      <c r="T11" s="11">
        <v>30</v>
      </c>
      <c r="U11" s="225">
        <f t="shared" si="0"/>
        <v>190</v>
      </c>
      <c r="V11" s="9">
        <f t="shared" si="1"/>
        <v>1050</v>
      </c>
      <c r="W11" s="9">
        <v>1050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'27.6'!W12</f>
        <v>3</v>
      </c>
      <c r="E12" s="11">
        <v>9</v>
      </c>
      <c r="F12" s="14"/>
      <c r="G12" s="14"/>
      <c r="H12" s="11"/>
      <c r="I12" s="11"/>
      <c r="J12" s="11"/>
      <c r="K12" s="11"/>
      <c r="L12" s="11"/>
      <c r="M12" s="11"/>
      <c r="N12" s="11">
        <v>2</v>
      </c>
      <c r="O12" s="11"/>
      <c r="P12" s="11"/>
      <c r="Q12" s="11">
        <v>2</v>
      </c>
      <c r="R12" s="11"/>
      <c r="S12" s="11"/>
      <c r="T12" s="11"/>
      <c r="U12" s="225">
        <f t="shared" si="0"/>
        <v>4</v>
      </c>
      <c r="V12" s="9">
        <f t="shared" si="1"/>
        <v>8</v>
      </c>
      <c r="W12" s="9">
        <v>8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'27.6'!W13</f>
        <v>15404</v>
      </c>
      <c r="E13" s="11"/>
      <c r="F13" s="14"/>
      <c r="G13" s="14"/>
      <c r="H13" s="11">
        <v>200</v>
      </c>
      <c r="I13" s="11">
        <v>200</v>
      </c>
      <c r="J13" s="11">
        <v>800</v>
      </c>
      <c r="K13" s="11">
        <v>200</v>
      </c>
      <c r="L13" s="11">
        <v>200</v>
      </c>
      <c r="M13" s="11">
        <v>100</v>
      </c>
      <c r="N13" s="11">
        <v>400</v>
      </c>
      <c r="O13" s="11">
        <v>1400</v>
      </c>
      <c r="P13" s="11">
        <v>200</v>
      </c>
      <c r="Q13" s="11">
        <v>200</v>
      </c>
      <c r="R13" s="11"/>
      <c r="S13" s="11">
        <v>200</v>
      </c>
      <c r="T13" s="11"/>
      <c r="U13" s="225">
        <f t="shared" si="0"/>
        <v>4100</v>
      </c>
      <c r="V13" s="9">
        <f t="shared" si="1"/>
        <v>11304</v>
      </c>
      <c r="W13" s="9">
        <v>11304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'27.6'!W14</f>
        <v>4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>
        <v>1</v>
      </c>
      <c r="U14" s="225">
        <f t="shared" si="0"/>
        <v>1</v>
      </c>
      <c r="V14" s="9">
        <f t="shared" si="1"/>
        <v>3</v>
      </c>
      <c r="W14" s="9">
        <v>3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'27.6'!W15</f>
        <v>7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>
        <v>1</v>
      </c>
      <c r="U15" s="225">
        <f t="shared" si="0"/>
        <v>1</v>
      </c>
      <c r="V15" s="9">
        <f t="shared" si="1"/>
        <v>6</v>
      </c>
      <c r="W15" s="9">
        <v>6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'27.6'!W16</f>
        <v>9</v>
      </c>
      <c r="E16" s="14"/>
      <c r="F16" s="14"/>
      <c r="G16" s="14"/>
      <c r="H16" s="11"/>
      <c r="I16" s="11">
        <v>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1</v>
      </c>
      <c r="V16" s="9">
        <f t="shared" si="1"/>
        <v>8</v>
      </c>
      <c r="W16" s="9">
        <v>8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'27.6'!W17</f>
        <v>0</v>
      </c>
      <c r="E17" s="14">
        <v>10</v>
      </c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>
        <v>10</v>
      </c>
      <c r="R17" s="11"/>
      <c r="S17" s="11"/>
      <c r="T17" s="11"/>
      <c r="U17" s="225">
        <f t="shared" si="0"/>
        <v>10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'27.6'!W18</f>
        <v>0</v>
      </c>
      <c r="E18" s="14">
        <v>20</v>
      </c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>
        <v>10</v>
      </c>
      <c r="R18" s="11"/>
      <c r="S18" s="11"/>
      <c r="T18" s="11"/>
      <c r="U18" s="225">
        <f t="shared" si="0"/>
        <v>10</v>
      </c>
      <c r="V18" s="9">
        <f t="shared" si="1"/>
        <v>10</v>
      </c>
      <c r="W18" s="9">
        <v>10</v>
      </c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'27.6'!W19</f>
        <v>0</v>
      </c>
      <c r="E19" s="14">
        <v>10</v>
      </c>
      <c r="F19" s="14"/>
      <c r="G19" s="14"/>
      <c r="H19" s="11"/>
      <c r="I19" s="11"/>
      <c r="J19" s="11"/>
      <c r="N19" s="11"/>
      <c r="O19" s="11"/>
      <c r="P19" s="11"/>
      <c r="Q19" s="11">
        <v>10</v>
      </c>
      <c r="R19" s="11"/>
      <c r="S19" s="11"/>
      <c r="T19" s="11"/>
      <c r="U19" s="225">
        <f t="shared" si="0"/>
        <v>10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'27.6'!W20</f>
        <v>100</v>
      </c>
      <c r="E20" s="14">
        <v>50</v>
      </c>
      <c r="F20" s="14"/>
      <c r="G20" s="14"/>
      <c r="H20" s="9"/>
      <c r="I20" s="9"/>
      <c r="J20" s="9"/>
      <c r="K20" s="9"/>
      <c r="L20" s="9">
        <v>5</v>
      </c>
      <c r="M20" s="9"/>
      <c r="N20" s="9">
        <v>8</v>
      </c>
      <c r="O20" s="9"/>
      <c r="P20" s="9"/>
      <c r="Q20" s="9">
        <v>48</v>
      </c>
      <c r="R20" s="9"/>
      <c r="S20" s="9"/>
      <c r="T20" s="9"/>
      <c r="U20" s="225">
        <f t="shared" si="0"/>
        <v>61</v>
      </c>
      <c r="V20" s="9">
        <f t="shared" si="1"/>
        <v>89</v>
      </c>
      <c r="W20" s="9">
        <v>89</v>
      </c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'27.6'!W21</f>
        <v>0</v>
      </c>
      <c r="E21" s="14">
        <v>10</v>
      </c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>
        <v>10</v>
      </c>
      <c r="R21" s="9"/>
      <c r="S21" s="9"/>
      <c r="T21" s="9"/>
      <c r="U21" s="225">
        <f t="shared" si="0"/>
        <v>10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'27.6'!W22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'27.6'!W23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'27.6'!W24</f>
        <v>7</v>
      </c>
      <c r="E24" s="10"/>
      <c r="F24" s="10"/>
      <c r="G24" s="10"/>
      <c r="H24" s="11"/>
      <c r="I24" s="9"/>
      <c r="J24" s="11">
        <v>5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5</v>
      </c>
      <c r="V24" s="9">
        <f t="shared" si="1"/>
        <v>2</v>
      </c>
      <c r="W24" s="9">
        <v>2</v>
      </c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'27.6'!W25</f>
        <v>9</v>
      </c>
      <c r="E25" s="9"/>
      <c r="F25" s="9"/>
      <c r="G25" s="9"/>
      <c r="H25" s="11"/>
      <c r="I25" s="9"/>
      <c r="J25" s="11">
        <v>5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5</v>
      </c>
      <c r="V25" s="9">
        <f t="shared" si="1"/>
        <v>4</v>
      </c>
      <c r="W25" s="9">
        <v>4</v>
      </c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'27.6'!W26</f>
        <v>9</v>
      </c>
      <c r="E26" s="9"/>
      <c r="F26" s="9"/>
      <c r="G26" s="9"/>
      <c r="H26" s="11"/>
      <c r="I26" s="9"/>
      <c r="J26" s="11">
        <v>5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5</v>
      </c>
      <c r="V26" s="9">
        <f t="shared" si="1"/>
        <v>4</v>
      </c>
      <c r="W26" s="9">
        <v>4</v>
      </c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W21" sqref="W21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DATE(2017,6,28)</f>
        <v>42914</v>
      </c>
      <c r="E5" s="293">
        <f>D5+1</f>
        <v>42915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76"/>
      <c r="G6" s="276"/>
      <c r="H6" s="300"/>
      <c r="I6" s="300"/>
      <c r="J6" s="300"/>
      <c r="K6" s="300"/>
      <c r="L6" s="300"/>
      <c r="M6" s="300"/>
      <c r="N6" s="301"/>
      <c r="O6" s="275"/>
      <c r="P6" s="275"/>
      <c r="Q6" s="275"/>
      <c r="R6" s="275"/>
      <c r="S6" s="275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'28.6'!W8</f>
        <v>850</v>
      </c>
      <c r="E8" s="11">
        <v>450</v>
      </c>
      <c r="F8" s="10"/>
      <c r="G8" s="10"/>
      <c r="H8" s="11"/>
      <c r="I8" s="279">
        <v>50</v>
      </c>
      <c r="J8" s="279">
        <v>180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225">
        <f>SUM(F8:T8)</f>
        <v>230</v>
      </c>
      <c r="V8" s="9">
        <f>D8+E8-SUM(F8:T8)</f>
        <v>1070</v>
      </c>
      <c r="W8" s="9">
        <v>1070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'28.6'!W9</f>
        <v>1080</v>
      </c>
      <c r="E9" s="11">
        <v>160</v>
      </c>
      <c r="F9" s="10"/>
      <c r="G9" s="10"/>
      <c r="H9" s="11"/>
      <c r="I9" s="279">
        <v>50</v>
      </c>
      <c r="J9" s="279">
        <v>120</v>
      </c>
      <c r="K9" s="11"/>
      <c r="L9" s="11">
        <v>700</v>
      </c>
      <c r="M9" s="11"/>
      <c r="N9" s="11"/>
      <c r="O9" s="11"/>
      <c r="P9" s="11"/>
      <c r="Q9" s="11"/>
      <c r="R9" s="11"/>
      <c r="S9" s="11"/>
      <c r="T9" s="11"/>
      <c r="U9" s="225">
        <f t="shared" ref="U9:U29" si="0">SUM(F9:T9)</f>
        <v>870</v>
      </c>
      <c r="V9" s="9">
        <f t="shared" ref="V9:V29" si="1">D9+E9-SUM(F9:T9)</f>
        <v>370</v>
      </c>
      <c r="W9" s="9">
        <v>370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'28.6'!W10</f>
        <v>960</v>
      </c>
      <c r="E10" s="11"/>
      <c r="F10" s="14"/>
      <c r="G10" s="14"/>
      <c r="H10" s="11"/>
      <c r="I10" s="279">
        <v>60</v>
      </c>
      <c r="J10" s="279">
        <v>150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225">
        <f t="shared" si="0"/>
        <v>210</v>
      </c>
      <c r="V10" s="9">
        <f t="shared" si="1"/>
        <v>750</v>
      </c>
      <c r="W10" s="9">
        <v>750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'28.6'!W11</f>
        <v>1050</v>
      </c>
      <c r="E11" s="11"/>
      <c r="F11" s="14"/>
      <c r="G11" s="14"/>
      <c r="H11" s="11"/>
      <c r="I11" s="279">
        <v>50</v>
      </c>
      <c r="J11" s="279">
        <v>120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25">
        <f t="shared" si="0"/>
        <v>170</v>
      </c>
      <c r="V11" s="9">
        <f t="shared" si="1"/>
        <v>880</v>
      </c>
      <c r="W11" s="9">
        <v>880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'28.6'!W12</f>
        <v>8</v>
      </c>
      <c r="E12" s="11">
        <v>7</v>
      </c>
      <c r="F12" s="14"/>
      <c r="G12" s="14"/>
      <c r="H12" s="11"/>
      <c r="I12" s="279">
        <v>1</v>
      </c>
      <c r="J12" s="279">
        <v>2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25">
        <f t="shared" si="0"/>
        <v>3</v>
      </c>
      <c r="V12" s="9">
        <f t="shared" si="1"/>
        <v>12</v>
      </c>
      <c r="W12" s="9">
        <v>12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'28.6'!W13</f>
        <v>11304</v>
      </c>
      <c r="E13" s="11"/>
      <c r="F13" s="14"/>
      <c r="G13" s="14"/>
      <c r="H13" s="11">
        <v>200</v>
      </c>
      <c r="I13" s="11">
        <v>200</v>
      </c>
      <c r="J13" s="279">
        <v>800</v>
      </c>
      <c r="K13" s="11">
        <v>300</v>
      </c>
      <c r="L13" s="11">
        <v>200</v>
      </c>
      <c r="M13" s="11">
        <v>100</v>
      </c>
      <c r="N13" s="11">
        <v>400</v>
      </c>
      <c r="O13" s="11">
        <v>800</v>
      </c>
      <c r="P13" s="11"/>
      <c r="Q13" s="11">
        <v>200</v>
      </c>
      <c r="R13" s="11"/>
      <c r="S13" s="11"/>
      <c r="T13" s="11"/>
      <c r="U13" s="225">
        <f t="shared" si="0"/>
        <v>3200</v>
      </c>
      <c r="V13" s="9">
        <f t="shared" si="1"/>
        <v>8104</v>
      </c>
      <c r="W13" s="9">
        <v>8104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'28.6'!W14</f>
        <v>3</v>
      </c>
      <c r="E14" s="11"/>
      <c r="F14" s="14"/>
      <c r="G14" s="14"/>
      <c r="H14" s="11"/>
      <c r="I14" s="11">
        <v>1</v>
      </c>
      <c r="J14" s="279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1</v>
      </c>
      <c r="V14" s="9">
        <f t="shared" si="1"/>
        <v>2</v>
      </c>
      <c r="W14" s="9">
        <v>2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'28.6'!W15</f>
        <v>6</v>
      </c>
      <c r="E15" s="14"/>
      <c r="F15" s="14"/>
      <c r="G15" s="14"/>
      <c r="H15" s="11"/>
      <c r="I15" s="11"/>
      <c r="J15" s="279">
        <v>1</v>
      </c>
      <c r="K15" s="11"/>
      <c r="L15" s="11"/>
      <c r="M15" s="11"/>
      <c r="N15" s="11">
        <v>1</v>
      </c>
      <c r="O15" s="11"/>
      <c r="P15" s="11"/>
      <c r="Q15" s="11"/>
      <c r="R15" s="11"/>
      <c r="S15" s="11"/>
      <c r="T15" s="11"/>
      <c r="U15" s="225">
        <f t="shared" si="0"/>
        <v>2</v>
      </c>
      <c r="V15" s="9">
        <f t="shared" si="1"/>
        <v>4</v>
      </c>
      <c r="W15" s="9">
        <v>4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'28.6'!W16</f>
        <v>8</v>
      </c>
      <c r="E16" s="14"/>
      <c r="F16" s="14"/>
      <c r="G16" s="14"/>
      <c r="H16" s="11"/>
      <c r="I16" s="11">
        <v>1</v>
      </c>
      <c r="J16" s="279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1</v>
      </c>
      <c r="V16" s="9">
        <f t="shared" si="1"/>
        <v>7</v>
      </c>
      <c r="W16" s="9">
        <v>7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'28.6'!W17</f>
        <v>0</v>
      </c>
      <c r="E17" s="14"/>
      <c r="F17" s="14"/>
      <c r="G17" s="14"/>
      <c r="H17" s="11"/>
      <c r="I17" s="11"/>
      <c r="J17" s="279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'28.6'!W18</f>
        <v>10</v>
      </c>
      <c r="E18" s="14"/>
      <c r="F18" s="14"/>
      <c r="G18" s="14"/>
      <c r="H18" s="11"/>
      <c r="I18" s="11"/>
      <c r="J18" s="279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0</v>
      </c>
      <c r="V18" s="9">
        <f t="shared" si="1"/>
        <v>10</v>
      </c>
      <c r="W18" s="9">
        <v>10</v>
      </c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'28.6'!W19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'28.6'!W20</f>
        <v>89</v>
      </c>
      <c r="E20" s="14">
        <v>50</v>
      </c>
      <c r="F20" s="14"/>
      <c r="G20" s="14"/>
      <c r="H20" s="9"/>
      <c r="I20" s="9"/>
      <c r="J20" s="9">
        <v>50</v>
      </c>
      <c r="K20" s="9"/>
      <c r="L20" s="9">
        <v>5</v>
      </c>
      <c r="M20" s="9"/>
      <c r="N20" s="9"/>
      <c r="O20" s="9"/>
      <c r="P20" s="9"/>
      <c r="Q20" s="9"/>
      <c r="R20" s="9"/>
      <c r="S20" s="9"/>
      <c r="T20" s="9"/>
      <c r="U20" s="225">
        <f t="shared" si="0"/>
        <v>55</v>
      </c>
      <c r="V20" s="9">
        <f t="shared" si="1"/>
        <v>84</v>
      </c>
      <c r="W20" s="9">
        <v>84</v>
      </c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'28.6'!W21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'28.6'!W22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'28.6'!W23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'28.6'!W24</f>
        <v>2</v>
      </c>
      <c r="E24" s="10"/>
      <c r="F24" s="10"/>
      <c r="G24" s="10"/>
      <c r="H24" s="11"/>
      <c r="I24" s="9"/>
      <c r="J24" s="11"/>
      <c r="K24" s="9"/>
      <c r="L24" s="9"/>
      <c r="M24" s="9"/>
      <c r="N24" s="9"/>
      <c r="O24" s="9"/>
      <c r="P24" s="9">
        <v>2</v>
      </c>
      <c r="Q24" s="9"/>
      <c r="R24" s="9"/>
      <c r="S24" s="9"/>
      <c r="T24" s="9"/>
      <c r="U24" s="225">
        <f t="shared" si="0"/>
        <v>2</v>
      </c>
      <c r="V24" s="9">
        <f t="shared" si="1"/>
        <v>0</v>
      </c>
      <c r="W24" s="9"/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'28.6'!W25</f>
        <v>4</v>
      </c>
      <c r="E25" s="9"/>
      <c r="F25" s="9"/>
      <c r="G25" s="9"/>
      <c r="H25" s="11"/>
      <c r="I25" s="9"/>
      <c r="J25" s="11"/>
      <c r="K25" s="9"/>
      <c r="L25" s="9"/>
      <c r="M25" s="9"/>
      <c r="N25" s="9"/>
      <c r="O25" s="9"/>
      <c r="P25" s="9">
        <v>2</v>
      </c>
      <c r="Q25" s="9"/>
      <c r="R25" s="9"/>
      <c r="S25" s="9"/>
      <c r="T25" s="9"/>
      <c r="U25" s="225">
        <f t="shared" si="0"/>
        <v>2</v>
      </c>
      <c r="V25" s="9">
        <f t="shared" si="1"/>
        <v>2</v>
      </c>
      <c r="W25" s="9">
        <v>2</v>
      </c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'28.6'!W26</f>
        <v>4</v>
      </c>
      <c r="E26" s="9"/>
      <c r="F26" s="9"/>
      <c r="G26" s="9"/>
      <c r="H26" s="11"/>
      <c r="I26" s="9"/>
      <c r="J26" s="11"/>
      <c r="K26" s="9"/>
      <c r="L26" s="9"/>
      <c r="M26" s="9"/>
      <c r="N26" s="9"/>
      <c r="O26" s="9"/>
      <c r="P26" s="9">
        <v>2</v>
      </c>
      <c r="Q26" s="9"/>
      <c r="R26" s="9"/>
      <c r="S26" s="9"/>
      <c r="T26" s="9"/>
      <c r="U26" s="225">
        <f t="shared" si="0"/>
        <v>2</v>
      </c>
      <c r="V26" s="9">
        <f t="shared" si="1"/>
        <v>2</v>
      </c>
      <c r="W26" s="9">
        <v>2</v>
      </c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G20" sqref="G20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92" t="s">
        <v>1</v>
      </c>
      <c r="B5" s="292"/>
      <c r="C5" s="292"/>
      <c r="D5" s="217">
        <f>DATE(2017,6,29)</f>
        <v>42915</v>
      </c>
      <c r="E5" s="293">
        <f>D5+1</f>
        <v>42916</v>
      </c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t="s">
        <v>57</v>
      </c>
    </row>
    <row r="6" spans="1:25" ht="15.75" customHeight="1">
      <c r="A6" s="295" t="s">
        <v>2</v>
      </c>
      <c r="B6" s="296" t="s">
        <v>3</v>
      </c>
      <c r="C6" s="297" t="s">
        <v>4</v>
      </c>
      <c r="D6" s="289" t="s">
        <v>5</v>
      </c>
      <c r="E6" s="305" t="s">
        <v>6</v>
      </c>
      <c r="F6" s="278"/>
      <c r="G6" s="278"/>
      <c r="H6" s="300"/>
      <c r="I6" s="300"/>
      <c r="J6" s="300"/>
      <c r="K6" s="300"/>
      <c r="L6" s="300"/>
      <c r="M6" s="300"/>
      <c r="N6" s="301"/>
      <c r="O6" s="277"/>
      <c r="P6" s="277"/>
      <c r="Q6" s="277"/>
      <c r="R6" s="277"/>
      <c r="S6" s="277"/>
      <c r="T6" s="240"/>
      <c r="U6" s="307" t="s">
        <v>124</v>
      </c>
      <c r="V6" s="302" t="s">
        <v>8</v>
      </c>
      <c r="W6" s="289" t="s">
        <v>9</v>
      </c>
      <c r="X6" s="289" t="s">
        <v>10</v>
      </c>
    </row>
    <row r="7" spans="1:25" ht="15.75" customHeight="1">
      <c r="A7" s="295"/>
      <c r="B7" s="296"/>
      <c r="C7" s="298"/>
      <c r="D7" s="290"/>
      <c r="E7" s="306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126</v>
      </c>
      <c r="U7" s="308"/>
      <c r="V7" s="302"/>
      <c r="W7" s="290"/>
      <c r="X7" s="290"/>
    </row>
    <row r="8" spans="1:25" ht="18.75">
      <c r="A8" s="6">
        <v>1</v>
      </c>
      <c r="B8" s="7" t="s">
        <v>12</v>
      </c>
      <c r="C8" s="8" t="s">
        <v>13</v>
      </c>
      <c r="D8" s="9">
        <f>'29.6'!W8</f>
        <v>1070</v>
      </c>
      <c r="E8" s="11">
        <v>300</v>
      </c>
      <c r="F8" s="10"/>
      <c r="G8" s="10">
        <v>40</v>
      </c>
      <c r="H8" s="11"/>
      <c r="I8" s="279"/>
      <c r="J8" s="279"/>
      <c r="K8" s="11"/>
      <c r="L8" s="11">
        <v>100</v>
      </c>
      <c r="M8" s="11"/>
      <c r="N8" s="11"/>
      <c r="O8" s="11"/>
      <c r="P8" s="11"/>
      <c r="Q8" s="11"/>
      <c r="R8" s="11"/>
      <c r="S8" s="11"/>
      <c r="T8" s="11"/>
      <c r="U8" s="225">
        <f>SUM(F8:T8)</f>
        <v>140</v>
      </c>
      <c r="V8" s="9">
        <f>D8+E8-SUM(F8:T8)</f>
        <v>1230</v>
      </c>
      <c r="W8" s="9">
        <v>1230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'29.6'!W9</f>
        <v>370</v>
      </c>
      <c r="E9" s="11">
        <v>270</v>
      </c>
      <c r="F9" s="10"/>
      <c r="G9" s="10">
        <v>30</v>
      </c>
      <c r="H9" s="11">
        <v>80</v>
      </c>
      <c r="I9" s="279"/>
      <c r="J9" s="279"/>
      <c r="K9" s="11"/>
      <c r="L9" s="11"/>
      <c r="M9" s="11"/>
      <c r="N9" s="11"/>
      <c r="O9" s="11"/>
      <c r="P9" s="11"/>
      <c r="Q9" s="11"/>
      <c r="R9" s="11"/>
      <c r="S9" s="11"/>
      <c r="T9" s="11"/>
      <c r="U9" s="225">
        <f t="shared" ref="U9:U29" si="0">SUM(F9:T9)</f>
        <v>110</v>
      </c>
      <c r="V9" s="9">
        <f t="shared" ref="V9:V29" si="1">D9+E9-SUM(F9:T9)</f>
        <v>530</v>
      </c>
      <c r="W9" s="9">
        <v>530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'29.6'!W10</f>
        <v>750</v>
      </c>
      <c r="E10" s="11">
        <v>400</v>
      </c>
      <c r="F10" s="14"/>
      <c r="G10" s="14">
        <v>30</v>
      </c>
      <c r="H10" s="11">
        <v>80</v>
      </c>
      <c r="I10" s="279"/>
      <c r="J10" s="279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225">
        <f t="shared" si="0"/>
        <v>110</v>
      </c>
      <c r="V10" s="9">
        <f t="shared" si="1"/>
        <v>1040</v>
      </c>
      <c r="W10" s="9">
        <v>1040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'29.6'!W11</f>
        <v>880</v>
      </c>
      <c r="E11" s="11">
        <v>220</v>
      </c>
      <c r="F11" s="14"/>
      <c r="G11" s="14">
        <v>30</v>
      </c>
      <c r="H11" s="11">
        <v>80</v>
      </c>
      <c r="I11" s="279"/>
      <c r="J11" s="279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25">
        <f t="shared" si="0"/>
        <v>110</v>
      </c>
      <c r="V11" s="9">
        <f t="shared" si="1"/>
        <v>990</v>
      </c>
      <c r="W11" s="9">
        <v>990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'29.6'!W12</f>
        <v>12</v>
      </c>
      <c r="E12" s="11"/>
      <c r="F12" s="14"/>
      <c r="G12" s="14">
        <v>1</v>
      </c>
      <c r="H12" s="11">
        <v>2</v>
      </c>
      <c r="I12" s="279"/>
      <c r="J12" s="279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25">
        <f t="shared" si="0"/>
        <v>3</v>
      </c>
      <c r="V12" s="9">
        <f t="shared" si="1"/>
        <v>9</v>
      </c>
      <c r="W12" s="9">
        <v>9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'29.6'!W13</f>
        <v>8104</v>
      </c>
      <c r="E13" s="11">
        <v>3600</v>
      </c>
      <c r="F13" s="14"/>
      <c r="G13" s="316">
        <v>1500</v>
      </c>
      <c r="H13" s="11">
        <v>200</v>
      </c>
      <c r="I13" s="11">
        <v>200</v>
      </c>
      <c r="J13" s="279">
        <v>800</v>
      </c>
      <c r="K13" s="11">
        <v>200</v>
      </c>
      <c r="L13" s="11">
        <v>200</v>
      </c>
      <c r="M13" s="11">
        <v>100</v>
      </c>
      <c r="N13" s="11">
        <v>400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11"/>
      <c r="U13" s="225">
        <f t="shared" si="0"/>
        <v>5000</v>
      </c>
      <c r="V13" s="9">
        <f t="shared" si="1"/>
        <v>6704</v>
      </c>
      <c r="W13" s="9">
        <v>7204</v>
      </c>
      <c r="X13" s="9">
        <f t="shared" si="2"/>
        <v>500</v>
      </c>
    </row>
    <row r="14" spans="1:25" ht="18.75">
      <c r="A14" s="6">
        <v>11</v>
      </c>
      <c r="B14" s="12" t="s">
        <v>26</v>
      </c>
      <c r="C14" s="6" t="s">
        <v>27</v>
      </c>
      <c r="D14" s="9">
        <f>'29.6'!W14</f>
        <v>2</v>
      </c>
      <c r="E14" s="11"/>
      <c r="F14" s="14"/>
      <c r="G14" s="14">
        <v>1</v>
      </c>
      <c r="H14" s="11"/>
      <c r="I14" s="11"/>
      <c r="J14" s="279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1</v>
      </c>
      <c r="V14" s="9">
        <f t="shared" si="1"/>
        <v>1</v>
      </c>
      <c r="W14" s="9">
        <v>1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'29.6'!W15</f>
        <v>4</v>
      </c>
      <c r="E15" s="14"/>
      <c r="F15" s="14"/>
      <c r="G15" s="14"/>
      <c r="H15" s="11"/>
      <c r="I15" s="11"/>
      <c r="J15" s="279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25">
        <f t="shared" si="0"/>
        <v>0</v>
      </c>
      <c r="V15" s="9">
        <f t="shared" si="1"/>
        <v>4</v>
      </c>
      <c r="W15" s="9">
        <v>4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'29.6'!W16</f>
        <v>7</v>
      </c>
      <c r="E16" s="14"/>
      <c r="F16" s="14"/>
      <c r="G16" s="14"/>
      <c r="H16" s="11"/>
      <c r="I16" s="11"/>
      <c r="J16" s="279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0</v>
      </c>
      <c r="V16" s="9">
        <f t="shared" si="1"/>
        <v>7</v>
      </c>
      <c r="W16" s="9">
        <v>7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'29.6'!W17</f>
        <v>0</v>
      </c>
      <c r="E17" s="14"/>
      <c r="F17" s="14"/>
      <c r="G17" s="14"/>
      <c r="H17" s="11"/>
      <c r="I17" s="11"/>
      <c r="J17" s="279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'29.6'!W18</f>
        <v>10</v>
      </c>
      <c r="E18" s="14"/>
      <c r="F18" s="14"/>
      <c r="G18" s="14"/>
      <c r="H18" s="11"/>
      <c r="I18" s="11"/>
      <c r="J18" s="279"/>
      <c r="K18" s="11"/>
      <c r="L18" s="11"/>
      <c r="M18" s="11"/>
      <c r="N18" s="11"/>
      <c r="O18" s="11"/>
      <c r="P18" s="11"/>
      <c r="Q18" s="11"/>
      <c r="R18" s="11"/>
      <c r="S18" s="11">
        <v>10</v>
      </c>
      <c r="T18" s="11"/>
      <c r="U18" s="225">
        <f t="shared" si="0"/>
        <v>10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'29.6'!W19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'29.6'!W20</f>
        <v>84</v>
      </c>
      <c r="E20" s="14"/>
      <c r="F20" s="14"/>
      <c r="G20" s="14">
        <v>10</v>
      </c>
      <c r="H20" s="9">
        <v>38</v>
      </c>
      <c r="I20" s="9"/>
      <c r="J20" s="9"/>
      <c r="K20" s="9"/>
      <c r="L20" s="9">
        <v>5</v>
      </c>
      <c r="M20" s="9"/>
      <c r="N20" s="9"/>
      <c r="O20" s="9"/>
      <c r="P20" s="9"/>
      <c r="Q20" s="9"/>
      <c r="R20" s="9"/>
      <c r="S20" s="9"/>
      <c r="T20" s="9"/>
      <c r="U20" s="225">
        <f t="shared" si="0"/>
        <v>53</v>
      </c>
      <c r="V20" s="9">
        <f t="shared" si="1"/>
        <v>31</v>
      </c>
      <c r="W20" s="9">
        <v>31</v>
      </c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'29.6'!W21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'29.6'!W22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'29.6'!W23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'29.6'!W24</f>
        <v>0</v>
      </c>
      <c r="E24" s="10"/>
      <c r="F24" s="10"/>
      <c r="G24" s="10"/>
      <c r="H24" s="11"/>
      <c r="I24" s="9"/>
      <c r="J24" s="11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0</v>
      </c>
      <c r="W24" s="9"/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'29.6'!W25</f>
        <v>2</v>
      </c>
      <c r="E25" s="9"/>
      <c r="F25" s="9"/>
      <c r="G25" s="9"/>
      <c r="H25" s="11"/>
      <c r="I25" s="9"/>
      <c r="J25" s="11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2</v>
      </c>
      <c r="W25" s="9">
        <v>2</v>
      </c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'29.6'!W26</f>
        <v>2</v>
      </c>
      <c r="E26" s="9"/>
      <c r="F26" s="9"/>
      <c r="G26" s="9"/>
      <c r="H26" s="11"/>
      <c r="I26" s="9"/>
      <c r="J26" s="11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2</v>
      </c>
      <c r="W26" s="9">
        <v>2</v>
      </c>
      <c r="X26" s="9">
        <f>W26-V26</f>
        <v>0</v>
      </c>
    </row>
    <row r="27" spans="1:24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B1" zoomScaleNormal="100" zoomScaleSheetLayoutView="100" workbookViewId="0">
      <pane xSplit="3" ySplit="7" topLeftCell="E8" activePane="bottomRight" state="frozen"/>
      <selection activeCell="V17" sqref="V17"/>
      <selection pane="topRight" activeCell="V17" sqref="V17"/>
      <selection pane="bottomLeft" activeCell="V17" sqref="V17"/>
      <selection pane="bottomRight" activeCell="T13" sqref="T13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6" width="11.42578125" customWidth="1"/>
    <col min="7" max="8" width="10.140625" customWidth="1"/>
    <col min="9" max="9" width="9.28515625" customWidth="1"/>
    <col min="10" max="12" width="11.28515625" customWidth="1"/>
    <col min="13" max="16" width="11.5703125" customWidth="1"/>
    <col min="17" max="17" width="9.7109375" customWidth="1"/>
    <col min="18" max="18" width="9.5703125" customWidth="1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</row>
    <row r="3" spans="1:19" ht="20.25">
      <c r="A3" s="1"/>
      <c r="B3" s="1"/>
      <c r="C3" s="1"/>
      <c r="D3" s="1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9" ht="18.75">
      <c r="A5" s="292" t="s">
        <v>1</v>
      </c>
      <c r="B5" s="292"/>
      <c r="C5" s="292"/>
      <c r="D5" s="217"/>
      <c r="E5" s="293"/>
      <c r="F5" s="293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11" t="s">
        <v>57</v>
      </c>
    </row>
    <row r="6" spans="1:19" ht="15.75" customHeight="1">
      <c r="A6" s="295" t="s">
        <v>2</v>
      </c>
      <c r="B6" s="296" t="s">
        <v>3</v>
      </c>
      <c r="C6" s="297" t="s">
        <v>4</v>
      </c>
      <c r="D6" s="289" t="s">
        <v>125</v>
      </c>
      <c r="E6" s="235"/>
      <c r="F6" s="235"/>
      <c r="G6" s="300"/>
      <c r="H6" s="300"/>
      <c r="I6" s="300"/>
      <c r="J6" s="300"/>
      <c r="K6" s="300"/>
      <c r="L6" s="300"/>
      <c r="M6" s="301"/>
      <c r="N6" s="234"/>
      <c r="O6" s="234"/>
      <c r="P6" s="234"/>
      <c r="Q6" s="234"/>
      <c r="R6" s="236"/>
      <c r="S6" s="237"/>
    </row>
    <row r="7" spans="1:19" ht="15.75" customHeight="1">
      <c r="A7" s="295"/>
      <c r="B7" s="296"/>
      <c r="C7" s="298"/>
      <c r="D7" s="290"/>
      <c r="E7" s="224" t="s">
        <v>43</v>
      </c>
      <c r="F7" s="224" t="s">
        <v>119</v>
      </c>
      <c r="G7" s="5" t="s">
        <v>38</v>
      </c>
      <c r="H7" s="5" t="s">
        <v>44</v>
      </c>
      <c r="I7" s="5" t="s">
        <v>116</v>
      </c>
      <c r="J7" s="5" t="s">
        <v>117</v>
      </c>
      <c r="K7" s="5" t="s">
        <v>39</v>
      </c>
      <c r="L7" s="5" t="s">
        <v>118</v>
      </c>
      <c r="M7" s="5" t="s">
        <v>42</v>
      </c>
      <c r="N7" s="5" t="s">
        <v>114</v>
      </c>
      <c r="O7" s="5" t="s">
        <v>46</v>
      </c>
      <c r="P7" s="5" t="s">
        <v>52</v>
      </c>
      <c r="Q7" s="5" t="s">
        <v>120</v>
      </c>
      <c r="R7" s="238" t="s">
        <v>78</v>
      </c>
      <c r="S7" s="239" t="s">
        <v>126</v>
      </c>
    </row>
    <row r="8" spans="1:19" ht="18.75">
      <c r="A8" s="6">
        <v>1</v>
      </c>
      <c r="B8" s="7" t="s">
        <v>12</v>
      </c>
      <c r="C8" s="8" t="s">
        <v>13</v>
      </c>
      <c r="D8" s="9">
        <f>SUM(E8:R8)</f>
        <v>7346</v>
      </c>
      <c r="E8" s="233">
        <f>'1.6'!F8+'2.6'!F8+'3.6'!F8+'4.6'!F8+'5.6'!F8+'6.6'!F8+'7.6'!F8+'8.6'!F8+'9.6'!F8+'10.6'!F8+'11.6'!F8+'12.6'!F8+'13.6'!F8+'14.6'!F8+'15.6'!F8+'16.6'!F8+'17.6'!F8+'18.6'!F8+'19.6'!F8+'20.6'!F8+'21.6'!F8+'22.6'!F8+'23.6'!F8+'24.6'!F8+'25.6'!F8+'26.6'!F8+'27.6'!F8+'28.6'!F8+'29.6'!F8+'30.6'!F8</f>
        <v>500</v>
      </c>
      <c r="F8" s="233">
        <f>'1.6'!G8+'2.6'!G8+'3.6'!G8+'4.6'!G8+'5.6'!G8+'6.6'!G8+'7.6'!G8+'8.6'!G8+'9.6'!G8+'10.6'!G8+'11.6'!G8+'12.6'!G8+'13.6'!G8+'14.6'!G8+'15.6'!G8+'16.6'!G8+'17.6'!G8+'18.6'!G8+'19.6'!G8+'20.6'!G8+'21.6'!G8+'22.6'!G8+'23.6'!G8+'24.6'!G8+'25.6'!G8+'26.6'!G8+'27.6'!G8+'28.6'!G8+'29.6'!G8+'30.6'!G8</f>
        <v>160</v>
      </c>
      <c r="G8" s="233">
        <f>'1.6'!H8+'2.6'!H8+'3.6'!H8+'4.6'!H8+'5.6'!H8+'6.6'!H8+'7.6'!H8+'8.6'!H8+'9.6'!H8+'10.6'!H8+'11.6'!H8+'12.6'!H8+'13.6'!H8+'14.6'!H8+'15.6'!H8+'16.6'!H8+'17.6'!H8+'18.6'!H8+'19.6'!H8+'20.6'!H8+'21.6'!H8+'22.6'!H8+'23.6'!H8+'24.6'!H8+'25.6'!H8+'26.6'!H8+'27.6'!H8+'28.6'!H8+'29.6'!H8+'30.6'!H8</f>
        <v>290</v>
      </c>
      <c r="H8" s="233">
        <f>'1.6'!I8+'2.6'!I8+'3.6'!I8+'4.6'!I8+'5.6'!I8+'6.6'!I8+'7.6'!I8+'8.6'!I8+'9.6'!I8+'10.6'!I8+'11.6'!I8+'12.6'!I8+'13.6'!I8+'14.6'!I8+'15.6'!I8+'16.6'!I8+'17.6'!I8+'18.6'!I8+'19.6'!I8+'20.6'!I8+'21.6'!I8+'22.6'!I8+'23.6'!I8+'24.6'!I8+'25.6'!I8+'26.6'!I8+'27.6'!I8+'28.6'!I8+'29.6'!I8+'30.6'!I8</f>
        <v>220</v>
      </c>
      <c r="I8" s="233">
        <f>'1.6'!J8+'2.6'!J8+'3.6'!J8+'4.6'!J8+'5.6'!J8+'6.6'!J8+'7.6'!J8+'8.6'!J8+'9.6'!J8+'10.6'!J8+'11.6'!J8+'12.6'!J8+'13.6'!J8+'14.6'!J8+'15.6'!J8+'16.6'!J8+'17.6'!J8+'18.6'!J8+'19.6'!J8+'20.6'!J8+'21.6'!J8+'22.6'!J8+'23.6'!J8+'24.6'!J8+'25.6'!J8+'26.6'!J8+'27.6'!J8+'28.6'!J8+'29.6'!J8+'30.6'!J8</f>
        <v>740</v>
      </c>
      <c r="J8" s="233">
        <f>'1.6'!K8+'2.6'!K8+'3.6'!K8+'4.6'!K8+'5.6'!K8+'6.6'!K8+'7.6'!K8+'8.6'!K8+'9.6'!K8+'10.6'!K8+'11.6'!K8+'12.6'!K8+'13.6'!K8+'14.6'!K8+'15.6'!K8+'16.6'!K8+'17.6'!K8+'18.6'!K8+'19.6'!K8+'20.6'!K8+'21.6'!K8+'22.6'!K8+'23.6'!K8+'24.6'!K8+'25.6'!K8+'26.6'!K8+'27.6'!K8+'28.6'!K8+'29.6'!K8+'30.6'!K8</f>
        <v>380</v>
      </c>
      <c r="K8" s="233">
        <f>'1.6'!L8+'2.6'!L8+'3.6'!L8+'4.6'!L8+'5.6'!L8+'6.6'!L8+'7.6'!L8+'8.6'!L8+'9.6'!L8+'10.6'!L8+'11.6'!L8+'12.6'!L8+'13.6'!L8+'14.6'!L8+'15.6'!L8+'16.6'!L8+'17.6'!L8+'18.6'!L8+'19.6'!L8+'20.6'!L8+'21.6'!L8+'22.6'!L8+'23.6'!L8+'24.6'!L8+'25.6'!L8+'26.6'!L8+'27.6'!L8+'28.6'!L8+'29.6'!L8+'30.6'!L8</f>
        <v>2516</v>
      </c>
      <c r="L8" s="233">
        <f>'1.6'!M8+'2.6'!M8+'3.6'!M8+'4.6'!M8+'5.6'!M8+'6.6'!M8+'7.6'!M8+'8.6'!M8+'9.6'!M8+'10.6'!M8+'11.6'!M8+'12.6'!M8+'13.6'!M8+'14.6'!M8+'15.6'!M8+'16.6'!M8+'17.6'!M8+'18.6'!M8+'19.6'!M8+'20.6'!M8+'21.6'!M8+'22.6'!M8+'23.6'!M8+'24.6'!M8+'25.6'!M8+'26.6'!M8+'27.6'!M8+'28.6'!M8+'29.6'!M8+'30.6'!M8</f>
        <v>0</v>
      </c>
      <c r="M8" s="233">
        <f>'1.6'!N8+'2.6'!N8+'3.6'!N8+'4.6'!N8+'5.6'!N8+'6.6'!N8+'7.6'!N8+'8.6'!N8+'9.6'!N8+'10.6'!N8+'11.6'!N8+'12.6'!N8+'13.6'!N8+'14.6'!N8+'15.6'!N8+'16.6'!N8+'17.6'!N8+'18.6'!N8+'19.6'!N8+'20.6'!N8+'21.6'!N8+'22.6'!N8+'23.6'!N8+'24.6'!N8+'25.6'!N8+'26.6'!N8+'27.6'!N8+'28.6'!N8+'29.6'!N8+'30.6'!N8</f>
        <v>540</v>
      </c>
      <c r="N8" s="233">
        <f>'1.6'!O8+'2.6'!O8+'3.6'!O8+'4.6'!O8+'5.6'!O8+'6.6'!O8+'7.6'!O8+'8.6'!O8+'9.6'!O8+'10.6'!O8+'11.6'!O8+'12.6'!O8+'13.6'!O8+'14.6'!O8+'15.6'!O8+'16.6'!O8+'17.6'!O8+'18.6'!O8+'19.6'!O8+'20.6'!O8+'21.6'!O8+'22.6'!O8+'23.6'!O8+'24.6'!O8+'25.6'!O8+'26.6'!O8+'27.6'!O8+'28.6'!O8+'29.6'!O8+'30.6'!O8</f>
        <v>770</v>
      </c>
      <c r="O8" s="233">
        <f>'1.6'!P8+'2.6'!P8+'3.6'!P8+'4.6'!P8+'5.6'!P8+'6.6'!P8+'7.6'!P8+'8.6'!P8+'9.6'!P8+'10.6'!P8+'11.6'!P8+'12.6'!P8+'13.6'!P8+'14.6'!P8+'15.6'!P8+'16.6'!P8+'17.6'!P8+'18.6'!P8+'19.6'!P8+'20.6'!P8+'21.6'!P8+'22.6'!P8+'23.6'!P8+'24.6'!P8+'25.6'!P8+'26.6'!P8+'27.6'!P8+'28.6'!P8+'29.6'!P8+'30.6'!P8</f>
        <v>240</v>
      </c>
      <c r="P8" s="233">
        <f>'1.6'!Q8+'2.6'!Q8+'3.6'!Q8+'4.6'!Q8+'5.6'!Q8+'6.6'!Q8+'7.6'!Q8+'8.6'!Q8+'9.6'!Q8+'10.6'!Q8+'11.6'!Q8+'12.6'!Q8+'13.6'!Q8+'14.6'!Q8+'15.6'!Q8+'16.6'!Q8+'17.6'!Q8+'18.6'!Q8+'19.6'!Q8+'20.6'!Q8+'21.6'!Q8+'22.6'!Q8+'23.6'!Q8+'24.6'!Q8+'25.6'!Q8+'26.6'!Q8+'27.6'!Q8+'28.6'!Q8+'29.6'!Q8+'30.6'!Q8</f>
        <v>720</v>
      </c>
      <c r="Q8" s="233">
        <f>'1.6'!R8+'2.6'!R8+'3.6'!R8+'4.6'!R8+'5.6'!R8+'6.6'!R8+'7.6'!R8+'8.6'!R8+'9.6'!R8+'10.6'!R8+'11.6'!R8+'12.6'!R8+'13.6'!R8+'14.6'!R8+'15.6'!R8+'16.6'!R8+'17.6'!R8+'18.6'!R8+'19.6'!R8+'20.6'!R8+'21.6'!R8+'22.6'!R8+'23.6'!R8+'24.6'!R8+'25.6'!R8+'26.6'!R8+'27.6'!R8+'28.6'!R8+'29.6'!R8+'30.6'!R8</f>
        <v>0</v>
      </c>
      <c r="R8" s="233">
        <f>'1.6'!S8+'2.6'!S8+'3.6'!S8+'4.6'!S8+'5.6'!S8+'6.6'!S8+'7.6'!S8+'8.6'!S8+'9.6'!S8+'10.6'!S8+'11.6'!S8+'12.6'!S8+'13.6'!S8+'14.6'!S8+'15.6'!S8+'16.6'!S8+'17.6'!S8+'18.6'!S8+'19.6'!S8+'20.6'!S8+'21.6'!S8+'22.6'!S8+'23.6'!S8+'24.6'!S8+'25.6'!S8+'26.6'!S8+'27.6'!S8+'28.6'!S8+'29.6'!S8+'30.6'!S8</f>
        <v>270</v>
      </c>
      <c r="S8" s="233">
        <f>'1.6'!T8+'2.6'!T8+'3.6'!T8+'4.6'!T8+'5.6'!T8+'6.6'!T8+'7.6'!T8+'8.6'!T8+'9.6'!T8+'10.6'!T8+'11.6'!T8+'12.6'!T8+'13.6'!T8+'14.6'!T8+'15.6'!T8+'16.6'!T8+'17.6'!T8+'18.6'!T8+'19.6'!T8+'20.6'!T8+'21.6'!T8+'22.6'!T8+'23.6'!T8+'24.6'!T8+'25.6'!T8+'26.6'!T8+'27.6'!T8+'28.6'!T8+'29.6'!T8+'30.6'!T8</f>
        <v>140</v>
      </c>
    </row>
    <row r="9" spans="1:19" ht="18.75">
      <c r="A9" s="6">
        <v>3</v>
      </c>
      <c r="B9" s="12" t="s">
        <v>15</v>
      </c>
      <c r="C9" s="8" t="s">
        <v>13</v>
      </c>
      <c r="D9" s="9">
        <f t="shared" ref="D9:D22" si="0">SUM(E9:R9)</f>
        <v>4250</v>
      </c>
      <c r="E9" s="233">
        <f>'1.6'!F9+'2.6'!F9+'3.6'!F9+'4.6'!F9+'5.6'!F9+'6.6'!F9+'7.6'!F9+'8.6'!F9+'9.6'!F9+'10.6'!F9+'11.6'!F9+'12.6'!F9+'13.6'!F9+'14.6'!F9+'15.6'!F9+'16.6'!F9+'17.6'!F9+'18.6'!F9+'19.6'!F9+'20.6'!F9+'21.6'!F9+'22.6'!F9+'23.6'!F9+'24.6'!F9+'25.6'!F9+'26.6'!F9+'27.6'!F9+'28.6'!F9+'29.6'!F9+'30.6'!F9</f>
        <v>360</v>
      </c>
      <c r="F9" s="233">
        <f>'1.6'!G9+'2.6'!G9+'3.6'!G9+'4.6'!G9+'5.6'!G9+'6.6'!G9+'7.6'!G9+'8.6'!G9+'9.6'!G9+'10.6'!G9+'11.6'!G9+'12.6'!G9+'13.6'!G9+'14.6'!G9+'15.6'!G9+'16.6'!G9+'17.6'!G9+'18.6'!G9+'19.6'!G9+'20.6'!G9+'21.6'!G9+'22.6'!G9+'23.6'!G9+'24.6'!G9+'25.6'!G9+'26.6'!G9+'27.6'!G9+'28.6'!G9+'29.6'!G9+'30.6'!G9</f>
        <v>160</v>
      </c>
      <c r="G9" s="233">
        <f>'1.6'!H9+'2.6'!H9+'3.6'!H9+'4.6'!H9+'5.6'!H9+'6.6'!H9+'7.6'!H9+'8.6'!H9+'9.6'!H9+'10.6'!H9+'11.6'!H9+'12.6'!H9+'13.6'!H9+'14.6'!H9+'15.6'!H9+'16.6'!H9+'17.6'!H9+'18.6'!H9+'19.6'!H9+'20.6'!H9+'21.6'!H9+'22.6'!H9+'23.6'!H9+'24.6'!H9+'25.6'!H9+'26.6'!H9+'27.6'!H9+'28.6'!H9+'29.6'!H9+'30.6'!H9</f>
        <v>310</v>
      </c>
      <c r="H9" s="233">
        <f>'1.6'!I9+'2.6'!I9+'3.6'!I9+'4.6'!I9+'5.6'!I9+'6.6'!I9+'7.6'!I9+'8.6'!I9+'9.6'!I9+'10.6'!I9+'11.6'!I9+'12.6'!I9+'13.6'!I9+'14.6'!I9+'15.6'!I9+'16.6'!I9+'17.6'!I9+'18.6'!I9+'19.6'!I9+'20.6'!I9+'21.6'!I9+'22.6'!I9+'23.6'!I9+'24.6'!I9+'25.6'!I9+'26.6'!I9+'27.6'!I9+'28.6'!I9+'29.6'!I9+'30.6'!I9</f>
        <v>200</v>
      </c>
      <c r="I9" s="233">
        <f>'1.6'!J9+'2.6'!J9+'3.6'!J9+'4.6'!J9+'5.6'!J9+'6.6'!J9+'7.6'!J9+'8.6'!J9+'9.6'!J9+'10.6'!J9+'11.6'!J9+'12.6'!J9+'13.6'!J9+'14.6'!J9+'15.6'!J9+'16.6'!J9+'17.6'!J9+'18.6'!J9+'19.6'!J9+'20.6'!J9+'21.6'!J9+'22.6'!J9+'23.6'!J9+'24.6'!J9+'25.6'!J9+'26.6'!J9+'27.6'!J9+'28.6'!J9+'29.6'!J9+'30.6'!J9</f>
        <v>390</v>
      </c>
      <c r="J9" s="233">
        <f>'1.6'!K9+'2.6'!K9+'3.6'!K9+'4.6'!K9+'5.6'!K9+'6.6'!K9+'7.6'!K9+'8.6'!K9+'9.6'!K9+'10.6'!K9+'11.6'!K9+'12.6'!K9+'13.6'!K9+'14.6'!K9+'15.6'!K9+'16.6'!K9+'17.6'!K9+'18.6'!K9+'19.6'!K9+'20.6'!K9+'21.6'!K9+'22.6'!K9+'23.6'!K9+'24.6'!K9+'25.6'!K9+'26.6'!K9+'27.6'!K9+'28.6'!K9+'29.6'!K9+'30.6'!K9</f>
        <v>200</v>
      </c>
      <c r="K9" s="233">
        <f>'1.6'!L9+'2.6'!L9+'3.6'!L9+'4.6'!L9+'5.6'!L9+'6.6'!L9+'7.6'!L9+'8.6'!L9+'9.6'!L9+'10.6'!L9+'11.6'!L9+'12.6'!L9+'13.6'!L9+'14.6'!L9+'15.6'!L9+'16.6'!L9+'17.6'!L9+'18.6'!L9+'19.6'!L9+'20.6'!L9+'21.6'!L9+'22.6'!L9+'23.6'!L9+'24.6'!L9+'25.6'!L9+'26.6'!L9+'27.6'!L9+'28.6'!L9+'29.6'!L9+'30.6'!L9</f>
        <v>900</v>
      </c>
      <c r="L9" s="233">
        <f>'1.6'!M9+'2.6'!M9+'3.6'!M9+'4.6'!M9+'5.6'!M9+'6.6'!M9+'7.6'!M9+'8.6'!M9+'9.6'!M9+'10.6'!M9+'11.6'!M9+'12.6'!M9+'13.6'!M9+'14.6'!M9+'15.6'!M9+'16.6'!M9+'17.6'!M9+'18.6'!M9+'19.6'!M9+'20.6'!M9+'21.6'!M9+'22.6'!M9+'23.6'!M9+'24.6'!M9+'25.6'!M9+'26.6'!M9+'27.6'!M9+'28.6'!M9+'29.6'!M9+'30.6'!M9</f>
        <v>0</v>
      </c>
      <c r="M9" s="233">
        <f>'1.6'!N9+'2.6'!N9+'3.6'!N9+'4.6'!N9+'5.6'!N9+'6.6'!N9+'7.6'!N9+'8.6'!N9+'9.6'!N9+'10.6'!N9+'11.6'!N9+'12.6'!N9+'13.6'!N9+'14.6'!N9+'15.6'!N9+'16.6'!N9+'17.6'!N9+'18.6'!N9+'19.6'!N9+'20.6'!N9+'21.6'!N9+'22.6'!N9+'23.6'!N9+'24.6'!N9+'25.6'!N9+'26.6'!N9+'27.6'!N9+'28.6'!N9+'29.6'!N9+'30.6'!N9</f>
        <v>300</v>
      </c>
      <c r="N9" s="233">
        <f>'1.6'!O9+'2.6'!O9+'3.6'!O9+'4.6'!O9+'5.6'!O9+'6.6'!O9+'7.6'!O9+'8.6'!O9+'9.6'!O9+'10.6'!O9+'11.6'!O9+'12.6'!O9+'13.6'!O9+'14.6'!O9+'15.6'!O9+'16.6'!O9+'17.6'!O9+'18.6'!O9+'19.6'!O9+'20.6'!O9+'21.6'!O9+'22.6'!O9+'23.6'!O9+'24.6'!O9+'25.6'!O9+'26.6'!O9+'27.6'!O9+'28.6'!O9+'29.6'!O9+'30.6'!O9</f>
        <v>480</v>
      </c>
      <c r="O9" s="233">
        <f>'1.6'!P9+'2.6'!P9+'3.6'!P9+'4.6'!P9+'5.6'!P9+'6.6'!P9+'7.6'!P9+'8.6'!P9+'9.6'!P9+'10.6'!P9+'11.6'!P9+'12.6'!P9+'13.6'!P9+'14.6'!P9+'15.6'!P9+'16.6'!P9+'17.6'!P9+'18.6'!P9+'19.6'!P9+'20.6'!P9+'21.6'!P9+'22.6'!P9+'23.6'!P9+'24.6'!P9+'25.6'!P9+'26.6'!P9+'27.6'!P9+'28.6'!P9+'29.6'!P9+'30.6'!P9</f>
        <v>240</v>
      </c>
      <c r="P9" s="233">
        <f>'1.6'!Q9+'2.6'!Q9+'3.6'!Q9+'4.6'!Q9+'5.6'!Q9+'6.6'!Q9+'7.6'!Q9+'8.6'!Q9+'9.6'!Q9+'10.6'!Q9+'11.6'!Q9+'12.6'!Q9+'13.6'!Q9+'14.6'!Q9+'15.6'!Q9+'16.6'!Q9+'17.6'!Q9+'18.6'!Q9+'19.6'!Q9+'20.6'!Q9+'21.6'!Q9+'22.6'!Q9+'23.6'!Q9+'24.6'!Q9+'25.6'!Q9+'26.6'!Q9+'27.6'!Q9+'28.6'!Q9+'29.6'!Q9+'30.6'!Q9</f>
        <v>480</v>
      </c>
      <c r="Q9" s="233">
        <f>'1.6'!R9+'2.6'!R9+'3.6'!R9+'4.6'!R9+'5.6'!R9+'6.6'!R9+'7.6'!R9+'8.6'!R9+'9.6'!R9+'10.6'!R9+'11.6'!R9+'12.6'!R9+'13.6'!R9+'14.6'!R9+'15.6'!R9+'16.6'!R9+'17.6'!R9+'18.6'!R9+'19.6'!R9+'20.6'!R9+'21.6'!R9+'22.6'!R9+'23.6'!R9+'24.6'!R9+'25.6'!R9+'26.6'!R9+'27.6'!R9+'28.6'!R9+'29.6'!R9+'30.6'!R9</f>
        <v>0</v>
      </c>
      <c r="R9" s="233">
        <f>'1.6'!S9+'2.6'!S9+'3.6'!S9+'4.6'!S9+'5.6'!S9+'6.6'!S9+'7.6'!S9+'8.6'!S9+'9.6'!S9+'10.6'!S9+'11.6'!S9+'12.6'!S9+'13.6'!S9+'14.6'!S9+'15.6'!S9+'16.6'!S9+'17.6'!S9+'18.6'!S9+'19.6'!S9+'20.6'!S9+'21.6'!S9+'22.6'!S9+'23.6'!S9+'24.6'!S9+'25.6'!S9+'26.6'!S9+'27.6'!S9+'28.6'!S9+'29.6'!S9+'30.6'!S9</f>
        <v>230</v>
      </c>
      <c r="S9" s="233">
        <f>'1.6'!T9+'2.6'!T9+'3.6'!T9+'4.6'!T9+'5.6'!T9+'6.6'!T9+'7.6'!T9+'8.6'!T9+'9.6'!T9+'10.6'!T9+'11.6'!T9+'12.6'!T9+'13.6'!T9+'14.6'!T9+'15.6'!T9+'16.6'!T9+'17.6'!T9+'18.6'!T9+'19.6'!T9+'20.6'!T9+'21.6'!T9+'22.6'!T9+'23.6'!T9+'24.6'!T9+'25.6'!T9+'26.6'!T9+'27.6'!T9+'28.6'!T9+'29.6'!T9+'30.6'!T9</f>
        <v>160</v>
      </c>
    </row>
    <row r="10" spans="1:19" ht="18.75">
      <c r="A10" s="6">
        <v>5</v>
      </c>
      <c r="B10" s="15" t="s">
        <v>18</v>
      </c>
      <c r="C10" s="6" t="s">
        <v>17</v>
      </c>
      <c r="D10" s="9">
        <f t="shared" si="0"/>
        <v>3740</v>
      </c>
      <c r="E10" s="233">
        <f>'1.6'!F10+'2.6'!F10+'3.6'!F10+'4.6'!F10+'5.6'!F10+'6.6'!F10+'7.6'!F10+'8.6'!F10+'9.6'!F10+'10.6'!F10+'11.6'!F10+'12.6'!F10+'13.6'!F10+'14.6'!F10+'15.6'!F10+'16.6'!F10+'17.6'!F10+'18.6'!F10+'19.6'!F10+'20.6'!F10+'21.6'!F10+'22.6'!F10+'23.6'!F10+'24.6'!F10+'25.6'!F10+'26.6'!F10+'27.6'!F10+'28.6'!F10+'29.6'!F10+'30.6'!F10</f>
        <v>380</v>
      </c>
      <c r="F10" s="233">
        <f>'1.6'!G10+'2.6'!G10+'3.6'!G10+'4.6'!G10+'5.6'!G10+'6.6'!G10+'7.6'!G10+'8.6'!G10+'9.6'!G10+'10.6'!G10+'11.6'!G10+'12.6'!G10+'13.6'!G10+'14.6'!G10+'15.6'!G10+'16.6'!G10+'17.6'!G10+'18.6'!G10+'19.6'!G10+'20.6'!G10+'21.6'!G10+'22.6'!G10+'23.6'!G10+'24.6'!G10+'25.6'!G10+'26.6'!G10+'27.6'!G10+'28.6'!G10+'29.6'!G10+'30.6'!G10</f>
        <v>140</v>
      </c>
      <c r="G10" s="233">
        <f>'1.6'!H10+'2.6'!H10+'3.6'!H10+'4.6'!H10+'5.6'!H10+'6.6'!H10+'7.6'!H10+'8.6'!H10+'9.6'!H10+'10.6'!H10+'11.6'!H10+'12.6'!H10+'13.6'!H10+'14.6'!H10+'15.6'!H10+'16.6'!H10+'17.6'!H10+'18.6'!H10+'19.6'!H10+'20.6'!H10+'21.6'!H10+'22.6'!H10+'23.6'!H10+'24.6'!H10+'25.6'!H10+'26.6'!H10+'27.6'!H10+'28.6'!H10+'29.6'!H10+'30.6'!H10</f>
        <v>360</v>
      </c>
      <c r="H10" s="233">
        <f>'1.6'!I10+'2.6'!I10+'3.6'!I10+'4.6'!I10+'5.6'!I10+'6.6'!I10+'7.6'!I10+'8.6'!I10+'9.6'!I10+'10.6'!I10+'11.6'!I10+'12.6'!I10+'13.6'!I10+'14.6'!I10+'15.6'!I10+'16.6'!I10+'17.6'!I10+'18.6'!I10+'19.6'!I10+'20.6'!I10+'21.6'!I10+'22.6'!I10+'23.6'!I10+'24.6'!I10+'25.6'!I10+'26.6'!I10+'27.6'!I10+'28.6'!I10+'29.6'!I10+'30.6'!I10</f>
        <v>260</v>
      </c>
      <c r="I10" s="233">
        <f>'1.6'!J10+'2.6'!J10+'3.6'!J10+'4.6'!J10+'5.6'!J10+'6.6'!J10+'7.6'!J10+'8.6'!J10+'9.6'!J10+'10.6'!J10+'11.6'!J10+'12.6'!J10+'13.6'!J10+'14.6'!J10+'15.6'!J10+'16.6'!J10+'17.6'!J10+'18.6'!J10+'19.6'!J10+'20.6'!J10+'21.6'!J10+'22.6'!J10+'23.6'!J10+'24.6'!J10+'25.6'!J10+'26.6'!J10+'27.6'!J10+'28.6'!J10+'29.6'!J10+'30.6'!J10</f>
        <v>550</v>
      </c>
      <c r="J10" s="233">
        <f>'1.6'!K10+'2.6'!K10+'3.6'!K10+'4.6'!K10+'5.6'!K10+'6.6'!K10+'7.6'!K10+'8.6'!K10+'9.6'!K10+'10.6'!K10+'11.6'!K10+'12.6'!K10+'13.6'!K10+'14.6'!K10+'15.6'!K10+'16.6'!K10+'17.6'!K10+'18.6'!K10+'19.6'!K10+'20.6'!K10+'21.6'!K10+'22.6'!K10+'23.6'!K10+'24.6'!K10+'25.6'!K10+'26.6'!K10+'27.6'!K10+'28.6'!K10+'29.6'!K10+'30.6'!K10</f>
        <v>310</v>
      </c>
      <c r="K10" s="233">
        <f>'1.6'!L10+'2.6'!L10+'3.6'!L10+'4.6'!L10+'5.6'!L10+'6.6'!L10+'7.6'!L10+'8.6'!L10+'9.6'!L10+'10.6'!L10+'11.6'!L10+'12.6'!L10+'13.6'!L10+'14.6'!L10+'15.6'!L10+'16.6'!L10+'17.6'!L10+'18.6'!L10+'19.6'!L10+'20.6'!L10+'21.6'!L10+'22.6'!L10+'23.6'!L10+'24.6'!L10+'25.6'!L10+'26.6'!L10+'27.6'!L10+'28.6'!L10+'29.6'!L10+'30.6'!L10</f>
        <v>200</v>
      </c>
      <c r="L10" s="233">
        <f>'1.6'!M10+'2.6'!M10+'3.6'!M10+'4.6'!M10+'5.6'!M10+'6.6'!M10+'7.6'!M10+'8.6'!M10+'9.6'!M10+'10.6'!M10+'11.6'!M10+'12.6'!M10+'13.6'!M10+'14.6'!M10+'15.6'!M10+'16.6'!M10+'17.6'!M10+'18.6'!M10+'19.6'!M10+'20.6'!M10+'21.6'!M10+'22.6'!M10+'23.6'!M10+'24.6'!M10+'25.6'!M10+'26.6'!M10+'27.6'!M10+'28.6'!M10+'29.6'!M10+'30.6'!M10</f>
        <v>0</v>
      </c>
      <c r="M10" s="233">
        <f>'1.6'!N10+'2.6'!N10+'3.6'!N10+'4.6'!N10+'5.6'!N10+'6.6'!N10+'7.6'!N10+'8.6'!N10+'9.6'!N10+'10.6'!N10+'11.6'!N10+'12.6'!N10+'13.6'!N10+'14.6'!N10+'15.6'!N10+'16.6'!N10+'17.6'!N10+'18.6'!N10+'19.6'!N10+'20.6'!N10+'21.6'!N10+'22.6'!N10+'23.6'!N10+'24.6'!N10+'25.6'!N10+'26.6'!N10+'27.6'!N10+'28.6'!N10+'29.6'!N10+'30.6'!N10</f>
        <v>280</v>
      </c>
      <c r="N10" s="233">
        <f>'1.6'!O10+'2.6'!O10+'3.6'!O10+'4.6'!O10+'5.6'!O10+'6.6'!O10+'7.6'!O10+'8.6'!O10+'9.6'!O10+'10.6'!O10+'11.6'!O10+'12.6'!O10+'13.6'!O10+'14.6'!O10+'15.6'!O10+'16.6'!O10+'17.6'!O10+'18.6'!O10+'19.6'!O10+'20.6'!O10+'21.6'!O10+'22.6'!O10+'23.6'!O10+'24.6'!O10+'25.6'!O10+'26.6'!O10+'27.6'!O10+'28.6'!O10+'29.6'!O10+'30.6'!O10</f>
        <v>480</v>
      </c>
      <c r="O10" s="233">
        <f>'1.6'!P10+'2.6'!P10+'3.6'!P10+'4.6'!P10+'5.6'!P10+'6.6'!P10+'7.6'!P10+'8.6'!P10+'9.6'!P10+'10.6'!P10+'11.6'!P10+'12.6'!P10+'13.6'!P10+'14.6'!P10+'15.6'!P10+'16.6'!P10+'17.6'!P10+'18.6'!P10+'19.6'!P10+'20.6'!P10+'21.6'!P10+'22.6'!P10+'23.6'!P10+'24.6'!P10+'25.6'!P10+'26.6'!P10+'27.6'!P10+'28.6'!P10+'29.6'!P10+'30.6'!P10</f>
        <v>240</v>
      </c>
      <c r="P10" s="233">
        <f>'1.6'!Q10+'2.6'!Q10+'3.6'!Q10+'4.6'!Q10+'5.6'!Q10+'6.6'!Q10+'7.6'!Q10+'8.6'!Q10+'9.6'!Q10+'10.6'!Q10+'11.6'!Q10+'12.6'!Q10+'13.6'!Q10+'14.6'!Q10+'15.6'!Q10+'16.6'!Q10+'17.6'!Q10+'18.6'!Q10+'19.6'!Q10+'20.6'!Q10+'21.6'!Q10+'22.6'!Q10+'23.6'!Q10+'24.6'!Q10+'25.6'!Q10+'26.6'!Q10+'27.6'!Q10+'28.6'!Q10+'29.6'!Q10+'30.6'!Q10</f>
        <v>360</v>
      </c>
      <c r="Q10" s="233">
        <f>'1.6'!R10+'2.6'!R10+'3.6'!R10+'4.6'!R10+'5.6'!R10+'6.6'!R10+'7.6'!R10+'8.6'!R10+'9.6'!R10+'10.6'!R10+'11.6'!R10+'12.6'!R10+'13.6'!R10+'14.6'!R10+'15.6'!R10+'16.6'!R10+'17.6'!R10+'18.6'!R10+'19.6'!R10+'20.6'!R10+'21.6'!R10+'22.6'!R10+'23.6'!R10+'24.6'!R10+'25.6'!R10+'26.6'!R10+'27.6'!R10+'28.6'!R10+'29.6'!R10+'30.6'!R10</f>
        <v>0</v>
      </c>
      <c r="R10" s="233">
        <f>'1.6'!S10+'2.6'!S10+'3.6'!S10+'4.6'!S10+'5.6'!S10+'6.6'!S10+'7.6'!S10+'8.6'!S10+'9.6'!S10+'10.6'!S10+'11.6'!S10+'12.6'!S10+'13.6'!S10+'14.6'!S10+'15.6'!S10+'16.6'!S10+'17.6'!S10+'18.6'!S10+'19.6'!S10+'20.6'!S10+'21.6'!S10+'22.6'!S10+'23.6'!S10+'24.6'!S10+'25.6'!S10+'26.6'!S10+'27.6'!S10+'28.6'!S10+'29.6'!S10+'30.6'!S10</f>
        <v>180</v>
      </c>
      <c r="S10" s="233">
        <f>'1.6'!T10+'2.6'!T10+'3.6'!T10+'4.6'!T10+'5.6'!T10+'6.6'!T10+'7.6'!T10+'8.6'!T10+'9.6'!T10+'10.6'!T10+'11.6'!T10+'12.6'!T10+'13.6'!T10+'14.6'!T10+'15.6'!T10+'16.6'!T10+'17.6'!T10+'18.6'!T10+'19.6'!T10+'20.6'!T10+'21.6'!T10+'22.6'!T10+'23.6'!T10+'24.6'!T10+'25.6'!T10+'26.6'!T10+'27.6'!T10+'28.6'!T10+'29.6'!T10+'30.6'!T10</f>
        <v>20</v>
      </c>
    </row>
    <row r="11" spans="1:19" ht="18.75">
      <c r="A11" s="6">
        <v>6</v>
      </c>
      <c r="B11" s="16" t="s">
        <v>19</v>
      </c>
      <c r="C11" s="17" t="s">
        <v>17</v>
      </c>
      <c r="D11" s="9">
        <f t="shared" si="0"/>
        <v>3480</v>
      </c>
      <c r="E11" s="233">
        <f>'1.6'!F11+'2.6'!F11+'3.6'!F11+'4.6'!F11+'5.6'!F11+'6.6'!F11+'7.6'!F11+'8.6'!F11+'9.6'!F11+'10.6'!F11+'11.6'!F11+'12.6'!F11+'13.6'!F11+'14.6'!F11+'15.6'!F11+'16.6'!F11+'17.6'!F11+'18.6'!F11+'19.6'!F11+'20.6'!F11+'21.6'!F11+'22.6'!F11+'23.6'!F11+'24.6'!F11+'25.6'!F11+'26.6'!F11+'27.6'!F11+'28.6'!F11+'29.6'!F11+'30.6'!F11</f>
        <v>380</v>
      </c>
      <c r="F11" s="233">
        <f>'1.6'!G11+'2.6'!G11+'3.6'!G11+'4.6'!G11+'5.6'!G11+'6.6'!G11+'7.6'!G11+'8.6'!G11+'9.6'!G11+'10.6'!G11+'11.6'!G11+'12.6'!G11+'13.6'!G11+'14.6'!G11+'15.6'!G11+'16.6'!G11+'17.6'!G11+'18.6'!G11+'19.6'!G11+'20.6'!G11+'21.6'!G11+'22.6'!G11+'23.6'!G11+'24.6'!G11+'25.6'!G11+'26.6'!G11+'27.6'!G11+'28.6'!G11+'29.6'!G11+'30.6'!G11</f>
        <v>170</v>
      </c>
      <c r="G11" s="233">
        <f>'1.6'!H11+'2.6'!H11+'3.6'!H11+'4.6'!H11+'5.6'!H11+'6.6'!H11+'7.6'!H11+'8.6'!H11+'9.6'!H11+'10.6'!H11+'11.6'!H11+'12.6'!H11+'13.6'!H11+'14.6'!H11+'15.6'!H11+'16.6'!H11+'17.6'!H11+'18.6'!H11+'19.6'!H11+'20.6'!H11+'21.6'!H11+'22.6'!H11+'23.6'!H11+'24.6'!H11+'25.6'!H11+'26.6'!H11+'27.6'!H11+'28.6'!H11+'29.6'!H11+'30.6'!H11</f>
        <v>360</v>
      </c>
      <c r="H11" s="233">
        <f>'1.6'!I11+'2.6'!I11+'3.6'!I11+'4.6'!I11+'5.6'!I11+'6.6'!I11+'7.6'!I11+'8.6'!I11+'9.6'!I11+'10.6'!I11+'11.6'!I11+'12.6'!I11+'13.6'!I11+'14.6'!I11+'15.6'!I11+'16.6'!I11+'17.6'!I11+'18.6'!I11+'19.6'!I11+'20.6'!I11+'21.6'!I11+'22.6'!I11+'23.6'!I11+'24.6'!I11+'25.6'!I11+'26.6'!I11+'27.6'!I11+'28.6'!I11+'29.6'!I11+'30.6'!I11</f>
        <v>190</v>
      </c>
      <c r="I11" s="233">
        <f>'1.6'!J11+'2.6'!J11+'3.6'!J11+'4.6'!J11+'5.6'!J11+'6.6'!J11+'7.6'!J11+'8.6'!J11+'9.6'!J11+'10.6'!J11+'11.6'!J11+'12.6'!J11+'13.6'!J11+'14.6'!J11+'15.6'!J11+'16.6'!J11+'17.6'!J11+'18.6'!J11+'19.6'!J11+'20.6'!J11+'21.6'!J11+'22.6'!J11+'23.6'!J11+'24.6'!J11+'25.6'!J11+'26.6'!J11+'27.6'!J11+'28.6'!J11+'29.6'!J11+'30.6'!J11</f>
        <v>440</v>
      </c>
      <c r="J11" s="233">
        <f>'1.6'!K11+'2.6'!K11+'3.6'!K11+'4.6'!K11+'5.6'!K11+'6.6'!K11+'7.6'!K11+'8.6'!K11+'9.6'!K11+'10.6'!K11+'11.6'!K11+'12.6'!K11+'13.6'!K11+'14.6'!K11+'15.6'!K11+'16.6'!K11+'17.6'!K11+'18.6'!K11+'19.6'!K11+'20.6'!K11+'21.6'!K11+'22.6'!K11+'23.6'!K11+'24.6'!K11+'25.6'!K11+'26.6'!K11+'27.6'!K11+'28.6'!K11+'29.6'!K11+'30.6'!K11</f>
        <v>230</v>
      </c>
      <c r="K11" s="233">
        <f>'1.6'!L11+'2.6'!L11+'3.6'!L11+'4.6'!L11+'5.6'!L11+'6.6'!L11+'7.6'!L11+'8.6'!L11+'9.6'!L11+'10.6'!L11+'11.6'!L11+'12.6'!L11+'13.6'!L11+'14.6'!L11+'15.6'!L11+'16.6'!L11+'17.6'!L11+'18.6'!L11+'19.6'!L11+'20.6'!L11+'21.6'!L11+'22.6'!L11+'23.6'!L11+'24.6'!L11+'25.6'!L11+'26.6'!L11+'27.6'!L11+'28.6'!L11+'29.6'!L11+'30.6'!L11</f>
        <v>200</v>
      </c>
      <c r="L11" s="233">
        <f>'1.6'!M11+'2.6'!M11+'3.6'!M11+'4.6'!M11+'5.6'!M11+'6.6'!M11+'7.6'!M11+'8.6'!M11+'9.6'!M11+'10.6'!M11+'11.6'!M11+'12.6'!M11+'13.6'!M11+'14.6'!M11+'15.6'!M11+'16.6'!M11+'17.6'!M11+'18.6'!M11+'19.6'!M11+'20.6'!M11+'21.6'!M11+'22.6'!M11+'23.6'!M11+'24.6'!M11+'25.6'!M11+'26.6'!M11+'27.6'!M11+'28.6'!M11+'29.6'!M11+'30.6'!M11</f>
        <v>0</v>
      </c>
      <c r="M11" s="233">
        <f>'1.6'!N11+'2.6'!N11+'3.6'!N11+'4.6'!N11+'5.6'!N11+'6.6'!N11+'7.6'!N11+'8.6'!N11+'9.6'!N11+'10.6'!N11+'11.6'!N11+'12.6'!N11+'13.6'!N11+'14.6'!N11+'15.6'!N11+'16.6'!N11+'17.6'!N11+'18.6'!N11+'19.6'!N11+'20.6'!N11+'21.6'!N11+'22.6'!N11+'23.6'!N11+'24.6'!N11+'25.6'!N11+'26.6'!N11+'27.6'!N11+'28.6'!N11+'29.6'!N11+'30.6'!N11</f>
        <v>280</v>
      </c>
      <c r="N11" s="233">
        <f>'1.6'!O11+'2.6'!O11+'3.6'!O11+'4.6'!O11+'5.6'!O11+'6.6'!O11+'7.6'!O11+'8.6'!O11+'9.6'!O11+'10.6'!O11+'11.6'!O11+'12.6'!O11+'13.6'!O11+'14.6'!O11+'15.6'!O11+'16.6'!O11+'17.6'!O11+'18.6'!O11+'19.6'!O11+'20.6'!O11+'21.6'!O11+'22.6'!O11+'23.6'!O11+'24.6'!O11+'25.6'!O11+'26.6'!O11+'27.6'!O11+'28.6'!O11+'29.6'!O11+'30.6'!O11</f>
        <v>480</v>
      </c>
      <c r="O11" s="233">
        <f>'1.6'!P11+'2.6'!P11+'3.6'!P11+'4.6'!P11+'5.6'!P11+'6.6'!P11+'7.6'!P11+'8.6'!P11+'9.6'!P11+'10.6'!P11+'11.6'!P11+'12.6'!P11+'13.6'!P11+'14.6'!P11+'15.6'!P11+'16.6'!P11+'17.6'!P11+'18.6'!P11+'19.6'!P11+'20.6'!P11+'21.6'!P11+'22.6'!P11+'23.6'!P11+'24.6'!P11+'25.6'!P11+'26.6'!P11+'27.6'!P11+'28.6'!P11+'29.6'!P11+'30.6'!P11</f>
        <v>200</v>
      </c>
      <c r="P11" s="233">
        <f>'1.6'!Q11+'2.6'!Q11+'3.6'!Q11+'4.6'!Q11+'5.6'!Q11+'6.6'!Q11+'7.6'!Q11+'8.6'!Q11+'9.6'!Q11+'10.6'!Q11+'11.6'!Q11+'12.6'!Q11+'13.6'!Q11+'14.6'!Q11+'15.6'!Q11+'16.6'!Q11+'17.6'!Q11+'18.6'!Q11+'19.6'!Q11+'20.6'!Q11+'21.6'!Q11+'22.6'!Q11+'23.6'!Q11+'24.6'!Q11+'25.6'!Q11+'26.6'!Q11+'27.6'!Q11+'28.6'!Q11+'29.6'!Q11+'30.6'!Q11</f>
        <v>350</v>
      </c>
      <c r="Q11" s="233">
        <f>'1.6'!R11+'2.6'!R11+'3.6'!R11+'4.6'!R11+'5.6'!R11+'6.6'!R11+'7.6'!R11+'8.6'!R11+'9.6'!R11+'10.6'!R11+'11.6'!R11+'12.6'!R11+'13.6'!R11+'14.6'!R11+'15.6'!R11+'16.6'!R11+'17.6'!R11+'18.6'!R11+'19.6'!R11+'20.6'!R11+'21.6'!R11+'22.6'!R11+'23.6'!R11+'24.6'!R11+'25.6'!R11+'26.6'!R11+'27.6'!R11+'28.6'!R11+'29.6'!R11+'30.6'!R11</f>
        <v>0</v>
      </c>
      <c r="R11" s="233">
        <f>'1.6'!S11+'2.6'!S11+'3.6'!S11+'4.6'!S11+'5.6'!S11+'6.6'!S11+'7.6'!S11+'8.6'!S11+'9.6'!S11+'10.6'!S11+'11.6'!S11+'12.6'!S11+'13.6'!S11+'14.6'!S11+'15.6'!S11+'16.6'!S11+'17.6'!S11+'18.6'!S11+'19.6'!S11+'20.6'!S11+'21.6'!S11+'22.6'!S11+'23.6'!S11+'24.6'!S11+'25.6'!S11+'26.6'!S11+'27.6'!S11+'28.6'!S11+'29.6'!S11+'30.6'!S11</f>
        <v>200</v>
      </c>
      <c r="S11" s="233">
        <f>'1.6'!T11+'2.6'!T11+'3.6'!T11+'4.6'!T11+'5.6'!T11+'6.6'!T11+'7.6'!T11+'8.6'!T11+'9.6'!T11+'10.6'!T11+'11.6'!T11+'12.6'!T11+'13.6'!T11+'14.6'!T11+'15.6'!T11+'16.6'!T11+'17.6'!T11+'18.6'!T11+'19.6'!T11+'20.6'!T11+'21.6'!T11+'22.6'!T11+'23.6'!T11+'24.6'!T11+'25.6'!T11+'26.6'!T11+'27.6'!T11+'28.6'!T11+'29.6'!T11+'30.6'!T11</f>
        <v>60</v>
      </c>
    </row>
    <row r="12" spans="1:19" ht="18.75">
      <c r="A12" s="6">
        <v>9</v>
      </c>
      <c r="B12" s="15" t="s">
        <v>23</v>
      </c>
      <c r="C12" s="8" t="s">
        <v>24</v>
      </c>
      <c r="D12" s="9">
        <f t="shared" si="0"/>
        <v>81</v>
      </c>
      <c r="E12" s="233">
        <f>'1.6'!F12+'2.6'!F12+'3.6'!F12+'4.6'!F12+'5.6'!F12+'6.6'!F12+'7.6'!F12+'8.6'!F12+'9.6'!F12+'10.6'!F12+'11.6'!F12+'12.6'!F12+'13.6'!F12+'14.6'!F12+'15.6'!F12+'16.6'!F12+'17.6'!F12+'18.6'!F12+'19.6'!F12+'20.6'!F12+'21.6'!F12+'22.6'!F12+'23.6'!F12+'24.6'!F12+'25.6'!F12+'26.6'!F12+'27.6'!F12+'28.6'!F12+'29.6'!F12+'30.6'!F12</f>
        <v>7</v>
      </c>
      <c r="F12" s="233">
        <f>'1.6'!G12+'2.6'!G12+'3.6'!G12+'4.6'!G12+'5.6'!G12+'6.6'!G12+'7.6'!G12+'8.6'!G12+'9.6'!G12+'10.6'!G12+'11.6'!G12+'12.6'!G12+'13.6'!G12+'14.6'!G12+'15.6'!G12+'16.6'!G12+'17.6'!G12+'18.6'!G12+'19.6'!G12+'20.6'!G12+'21.6'!G12+'22.6'!G12+'23.6'!G12+'24.6'!G12+'25.6'!G12+'26.6'!G12+'27.6'!G12+'28.6'!G12+'29.6'!G12+'30.6'!G12</f>
        <v>5</v>
      </c>
      <c r="G12" s="233">
        <f>'1.6'!H12+'2.6'!H12+'3.6'!H12+'4.6'!H12+'5.6'!H12+'6.6'!H12+'7.6'!H12+'8.6'!H12+'9.6'!H12+'10.6'!H12+'11.6'!H12+'12.6'!H12+'13.6'!H12+'14.6'!H12+'15.6'!H12+'16.6'!H12+'17.6'!H12+'18.6'!H12+'19.6'!H12+'20.6'!H12+'21.6'!H12+'22.6'!H12+'23.6'!H12+'24.6'!H12+'25.6'!H12+'26.6'!H12+'27.6'!H12+'28.6'!H12+'29.6'!H12+'30.6'!H12</f>
        <v>7</v>
      </c>
      <c r="H12" s="233">
        <f>'1.6'!I12+'2.6'!I12+'3.6'!I12+'4.6'!I12+'5.6'!I12+'6.6'!I12+'7.6'!I12+'8.6'!I12+'9.6'!I12+'10.6'!I12+'11.6'!I12+'12.6'!I12+'13.6'!I12+'14.6'!I12+'15.6'!I12+'16.6'!I12+'17.6'!I12+'18.6'!I12+'19.6'!I12+'20.6'!I12+'21.6'!I12+'22.6'!I12+'23.6'!I12+'24.6'!I12+'25.6'!I12+'26.6'!I12+'27.6'!I12+'28.6'!I12+'29.6'!I12+'30.6'!I12</f>
        <v>5</v>
      </c>
      <c r="I12" s="233">
        <f>'1.6'!J12+'2.6'!J12+'3.6'!J12+'4.6'!J12+'5.6'!J12+'6.6'!J12+'7.6'!J12+'8.6'!J12+'9.6'!J12+'10.6'!J12+'11.6'!J12+'12.6'!J12+'13.6'!J12+'14.6'!J12+'15.6'!J12+'16.6'!J12+'17.6'!J12+'18.6'!J12+'19.6'!J12+'20.6'!J12+'21.6'!J12+'22.6'!J12+'23.6'!J12+'24.6'!J12+'25.6'!J12+'26.6'!J12+'27.6'!J12+'28.6'!J12+'29.6'!J12+'30.6'!J12</f>
        <v>10</v>
      </c>
      <c r="J12" s="233">
        <f>'1.6'!K12+'2.6'!K12+'3.6'!K12+'4.6'!K12+'5.6'!K12+'6.6'!K12+'7.6'!K12+'8.6'!K12+'9.6'!K12+'10.6'!K12+'11.6'!K12+'12.6'!K12+'13.6'!K12+'14.6'!K12+'15.6'!K12+'16.6'!K12+'17.6'!K12+'18.6'!K12+'19.6'!K12+'20.6'!K12+'21.6'!K12+'22.6'!K12+'23.6'!K12+'24.6'!K12+'25.6'!K12+'26.6'!K12+'27.6'!K12+'28.6'!K12+'29.6'!K12+'30.6'!K12</f>
        <v>7</v>
      </c>
      <c r="K12" s="233">
        <f>'1.6'!L12+'2.6'!L12+'3.6'!L12+'4.6'!L12+'5.6'!L12+'6.6'!L12+'7.6'!L12+'8.6'!L12+'9.6'!L12+'10.6'!L12+'11.6'!L12+'12.6'!L12+'13.6'!L12+'14.6'!L12+'15.6'!L12+'16.6'!L12+'17.6'!L12+'18.6'!L12+'19.6'!L12+'20.6'!L12+'21.6'!L12+'22.6'!L12+'23.6'!L12+'24.6'!L12+'25.6'!L12+'26.6'!L12+'27.6'!L12+'28.6'!L12+'29.6'!L12+'30.6'!L12</f>
        <v>7</v>
      </c>
      <c r="L12" s="233">
        <f>'1.6'!M12+'2.6'!M12+'3.6'!M12+'4.6'!M12+'5.6'!M12+'6.6'!M12+'7.6'!M12+'8.6'!M12+'9.6'!M12+'10.6'!M12+'11.6'!M12+'12.6'!M12+'13.6'!M12+'14.6'!M12+'15.6'!M12+'16.6'!M12+'17.6'!M12+'18.6'!M12+'19.6'!M12+'20.6'!M12+'21.6'!M12+'22.6'!M12+'23.6'!M12+'24.6'!M12+'25.6'!M12+'26.6'!M12+'27.6'!M12+'28.6'!M12+'29.6'!M12+'30.6'!M12</f>
        <v>0</v>
      </c>
      <c r="M12" s="233">
        <f>'1.6'!N12+'2.6'!N12+'3.6'!N12+'4.6'!N12+'5.6'!N12+'6.6'!N12+'7.6'!N12+'8.6'!N12+'9.6'!N12+'10.6'!N12+'11.6'!N12+'12.6'!N12+'13.6'!N12+'14.6'!N12+'15.6'!N12+'16.6'!N12+'17.6'!N12+'18.6'!N12+'19.6'!N12+'20.6'!N12+'21.6'!N12+'22.6'!N12+'23.6'!N12+'24.6'!N12+'25.6'!N12+'26.6'!N12+'27.6'!N12+'28.6'!N12+'29.6'!N12+'30.6'!N12</f>
        <v>7</v>
      </c>
      <c r="N12" s="233">
        <f>'1.6'!O12+'2.6'!O12+'3.6'!O12+'4.6'!O12+'5.6'!O12+'6.6'!O12+'7.6'!O12+'8.6'!O12+'9.6'!O12+'10.6'!O12+'11.6'!O12+'12.6'!O12+'13.6'!O12+'14.6'!O12+'15.6'!O12+'16.6'!O12+'17.6'!O12+'18.6'!O12+'19.6'!O12+'20.6'!O12+'21.6'!O12+'22.6'!O12+'23.6'!O12+'24.6'!O12+'25.6'!O12+'26.6'!O12+'27.6'!O12+'28.6'!O12+'29.6'!O12+'30.6'!O12</f>
        <v>11</v>
      </c>
      <c r="O12" s="233">
        <f>'1.6'!P12+'2.6'!P12+'3.6'!P12+'4.6'!P12+'5.6'!P12+'6.6'!P12+'7.6'!P12+'8.6'!P12+'9.6'!P12+'10.6'!P12+'11.6'!P12+'12.6'!P12+'13.6'!P12+'14.6'!P12+'15.6'!P12+'16.6'!P12+'17.6'!P12+'18.6'!P12+'19.6'!P12+'20.6'!P12+'21.6'!P12+'22.6'!P12+'23.6'!P12+'24.6'!P12+'25.6'!P12+'26.6'!P12+'27.6'!P12+'28.6'!P12+'29.6'!P12+'30.6'!P12</f>
        <v>4</v>
      </c>
      <c r="P12" s="233">
        <f>'1.6'!Q12+'2.6'!Q12+'3.6'!Q12+'4.6'!Q12+'5.6'!Q12+'6.6'!Q12+'7.6'!Q12+'8.6'!Q12+'9.6'!Q12+'10.6'!Q12+'11.6'!Q12+'12.6'!Q12+'13.6'!Q12+'14.6'!Q12+'15.6'!Q12+'16.6'!Q12+'17.6'!Q12+'18.6'!Q12+'19.6'!Q12+'20.6'!Q12+'21.6'!Q12+'22.6'!Q12+'23.6'!Q12+'24.6'!Q12+'25.6'!Q12+'26.6'!Q12+'27.6'!Q12+'28.6'!Q12+'29.6'!Q12+'30.6'!Q12</f>
        <v>8</v>
      </c>
      <c r="Q12" s="233">
        <f>'1.6'!R12+'2.6'!R12+'3.6'!R12+'4.6'!R12+'5.6'!R12+'6.6'!R12+'7.6'!R12+'8.6'!R12+'9.6'!R12+'10.6'!R12+'11.6'!R12+'12.6'!R12+'13.6'!R12+'14.6'!R12+'15.6'!R12+'16.6'!R12+'17.6'!R12+'18.6'!R12+'19.6'!R12+'20.6'!R12+'21.6'!R12+'22.6'!R12+'23.6'!R12+'24.6'!R12+'25.6'!R12+'26.6'!R12+'27.6'!R12+'28.6'!R12+'29.6'!R12+'30.6'!R12</f>
        <v>0</v>
      </c>
      <c r="R12" s="233">
        <f>'1.6'!S12+'2.6'!S12+'3.6'!S12+'4.6'!S12+'5.6'!S12+'6.6'!S12+'7.6'!S12+'8.6'!S12+'9.6'!S12+'10.6'!S12+'11.6'!S12+'12.6'!S12+'13.6'!S12+'14.6'!S12+'15.6'!S12+'16.6'!S12+'17.6'!S12+'18.6'!S12+'19.6'!S12+'20.6'!S12+'21.6'!S12+'22.6'!S12+'23.6'!S12+'24.6'!S12+'25.6'!S12+'26.6'!S12+'27.6'!S12+'28.6'!S12+'29.6'!S12+'30.6'!S12</f>
        <v>3</v>
      </c>
      <c r="S12" s="233">
        <f>'1.6'!T12+'2.6'!T12+'3.6'!T12+'4.6'!T12+'5.6'!T12+'6.6'!T12+'7.6'!T12+'8.6'!T12+'9.6'!T12+'10.6'!T12+'11.6'!T12+'12.6'!T12+'13.6'!T12+'14.6'!T12+'15.6'!T12+'16.6'!T12+'17.6'!T12+'18.6'!T12+'19.6'!T12+'20.6'!T12+'21.6'!T12+'22.6'!T12+'23.6'!T12+'24.6'!T12+'25.6'!T12+'26.6'!T12+'27.6'!T12+'28.6'!T12+'29.6'!T12+'30.6'!T12</f>
        <v>2</v>
      </c>
    </row>
    <row r="13" spans="1:19" ht="18.75">
      <c r="A13" s="6">
        <v>10</v>
      </c>
      <c r="B13" s="223" t="s">
        <v>16</v>
      </c>
      <c r="C13" s="6" t="s">
        <v>13</v>
      </c>
      <c r="D13" s="9">
        <f t="shared" si="0"/>
        <v>117730</v>
      </c>
      <c r="E13" s="233">
        <f>'1.6'!F13+'2.6'!F13+'3.6'!F13+'4.6'!F13+'5.6'!F13+'6.6'!F13+'7.6'!F13+'8.6'!F13+'9.6'!F13+'10.6'!F13+'11.6'!F13+'12.6'!F13+'13.6'!F13+'14.6'!F13+'15.6'!F13+'16.6'!F13+'17.6'!F13+'18.6'!F13+'19.6'!F13+'20.6'!F13+'21.6'!F13+'22.6'!F13+'23.6'!F13+'24.6'!F13+'25.6'!F13+'26.6'!F13+'27.6'!F13+'28.6'!F13+'29.6'!F13+'30.6'!F13</f>
        <v>4500</v>
      </c>
      <c r="F13" s="233">
        <f>'1.6'!G13+'2.6'!G13+'3.6'!G13+'4.6'!G13+'5.6'!G13+'6.6'!G13+'7.6'!G13+'8.6'!G13+'9.6'!G13+'10.6'!G13+'11.6'!G13+'12.6'!G13+'13.6'!G13+'14.6'!G13+'15.6'!G13+'16.6'!G13+'17.6'!G13+'18.6'!G13+'19.6'!G13+'20.6'!G13+'21.6'!G13+'22.6'!G13+'23.6'!G13+'24.6'!G13+'25.6'!G13+'26.6'!G13+'27.6'!G13+'28.6'!G13+'29.6'!G13+'30.6'!G13</f>
        <v>6500</v>
      </c>
      <c r="G13" s="233">
        <f>'1.6'!H13+'2.6'!H13+'3.6'!H13+'4.6'!H13+'5.6'!H13+'6.6'!H13+'7.6'!H13+'8.6'!H13+'9.6'!H13+'10.6'!H13+'11.6'!H13+'12.6'!H13+'13.6'!H13+'14.6'!H13+'15.6'!H13+'16.6'!H13+'17.6'!H13+'18.6'!H13+'19.6'!H13+'20.6'!H13+'21.6'!H13+'22.6'!H13+'23.6'!H13+'24.6'!H13+'25.6'!H13+'26.6'!H13+'27.6'!H13+'28.6'!H13+'29.6'!H13+'30.6'!H13</f>
        <v>5400</v>
      </c>
      <c r="H13" s="233">
        <f>'1.6'!I13+'2.6'!I13+'3.6'!I13+'4.6'!I13+'5.6'!I13+'6.6'!I13+'7.6'!I13+'8.6'!I13+'9.6'!I13+'10.6'!I13+'11.6'!I13+'12.6'!I13+'13.6'!I13+'14.6'!I13+'15.6'!I13+'16.6'!I13+'17.6'!I13+'18.6'!I13+'19.6'!I13+'20.6'!I13+'21.6'!I13+'22.6'!I13+'23.6'!I13+'24.6'!I13+'25.6'!I13+'26.6'!I13+'27.6'!I13+'28.6'!I13+'29.6'!I13+'30.6'!I13</f>
        <v>5400</v>
      </c>
      <c r="I13" s="233">
        <f>'1.6'!J13+'2.6'!J13+'3.6'!J13+'4.6'!J13+'5.6'!J13+'6.6'!J13+'7.6'!J13+'8.6'!J13+'9.6'!J13+'10.6'!J13+'11.6'!J13+'12.6'!J13+'13.6'!J13+'14.6'!J13+'15.6'!J13+'16.6'!J13+'17.6'!J13+'18.6'!J13+'19.6'!J13+'20.6'!J13+'21.6'!J13+'22.6'!J13+'23.6'!J13+'24.6'!J13+'25.6'!J13+'26.6'!J13+'27.6'!J13+'28.6'!J13+'29.6'!J13+'30.6'!J13</f>
        <v>25480</v>
      </c>
      <c r="J13" s="233">
        <f>'1.6'!K13+'2.6'!K13+'3.6'!K13+'4.6'!K13+'5.6'!K13+'6.6'!K13+'7.6'!K13+'8.6'!K13+'9.6'!K13+'10.6'!K13+'11.6'!K13+'12.6'!K13+'13.6'!K13+'14.6'!K13+'15.6'!K13+'16.6'!K13+'17.6'!K13+'18.6'!K13+'19.6'!K13+'20.6'!K13+'21.6'!K13+'22.6'!K13+'23.6'!K13+'24.6'!K13+'25.6'!K13+'26.6'!K13+'27.6'!K13+'28.6'!K13+'29.6'!K13+'30.6'!K13</f>
        <v>4500</v>
      </c>
      <c r="K13" s="233">
        <f>'1.6'!L13+'2.6'!L13+'3.6'!L13+'4.6'!L13+'5.6'!L13+'6.6'!L13+'7.6'!L13+'8.6'!L13+'9.6'!L13+'10.6'!L13+'11.6'!L13+'12.6'!L13+'13.6'!L13+'14.6'!L13+'15.6'!L13+'16.6'!L13+'17.6'!L13+'18.6'!L13+'19.6'!L13+'20.6'!L13+'21.6'!L13+'22.6'!L13+'23.6'!L13+'24.6'!L13+'25.6'!L13+'26.6'!L13+'27.6'!L13+'28.6'!L13+'29.6'!L13+'30.6'!L13</f>
        <v>6030</v>
      </c>
      <c r="L13" s="233">
        <f>'1.6'!M13+'2.6'!M13+'3.6'!M13+'4.6'!M13+'5.6'!M13+'6.6'!M13+'7.6'!M13+'8.6'!M13+'9.6'!M13+'10.6'!M13+'11.6'!M13+'12.6'!M13+'13.6'!M13+'14.6'!M13+'15.6'!M13+'16.6'!M13+'17.6'!M13+'18.6'!M13+'19.6'!M13+'20.6'!M13+'21.6'!M13+'22.6'!M13+'23.6'!M13+'24.6'!M13+'25.6'!M13+'26.6'!M13+'27.6'!M13+'28.6'!M13+'29.6'!M13+'30.6'!M13</f>
        <v>3020</v>
      </c>
      <c r="M13" s="233">
        <f>'1.6'!N13+'2.6'!N13+'3.6'!N13+'4.6'!N13+'5.6'!N13+'6.6'!N13+'7.6'!N13+'8.6'!N13+'9.6'!N13+'10.6'!N13+'11.6'!N13+'12.6'!N13+'13.6'!N13+'14.6'!N13+'15.6'!N13+'16.6'!N13+'17.6'!N13+'18.6'!N13+'19.6'!N13+'20.6'!N13+'21.6'!N13+'22.6'!N13+'23.6'!N13+'24.6'!N13+'25.6'!N13+'26.6'!N13+'27.6'!N13+'28.6'!N13+'29.6'!N13+'30.6'!N13</f>
        <v>11200</v>
      </c>
      <c r="N13" s="233">
        <f>'1.6'!O13+'2.6'!O13+'3.6'!O13+'4.6'!O13+'5.6'!O13+'6.6'!O13+'7.6'!O13+'8.6'!O13+'9.6'!O13+'10.6'!O13+'11.6'!O13+'12.6'!O13+'13.6'!O13+'14.6'!O13+'15.6'!O13+'16.6'!O13+'17.6'!O13+'18.6'!O13+'19.6'!O13+'20.6'!O13+'21.6'!O13+'22.6'!O13+'23.6'!O13+'24.6'!O13+'25.6'!O13+'26.6'!O13+'27.6'!O13+'28.6'!O13+'29.6'!O13+'30.6'!O13</f>
        <v>28400</v>
      </c>
      <c r="O13" s="233">
        <f>'1.6'!P13+'2.6'!P13+'3.6'!P13+'4.6'!P13+'5.6'!P13+'6.6'!P13+'7.6'!P13+'8.6'!P13+'9.6'!P13+'10.6'!P13+'11.6'!P13+'12.6'!P13+'13.6'!P13+'14.6'!P13+'15.6'!P13+'16.6'!P13+'17.6'!P13+'18.6'!P13+'19.6'!P13+'20.6'!P13+'21.6'!P13+'22.6'!P13+'23.6'!P13+'24.6'!P13+'25.6'!P13+'26.6'!P13+'27.6'!P13+'28.6'!P13+'29.6'!P13+'30.6'!P13</f>
        <v>5300</v>
      </c>
      <c r="P13" s="233">
        <f>'1.6'!Q13+'2.6'!Q13+'3.6'!Q13+'4.6'!Q13+'5.6'!Q13+'6.6'!Q13+'7.6'!Q13+'8.6'!Q13+'9.6'!Q13+'10.6'!Q13+'11.6'!Q13+'12.6'!Q13+'13.6'!Q13+'14.6'!Q13+'15.6'!Q13+'16.6'!Q13+'17.6'!Q13+'18.6'!Q13+'19.6'!Q13+'20.6'!Q13+'21.6'!Q13+'22.6'!Q13+'23.6'!Q13+'24.6'!Q13+'25.6'!Q13+'26.6'!Q13+'27.6'!Q13+'28.6'!Q13+'29.6'!Q13+'30.6'!Q13</f>
        <v>7300</v>
      </c>
      <c r="Q13" s="233">
        <f>'1.6'!R13+'2.6'!R13+'3.6'!R13+'4.6'!R13+'5.6'!R13+'6.6'!R13+'7.6'!R13+'8.6'!R13+'9.6'!R13+'10.6'!R13+'11.6'!R13+'12.6'!R13+'13.6'!R13+'14.6'!R13+'15.6'!R13+'16.6'!R13+'17.6'!R13+'18.6'!R13+'19.6'!R13+'20.6'!R13+'21.6'!R13+'22.6'!R13+'23.6'!R13+'24.6'!R13+'25.6'!R13+'26.6'!R13+'27.6'!R13+'28.6'!R13+'29.6'!R13+'30.6'!R13</f>
        <v>0</v>
      </c>
      <c r="R13" s="233">
        <f>'1.6'!S13+'2.6'!S13+'3.6'!S13+'4.6'!S13+'5.6'!S13+'6.6'!S13+'7.6'!S13+'8.6'!S13+'9.6'!S13+'10.6'!S13+'11.6'!S13+'12.6'!S13+'13.6'!S13+'14.6'!S13+'15.6'!S13+'16.6'!S13+'17.6'!S13+'18.6'!S13+'19.6'!S13+'20.6'!S13+'21.6'!S13+'22.6'!S13+'23.6'!S13+'24.6'!S13+'25.6'!S13+'26.6'!S13+'27.6'!S13+'28.6'!S13+'29.6'!S13+'30.6'!S13</f>
        <v>4700</v>
      </c>
      <c r="S13" s="233">
        <f>'1.6'!T13+'2.6'!T13+'3.6'!T13+'4.6'!T13+'5.6'!T13+'6.6'!T13+'7.6'!T13+'8.6'!T13+'9.6'!T13+'10.6'!T13+'11.6'!T13+'12.6'!T13+'13.6'!T13+'14.6'!T13+'15.6'!T13+'16.6'!T13+'17.6'!T13+'18.6'!T13+'19.6'!T13+'20.6'!T13+'21.6'!T13+'22.6'!T13+'23.6'!T13+'24.6'!T13+'25.6'!T13+'26.6'!T13+'27.6'!T13+'28.6'!T13+'29.6'!T13+'30.6'!T13</f>
        <v>3200</v>
      </c>
    </row>
    <row r="14" spans="1:19" ht="18.75">
      <c r="A14" s="6">
        <v>11</v>
      </c>
      <c r="B14" s="12" t="s">
        <v>26</v>
      </c>
      <c r="C14" s="6" t="s">
        <v>27</v>
      </c>
      <c r="D14" s="9">
        <f t="shared" si="0"/>
        <v>9</v>
      </c>
      <c r="E14" s="233">
        <f>'1.6'!F14+'2.6'!F14+'3.6'!F14+'4.6'!F14+'5.6'!F14+'6.6'!F14+'7.6'!F14+'8.6'!F14+'9.6'!F14+'10.6'!F14+'11.6'!F14+'12.6'!F14+'13.6'!F14+'14.6'!F14+'15.6'!F14+'16.6'!F14+'17.6'!F14+'18.6'!F14+'19.6'!F14+'20.6'!F14+'21.6'!F14+'22.6'!F14+'23.6'!F14+'24.6'!F14+'25.6'!F14+'26.6'!F14+'27.6'!F14+'28.6'!F14+'29.6'!F14+'30.6'!F14</f>
        <v>3</v>
      </c>
      <c r="F14" s="233">
        <f>'1.6'!G14+'2.6'!G14+'3.6'!G14+'4.6'!G14+'5.6'!G14+'6.6'!G14+'7.6'!G14+'8.6'!G14+'9.6'!G14+'10.6'!G14+'11.6'!G14+'12.6'!G14+'13.6'!G14+'14.6'!G14+'15.6'!G14+'16.6'!G14+'17.6'!G14+'18.6'!G14+'19.6'!G14+'20.6'!G14+'21.6'!G14+'22.6'!G14+'23.6'!G14+'24.6'!G14+'25.6'!G14+'26.6'!G14+'27.6'!G14+'28.6'!G14+'29.6'!G14+'30.6'!G14</f>
        <v>2</v>
      </c>
      <c r="G14" s="233">
        <f>'1.6'!H14+'2.6'!H14+'3.6'!H14+'4.6'!H14+'5.6'!H14+'6.6'!H14+'7.6'!H14+'8.6'!H14+'9.6'!H14+'10.6'!H14+'11.6'!H14+'12.6'!H14+'13.6'!H14+'14.6'!H14+'15.6'!H14+'16.6'!H14+'17.6'!H14+'18.6'!H14+'19.6'!H14+'20.6'!H14+'21.6'!H14+'22.6'!H14+'23.6'!H14+'24.6'!H14+'25.6'!H14+'26.6'!H14+'27.6'!H14+'28.6'!H14+'29.6'!H14+'30.6'!H14</f>
        <v>0</v>
      </c>
      <c r="H14" s="233">
        <f>'1.6'!I14+'2.6'!I14+'3.6'!I14+'4.6'!I14+'5.6'!I14+'6.6'!I14+'7.6'!I14+'8.6'!I14+'9.6'!I14+'10.6'!I14+'11.6'!I14+'12.6'!I14+'13.6'!I14+'14.6'!I14+'15.6'!I14+'16.6'!I14+'17.6'!I14+'18.6'!I14+'19.6'!I14+'20.6'!I14+'21.6'!I14+'22.6'!I14+'23.6'!I14+'24.6'!I14+'25.6'!I14+'26.6'!I14+'27.6'!I14+'28.6'!I14+'29.6'!I14+'30.6'!I14</f>
        <v>2</v>
      </c>
      <c r="I14" s="233">
        <f>'1.6'!J14+'2.6'!J14+'3.6'!J14+'4.6'!J14+'5.6'!J14+'6.6'!J14+'7.6'!J14+'8.6'!J14+'9.6'!J14+'10.6'!J14+'11.6'!J14+'12.6'!J14+'13.6'!J14+'14.6'!J14+'15.6'!J14+'16.6'!J14+'17.6'!J14+'18.6'!J14+'19.6'!J14+'20.6'!J14+'21.6'!J14+'22.6'!J14+'23.6'!J14+'24.6'!J14+'25.6'!J14+'26.6'!J14+'27.6'!J14+'28.6'!J14+'29.6'!J14+'30.6'!J14</f>
        <v>0</v>
      </c>
      <c r="J14" s="233">
        <f>'1.6'!K14+'2.6'!K14+'3.6'!K14+'4.6'!K14+'5.6'!K14+'6.6'!K14+'7.6'!K14+'8.6'!K14+'9.6'!K14+'10.6'!K14+'11.6'!K14+'12.6'!K14+'13.6'!K14+'14.6'!K14+'15.6'!K14+'16.6'!K14+'17.6'!K14+'18.6'!K14+'19.6'!K14+'20.6'!K14+'21.6'!K14+'22.6'!K14+'23.6'!K14+'24.6'!K14+'25.6'!K14+'26.6'!K14+'27.6'!K14+'28.6'!K14+'29.6'!K14+'30.6'!K14</f>
        <v>0</v>
      </c>
      <c r="K14" s="233">
        <f>'1.6'!L14+'2.6'!L14+'3.6'!L14+'4.6'!L14+'5.6'!L14+'6.6'!L14+'7.6'!L14+'8.6'!L14+'9.6'!L14+'10.6'!L14+'11.6'!L14+'12.6'!L14+'13.6'!L14+'14.6'!L14+'15.6'!L14+'16.6'!L14+'17.6'!L14+'18.6'!L14+'19.6'!L14+'20.6'!L14+'21.6'!L14+'22.6'!L14+'23.6'!L14+'24.6'!L14+'25.6'!L14+'26.6'!L14+'27.6'!L14+'28.6'!L14+'29.6'!L14+'30.6'!L14</f>
        <v>0</v>
      </c>
      <c r="L14" s="233">
        <f>'1.6'!M14+'2.6'!M14+'3.6'!M14+'4.6'!M14+'5.6'!M14+'6.6'!M14+'7.6'!M14+'8.6'!M14+'9.6'!M14+'10.6'!M14+'11.6'!M14+'12.6'!M14+'13.6'!M14+'14.6'!M14+'15.6'!M14+'16.6'!M14+'17.6'!M14+'18.6'!M14+'19.6'!M14+'20.6'!M14+'21.6'!M14+'22.6'!M14+'23.6'!M14+'24.6'!M14+'25.6'!M14+'26.6'!M14+'27.6'!M14+'28.6'!M14+'29.6'!M14+'30.6'!M14</f>
        <v>0</v>
      </c>
      <c r="M14" s="233">
        <f>'1.6'!N14+'2.6'!N14+'3.6'!N14+'4.6'!N14+'5.6'!N14+'6.6'!N14+'7.6'!N14+'8.6'!N14+'9.6'!N14+'10.6'!N14+'11.6'!N14+'12.6'!N14+'13.6'!N14+'14.6'!N14+'15.6'!N14+'16.6'!N14+'17.6'!N14+'18.6'!N14+'19.6'!N14+'20.6'!N14+'21.6'!N14+'22.6'!N14+'23.6'!N14+'24.6'!N14+'25.6'!N14+'26.6'!N14+'27.6'!N14+'28.6'!N14+'29.6'!N14+'30.6'!N14</f>
        <v>0</v>
      </c>
      <c r="N14" s="233">
        <f>'1.6'!O14+'2.6'!O14+'3.6'!O14+'4.6'!O14+'5.6'!O14+'6.6'!O14+'7.6'!O14+'8.6'!O14+'9.6'!O14+'10.6'!O14+'11.6'!O14+'12.6'!O14+'13.6'!O14+'14.6'!O14+'15.6'!O14+'16.6'!O14+'17.6'!O14+'18.6'!O14+'19.6'!O14+'20.6'!O14+'21.6'!O14+'22.6'!O14+'23.6'!O14+'24.6'!O14+'25.6'!O14+'26.6'!O14+'27.6'!O14+'28.6'!O14+'29.6'!O14+'30.6'!O14</f>
        <v>0</v>
      </c>
      <c r="O14" s="233">
        <f>'1.6'!P14+'2.6'!P14+'3.6'!P14+'4.6'!P14+'5.6'!P14+'6.6'!P14+'7.6'!P14+'8.6'!P14+'9.6'!P14+'10.6'!P14+'11.6'!P14+'12.6'!P14+'13.6'!P14+'14.6'!P14+'15.6'!P14+'16.6'!P14+'17.6'!P14+'18.6'!P14+'19.6'!P14+'20.6'!P14+'21.6'!P14+'22.6'!P14+'23.6'!P14+'24.6'!P14+'25.6'!P14+'26.6'!P14+'27.6'!P14+'28.6'!P14+'29.6'!P14+'30.6'!P14</f>
        <v>0</v>
      </c>
      <c r="P14" s="233">
        <f>'1.6'!Q14+'2.6'!Q14+'3.6'!Q14+'4.6'!Q14+'5.6'!Q14+'6.6'!Q14+'7.6'!Q14+'8.6'!Q14+'9.6'!Q14+'10.6'!Q14+'11.6'!Q14+'12.6'!Q14+'13.6'!Q14+'14.6'!Q14+'15.6'!Q14+'16.6'!Q14+'17.6'!Q14+'18.6'!Q14+'19.6'!Q14+'20.6'!Q14+'21.6'!Q14+'22.6'!Q14+'23.6'!Q14+'24.6'!Q14+'25.6'!Q14+'26.6'!Q14+'27.6'!Q14+'28.6'!Q14+'29.6'!Q14+'30.6'!Q14</f>
        <v>2</v>
      </c>
      <c r="Q14" s="233">
        <f>'1.6'!R14+'2.6'!R14+'3.6'!R14+'4.6'!R14+'5.6'!R14+'6.6'!R14+'7.6'!R14+'8.6'!R14+'9.6'!R14+'10.6'!R14+'11.6'!R14+'12.6'!R14+'13.6'!R14+'14.6'!R14+'15.6'!R14+'16.6'!R14+'17.6'!R14+'18.6'!R14+'19.6'!R14+'20.6'!R14+'21.6'!R14+'22.6'!R14+'23.6'!R14+'24.6'!R14+'25.6'!R14+'26.6'!R14+'27.6'!R14+'28.6'!R14+'29.6'!R14+'30.6'!R14</f>
        <v>0</v>
      </c>
      <c r="R14" s="233">
        <f>'1.6'!S14+'2.6'!S14+'3.6'!S14+'4.6'!S14+'5.6'!S14+'6.6'!S14+'7.6'!S14+'8.6'!S14+'9.6'!S14+'10.6'!S14+'11.6'!S14+'12.6'!S14+'13.6'!S14+'14.6'!S14+'15.6'!S14+'16.6'!S14+'17.6'!S14+'18.6'!S14+'19.6'!S14+'20.6'!S14+'21.6'!S14+'22.6'!S14+'23.6'!S14+'24.6'!S14+'25.6'!S14+'26.6'!S14+'27.6'!S14+'28.6'!S14+'29.6'!S14+'30.6'!S14</f>
        <v>0</v>
      </c>
      <c r="S14" s="233">
        <f>'1.6'!T14+'2.6'!T14+'3.6'!T14+'4.6'!T14+'5.6'!T14+'6.6'!T14+'7.6'!T14+'8.6'!T14+'9.6'!T14+'10.6'!T14+'11.6'!T14+'12.6'!T14+'13.6'!T14+'14.6'!T14+'15.6'!T14+'16.6'!T14+'17.6'!T14+'18.6'!T14+'19.6'!T14+'20.6'!T14+'21.6'!T14+'22.6'!T14+'23.6'!T14+'24.6'!T14+'25.6'!T14+'26.6'!T14+'27.6'!T14+'28.6'!T14+'29.6'!T14+'30.6'!T14</f>
        <v>3</v>
      </c>
    </row>
    <row r="15" spans="1:19" ht="18.75">
      <c r="A15" s="6"/>
      <c r="B15" s="12" t="s">
        <v>113</v>
      </c>
      <c r="C15" s="6" t="s">
        <v>27</v>
      </c>
      <c r="D15" s="9">
        <f t="shared" si="0"/>
        <v>9</v>
      </c>
      <c r="E15" s="233">
        <f>'1.6'!F15+'2.6'!F15+'3.6'!F15+'4.6'!F15+'5.6'!F15+'6.6'!F15+'7.6'!F15+'8.6'!F15+'9.6'!F15+'10.6'!F15+'11.6'!F15+'12.6'!F15+'13.6'!F15+'14.6'!F15+'15.6'!F15+'16.6'!F15+'17.6'!F15+'18.6'!F15+'19.6'!F15+'20.6'!F15+'21.6'!F15+'22.6'!F15+'23.6'!F15+'24.6'!F15+'25.6'!F15+'26.6'!F15+'27.6'!F15+'28.6'!F15+'29.6'!F15+'30.6'!F15</f>
        <v>0</v>
      </c>
      <c r="F15" s="233">
        <f>'1.6'!G15+'2.6'!G15+'3.6'!G15+'4.6'!G15+'5.6'!G15+'6.6'!G15+'7.6'!G15+'8.6'!G15+'9.6'!G15+'10.6'!G15+'11.6'!G15+'12.6'!G15+'13.6'!G15+'14.6'!G15+'15.6'!G15+'16.6'!G15+'17.6'!G15+'18.6'!G15+'19.6'!G15+'20.6'!G15+'21.6'!G15+'22.6'!G15+'23.6'!G15+'24.6'!G15+'25.6'!G15+'26.6'!G15+'27.6'!G15+'28.6'!G15+'29.6'!G15+'30.6'!G15</f>
        <v>0</v>
      </c>
      <c r="G15" s="233">
        <f>'1.6'!H15+'2.6'!H15+'3.6'!H15+'4.6'!H15+'5.6'!H15+'6.6'!H15+'7.6'!H15+'8.6'!H15+'9.6'!H15+'10.6'!H15+'11.6'!H15+'12.6'!H15+'13.6'!H15+'14.6'!H15+'15.6'!H15+'16.6'!H15+'17.6'!H15+'18.6'!H15+'19.6'!H15+'20.6'!H15+'21.6'!H15+'22.6'!H15+'23.6'!H15+'24.6'!H15+'25.6'!H15+'26.6'!H15+'27.6'!H15+'28.6'!H15+'29.6'!H15+'30.6'!H15</f>
        <v>0</v>
      </c>
      <c r="H15" s="233">
        <f>'1.6'!I15+'2.6'!I15+'3.6'!I15+'4.6'!I15+'5.6'!I15+'6.6'!I15+'7.6'!I15+'8.6'!I15+'9.6'!I15+'10.6'!I15+'11.6'!I15+'12.6'!I15+'13.6'!I15+'14.6'!I15+'15.6'!I15+'16.6'!I15+'17.6'!I15+'18.6'!I15+'19.6'!I15+'20.6'!I15+'21.6'!I15+'22.6'!I15+'23.6'!I15+'24.6'!I15+'25.6'!I15+'26.6'!I15+'27.6'!I15+'28.6'!I15+'29.6'!I15+'30.6'!I15</f>
        <v>0</v>
      </c>
      <c r="I15" s="233">
        <f>'1.6'!J15+'2.6'!J15+'3.6'!J15+'4.6'!J15+'5.6'!J15+'6.6'!J15+'7.6'!J15+'8.6'!J15+'9.6'!J15+'10.6'!J15+'11.6'!J15+'12.6'!J15+'13.6'!J15+'14.6'!J15+'15.6'!J15+'16.6'!J15+'17.6'!J15+'18.6'!J15+'19.6'!J15+'20.6'!J15+'21.6'!J15+'22.6'!J15+'23.6'!J15+'24.6'!J15+'25.6'!J15+'26.6'!J15+'27.6'!J15+'28.6'!J15+'29.6'!J15+'30.6'!J15</f>
        <v>2</v>
      </c>
      <c r="J15" s="233">
        <f>'1.6'!K15+'2.6'!K15+'3.6'!K15+'4.6'!K15+'5.6'!K15+'6.6'!K15+'7.6'!K15+'8.6'!K15+'9.6'!K15+'10.6'!K15+'11.6'!K15+'12.6'!K15+'13.6'!K15+'14.6'!K15+'15.6'!K15+'16.6'!K15+'17.6'!K15+'18.6'!K15+'19.6'!K15+'20.6'!K15+'21.6'!K15+'22.6'!K15+'23.6'!K15+'24.6'!K15+'25.6'!K15+'26.6'!K15+'27.6'!K15+'28.6'!K15+'29.6'!K15+'30.6'!K15</f>
        <v>0</v>
      </c>
      <c r="K15" s="233">
        <f>'1.6'!L15+'2.6'!L15+'3.6'!L15+'4.6'!L15+'5.6'!L15+'6.6'!L15+'7.6'!L15+'8.6'!L15+'9.6'!L15+'10.6'!L15+'11.6'!L15+'12.6'!L15+'13.6'!L15+'14.6'!L15+'15.6'!L15+'16.6'!L15+'17.6'!L15+'18.6'!L15+'19.6'!L15+'20.6'!L15+'21.6'!L15+'22.6'!L15+'23.6'!L15+'24.6'!L15+'25.6'!L15+'26.6'!L15+'27.6'!L15+'28.6'!L15+'29.6'!L15+'30.6'!L15</f>
        <v>0</v>
      </c>
      <c r="L15" s="233">
        <f>'1.6'!M15+'2.6'!M15+'3.6'!M15+'4.6'!M15+'5.6'!M15+'6.6'!M15+'7.6'!M15+'8.6'!M15+'9.6'!M15+'10.6'!M15+'11.6'!M15+'12.6'!M15+'13.6'!M15+'14.6'!M15+'15.6'!M15+'16.6'!M15+'17.6'!M15+'18.6'!M15+'19.6'!M15+'20.6'!M15+'21.6'!M15+'22.6'!M15+'23.6'!M15+'24.6'!M15+'25.6'!M15+'26.6'!M15+'27.6'!M15+'28.6'!M15+'29.6'!M15+'30.6'!M15</f>
        <v>0</v>
      </c>
      <c r="M15" s="233">
        <f>'1.6'!N15+'2.6'!N15+'3.6'!N15+'4.6'!N15+'5.6'!N15+'6.6'!N15+'7.6'!N15+'8.6'!N15+'9.6'!N15+'10.6'!N15+'11.6'!N15+'12.6'!N15+'13.6'!N15+'14.6'!N15+'15.6'!N15+'16.6'!N15+'17.6'!N15+'18.6'!N15+'19.6'!N15+'20.6'!N15+'21.6'!N15+'22.6'!N15+'23.6'!N15+'24.6'!N15+'25.6'!N15+'26.6'!N15+'27.6'!N15+'28.6'!N15+'29.6'!N15+'30.6'!N15</f>
        <v>3</v>
      </c>
      <c r="N15" s="233">
        <f>'1.6'!O15+'2.6'!O15+'3.6'!O15+'4.6'!O15+'5.6'!O15+'6.6'!O15+'7.6'!O15+'8.6'!O15+'9.6'!O15+'10.6'!O15+'11.6'!O15+'12.6'!O15+'13.6'!O15+'14.6'!O15+'15.6'!O15+'16.6'!O15+'17.6'!O15+'18.6'!O15+'19.6'!O15+'20.6'!O15+'21.6'!O15+'22.6'!O15+'23.6'!O15+'24.6'!O15+'25.6'!O15+'26.6'!O15+'27.6'!O15+'28.6'!O15+'29.6'!O15+'30.6'!O15</f>
        <v>2</v>
      </c>
      <c r="O15" s="233">
        <f>'1.6'!P15+'2.6'!P15+'3.6'!P15+'4.6'!P15+'5.6'!P15+'6.6'!P15+'7.6'!P15+'8.6'!P15+'9.6'!P15+'10.6'!P15+'11.6'!P15+'12.6'!P15+'13.6'!P15+'14.6'!P15+'15.6'!P15+'16.6'!P15+'17.6'!P15+'18.6'!P15+'19.6'!P15+'20.6'!P15+'21.6'!P15+'22.6'!P15+'23.6'!P15+'24.6'!P15+'25.6'!P15+'26.6'!P15+'27.6'!P15+'28.6'!P15+'29.6'!P15+'30.6'!P15</f>
        <v>0</v>
      </c>
      <c r="P15" s="233">
        <f>'1.6'!Q15+'2.6'!Q15+'3.6'!Q15+'4.6'!Q15+'5.6'!Q15+'6.6'!Q15+'7.6'!Q15+'8.6'!Q15+'9.6'!Q15+'10.6'!Q15+'11.6'!Q15+'12.6'!Q15+'13.6'!Q15+'14.6'!Q15+'15.6'!Q15+'16.6'!Q15+'17.6'!Q15+'18.6'!Q15+'19.6'!Q15+'20.6'!Q15+'21.6'!Q15+'22.6'!Q15+'23.6'!Q15+'24.6'!Q15+'25.6'!Q15+'26.6'!Q15+'27.6'!Q15+'28.6'!Q15+'29.6'!Q15+'30.6'!Q15</f>
        <v>2</v>
      </c>
      <c r="Q15" s="233">
        <f>'1.6'!R15+'2.6'!R15+'3.6'!R15+'4.6'!R15+'5.6'!R15+'6.6'!R15+'7.6'!R15+'8.6'!R15+'9.6'!R15+'10.6'!R15+'11.6'!R15+'12.6'!R15+'13.6'!R15+'14.6'!R15+'15.6'!R15+'16.6'!R15+'17.6'!R15+'18.6'!R15+'19.6'!R15+'20.6'!R15+'21.6'!R15+'22.6'!R15+'23.6'!R15+'24.6'!R15+'25.6'!R15+'26.6'!R15+'27.6'!R15+'28.6'!R15+'29.6'!R15+'30.6'!R15</f>
        <v>0</v>
      </c>
      <c r="R15" s="233">
        <f>'1.6'!S15+'2.6'!S15+'3.6'!S15+'4.6'!S15+'5.6'!S15+'6.6'!S15+'7.6'!S15+'8.6'!S15+'9.6'!S15+'10.6'!S15+'11.6'!S15+'12.6'!S15+'13.6'!S15+'14.6'!S15+'15.6'!S15+'16.6'!S15+'17.6'!S15+'18.6'!S15+'19.6'!S15+'20.6'!S15+'21.6'!S15+'22.6'!S15+'23.6'!S15+'24.6'!S15+'25.6'!S15+'26.6'!S15+'27.6'!S15+'28.6'!S15+'29.6'!S15+'30.6'!S15</f>
        <v>0</v>
      </c>
      <c r="S15" s="233">
        <f>'1.6'!T15+'2.6'!T15+'3.6'!T15+'4.6'!T15+'5.6'!T15+'6.6'!T15+'7.6'!T15+'8.6'!T15+'9.6'!T15+'10.6'!T15+'11.6'!T15+'12.6'!T15+'13.6'!T15+'14.6'!T15+'15.6'!T15+'16.6'!T15+'17.6'!T15+'18.6'!T15+'19.6'!T15+'20.6'!T15+'21.6'!T15+'22.6'!T15+'23.6'!T15+'24.6'!T15+'25.6'!T15+'26.6'!T15+'27.6'!T15+'28.6'!T15+'29.6'!T15+'30.6'!T15</f>
        <v>3</v>
      </c>
    </row>
    <row r="16" spans="1:19" ht="18.75">
      <c r="A16" s="6">
        <v>12</v>
      </c>
      <c r="B16" s="12" t="s">
        <v>28</v>
      </c>
      <c r="C16" s="6" t="s">
        <v>27</v>
      </c>
      <c r="D16" s="9">
        <f t="shared" si="0"/>
        <v>14</v>
      </c>
      <c r="E16" s="233">
        <f>'1.6'!F16+'2.6'!F16+'3.6'!F16+'4.6'!F16+'5.6'!F16+'6.6'!F16+'7.6'!F16+'8.6'!F16+'9.6'!F16+'10.6'!F16+'11.6'!F16+'12.6'!F16+'13.6'!F16+'14.6'!F16+'15.6'!F16+'16.6'!F16+'17.6'!F16+'18.6'!F16+'19.6'!F16+'20.6'!F16+'21.6'!F16+'22.6'!F16+'23.6'!F16+'24.6'!F16+'25.6'!F16+'26.6'!F16+'27.6'!F16+'28.6'!F16+'29.6'!F16+'30.6'!F16</f>
        <v>4</v>
      </c>
      <c r="F16" s="233">
        <f>'1.6'!G16+'2.6'!G16+'3.6'!G16+'4.6'!G16+'5.6'!G16+'6.6'!G16+'7.6'!G16+'8.6'!G16+'9.6'!G16+'10.6'!G16+'11.6'!G16+'12.6'!G16+'13.6'!G16+'14.6'!G16+'15.6'!G16+'16.6'!G16+'17.6'!G16+'18.6'!G16+'19.6'!G16+'20.6'!G16+'21.6'!G16+'22.6'!G16+'23.6'!G16+'24.6'!G16+'25.6'!G16+'26.6'!G16+'27.6'!G16+'28.6'!G16+'29.6'!G16+'30.6'!G16</f>
        <v>3</v>
      </c>
      <c r="G16" s="233">
        <f>'1.6'!H16+'2.6'!H16+'3.6'!H16+'4.6'!H16+'5.6'!H16+'6.6'!H16+'7.6'!H16+'8.6'!H16+'9.6'!H16+'10.6'!H16+'11.6'!H16+'12.6'!H16+'13.6'!H16+'14.6'!H16+'15.6'!H16+'16.6'!H16+'17.6'!H16+'18.6'!H16+'19.6'!H16+'20.6'!H16+'21.6'!H16+'22.6'!H16+'23.6'!H16+'24.6'!H16+'25.6'!H16+'26.6'!H16+'27.6'!H16+'28.6'!H16+'29.6'!H16+'30.6'!H16</f>
        <v>0</v>
      </c>
      <c r="H16" s="233">
        <f>'1.6'!I16+'2.6'!I16+'3.6'!I16+'4.6'!I16+'5.6'!I16+'6.6'!I16+'7.6'!I16+'8.6'!I16+'9.6'!I16+'10.6'!I16+'11.6'!I16+'12.6'!I16+'13.6'!I16+'14.6'!I16+'15.6'!I16+'16.6'!I16+'17.6'!I16+'18.6'!I16+'19.6'!I16+'20.6'!I16+'21.6'!I16+'22.6'!I16+'23.6'!I16+'24.6'!I16+'25.6'!I16+'26.6'!I16+'27.6'!I16+'28.6'!I16+'29.6'!I16+'30.6'!I16</f>
        <v>4</v>
      </c>
      <c r="I16" s="233">
        <f>'1.6'!J16+'2.6'!J16+'3.6'!J16+'4.6'!J16+'5.6'!J16+'6.6'!J16+'7.6'!J16+'8.6'!J16+'9.6'!J16+'10.6'!J16+'11.6'!J16+'12.6'!J16+'13.6'!J16+'14.6'!J16+'15.6'!J16+'16.6'!J16+'17.6'!J16+'18.6'!J16+'19.6'!J16+'20.6'!J16+'21.6'!J16+'22.6'!J16+'23.6'!J16+'24.6'!J16+'25.6'!J16+'26.6'!J16+'27.6'!J16+'28.6'!J16+'29.6'!J16+'30.6'!J16</f>
        <v>0</v>
      </c>
      <c r="J16" s="233">
        <f>'1.6'!K16+'2.6'!K16+'3.6'!K16+'4.6'!K16+'5.6'!K16+'6.6'!K16+'7.6'!K16+'8.6'!K16+'9.6'!K16+'10.6'!K16+'11.6'!K16+'12.6'!K16+'13.6'!K16+'14.6'!K16+'15.6'!K16+'16.6'!K16+'17.6'!K16+'18.6'!K16+'19.6'!K16+'20.6'!K16+'21.6'!K16+'22.6'!K16+'23.6'!K16+'24.6'!K16+'25.6'!K16+'26.6'!K16+'27.6'!K16+'28.6'!K16+'29.6'!K16+'30.6'!K16</f>
        <v>3</v>
      </c>
      <c r="K16" s="233">
        <f>'1.6'!L16+'2.6'!L16+'3.6'!L16+'4.6'!L16+'5.6'!L16+'6.6'!L16+'7.6'!L16+'8.6'!L16+'9.6'!L16+'10.6'!L16+'11.6'!L16+'12.6'!L16+'13.6'!L16+'14.6'!L16+'15.6'!L16+'16.6'!L16+'17.6'!L16+'18.6'!L16+'19.6'!L16+'20.6'!L16+'21.6'!L16+'22.6'!L16+'23.6'!L16+'24.6'!L16+'25.6'!L16+'26.6'!L16+'27.6'!L16+'28.6'!L16+'29.6'!L16+'30.6'!L16</f>
        <v>0</v>
      </c>
      <c r="L16" s="233">
        <f>'1.6'!M16+'2.6'!M16+'3.6'!M16+'4.6'!M16+'5.6'!M16+'6.6'!M16+'7.6'!M16+'8.6'!M16+'9.6'!M16+'10.6'!M16+'11.6'!M16+'12.6'!M16+'13.6'!M16+'14.6'!M16+'15.6'!M16+'16.6'!M16+'17.6'!M16+'18.6'!M16+'19.6'!M16+'20.6'!M16+'21.6'!M16+'22.6'!M16+'23.6'!M16+'24.6'!M16+'25.6'!M16+'26.6'!M16+'27.6'!M16+'28.6'!M16+'29.6'!M16+'30.6'!M16</f>
        <v>0</v>
      </c>
      <c r="M16" s="233">
        <f>'1.6'!N16+'2.6'!N16+'3.6'!N16+'4.6'!N16+'5.6'!N16+'6.6'!N16+'7.6'!N16+'8.6'!N16+'9.6'!N16+'10.6'!N16+'11.6'!N16+'12.6'!N16+'13.6'!N16+'14.6'!N16+'15.6'!N16+'16.6'!N16+'17.6'!N16+'18.6'!N16+'19.6'!N16+'20.6'!N16+'21.6'!N16+'22.6'!N16+'23.6'!N16+'24.6'!N16+'25.6'!N16+'26.6'!N16+'27.6'!N16+'28.6'!N16+'29.6'!N16+'30.6'!N16</f>
        <v>0</v>
      </c>
      <c r="N16" s="233">
        <f>'1.6'!O16+'2.6'!O16+'3.6'!O16+'4.6'!O16+'5.6'!O16+'6.6'!O16+'7.6'!O16+'8.6'!O16+'9.6'!O16+'10.6'!O16+'11.6'!O16+'12.6'!O16+'13.6'!O16+'14.6'!O16+'15.6'!O16+'16.6'!O16+'17.6'!O16+'18.6'!O16+'19.6'!O16+'20.6'!O16+'21.6'!O16+'22.6'!O16+'23.6'!O16+'24.6'!O16+'25.6'!O16+'26.6'!O16+'27.6'!O16+'28.6'!O16+'29.6'!O16+'30.6'!O16</f>
        <v>0</v>
      </c>
      <c r="O16" s="233">
        <f>'1.6'!P16+'2.6'!P16+'3.6'!P16+'4.6'!P16+'5.6'!P16+'6.6'!P16+'7.6'!P16+'8.6'!P16+'9.6'!P16+'10.6'!P16+'11.6'!P16+'12.6'!P16+'13.6'!P16+'14.6'!P16+'15.6'!P16+'16.6'!P16+'17.6'!P16+'18.6'!P16+'19.6'!P16+'20.6'!P16+'21.6'!P16+'22.6'!P16+'23.6'!P16+'24.6'!P16+'25.6'!P16+'26.6'!P16+'27.6'!P16+'28.6'!P16+'29.6'!P16+'30.6'!P16</f>
        <v>0</v>
      </c>
      <c r="P16" s="233">
        <f>'1.6'!Q16+'2.6'!Q16+'3.6'!Q16+'4.6'!Q16+'5.6'!Q16+'6.6'!Q16+'7.6'!Q16+'8.6'!Q16+'9.6'!Q16+'10.6'!Q16+'11.6'!Q16+'12.6'!Q16+'13.6'!Q16+'14.6'!Q16+'15.6'!Q16+'16.6'!Q16+'17.6'!Q16+'18.6'!Q16+'19.6'!Q16+'20.6'!Q16+'21.6'!Q16+'22.6'!Q16+'23.6'!Q16+'24.6'!Q16+'25.6'!Q16+'26.6'!Q16+'27.6'!Q16+'28.6'!Q16+'29.6'!Q16+'30.6'!Q16</f>
        <v>0</v>
      </c>
      <c r="Q16" s="233">
        <f>'1.6'!R16+'2.6'!R16+'3.6'!R16+'4.6'!R16+'5.6'!R16+'6.6'!R16+'7.6'!R16+'8.6'!R16+'9.6'!R16+'10.6'!R16+'11.6'!R16+'12.6'!R16+'13.6'!R16+'14.6'!R16+'15.6'!R16+'16.6'!R16+'17.6'!R16+'18.6'!R16+'19.6'!R16+'20.6'!R16+'21.6'!R16+'22.6'!R16+'23.6'!R16+'24.6'!R16+'25.6'!R16+'26.6'!R16+'27.6'!R16+'28.6'!R16+'29.6'!R16+'30.6'!R16</f>
        <v>0</v>
      </c>
      <c r="R16" s="233">
        <f>'1.6'!S16+'2.6'!S16+'3.6'!S16+'4.6'!S16+'5.6'!S16+'6.6'!S16+'7.6'!S16+'8.6'!S16+'9.6'!S16+'10.6'!S16+'11.6'!S16+'12.6'!S16+'13.6'!S16+'14.6'!S16+'15.6'!S16+'16.6'!S16+'17.6'!S16+'18.6'!S16+'19.6'!S16+'20.6'!S16+'21.6'!S16+'22.6'!S16+'23.6'!S16+'24.6'!S16+'25.6'!S16+'26.6'!S16+'27.6'!S16+'28.6'!S16+'29.6'!S16+'30.6'!S16</f>
        <v>0</v>
      </c>
      <c r="S16" s="233">
        <f>'1.6'!T16+'2.6'!T16+'3.6'!T16+'4.6'!T16+'5.6'!T16+'6.6'!T16+'7.6'!T16+'8.6'!T16+'9.6'!T16+'10.6'!T16+'11.6'!T16+'12.6'!T16+'13.6'!T16+'14.6'!T16+'15.6'!T16+'16.6'!T16+'17.6'!T16+'18.6'!T16+'19.6'!T16+'20.6'!T16+'21.6'!T16+'22.6'!T16+'23.6'!T16+'24.6'!T16+'25.6'!T16+'26.6'!T16+'27.6'!T16+'28.6'!T16+'29.6'!T16+'30.6'!T16</f>
        <v>0</v>
      </c>
    </row>
    <row r="17" spans="1:19" ht="18.75">
      <c r="A17" s="6">
        <v>13</v>
      </c>
      <c r="B17" s="220" t="s">
        <v>107</v>
      </c>
      <c r="C17" s="6" t="s">
        <v>111</v>
      </c>
      <c r="D17" s="9">
        <f t="shared" si="0"/>
        <v>191</v>
      </c>
      <c r="E17" s="233">
        <f>'1.6'!F17+'2.6'!F17+'3.6'!F17+'4.6'!F17+'5.6'!F17+'6.6'!F17+'7.6'!F17+'8.6'!F17+'9.6'!F17+'10.6'!F17+'11.6'!F17+'12.6'!F17+'13.6'!F17+'14.6'!F17+'15.6'!F17+'16.6'!F17+'17.6'!F17+'18.6'!F17+'19.6'!F17+'20.6'!F17+'21.6'!F17+'22.6'!F17+'23.6'!F17+'24.6'!F17+'25.6'!F17+'26.6'!F17+'27.6'!F17+'28.6'!F17+'29.6'!F17+'30.6'!F17</f>
        <v>0</v>
      </c>
      <c r="F17" s="233">
        <f>'1.6'!G17+'2.6'!G17+'3.6'!G17+'4.6'!G17+'5.6'!G17+'6.6'!G17+'7.6'!G17+'8.6'!G17+'9.6'!G17+'10.6'!G17+'11.6'!G17+'12.6'!G17+'13.6'!G17+'14.6'!G17+'15.6'!G17+'16.6'!G17+'17.6'!G17+'18.6'!G17+'19.6'!G17+'20.6'!G17+'21.6'!G17+'22.6'!G17+'23.6'!G17+'24.6'!G17+'25.6'!G17+'26.6'!G17+'27.6'!G17+'28.6'!G17+'29.6'!G17+'30.6'!G17</f>
        <v>8</v>
      </c>
      <c r="G17" s="233">
        <f>'1.6'!H17+'2.6'!H17+'3.6'!H17+'4.6'!H17+'5.6'!H17+'6.6'!H17+'7.6'!H17+'8.6'!H17+'9.6'!H17+'10.6'!H17+'11.6'!H17+'12.6'!H17+'13.6'!H17+'14.6'!H17+'15.6'!H17+'16.6'!H17+'17.6'!H17+'18.6'!H17+'19.6'!H17+'20.6'!H17+'21.6'!H17+'22.6'!H17+'23.6'!H17+'24.6'!H17+'25.6'!H17+'26.6'!H17+'27.6'!H17+'28.6'!H17+'29.6'!H17+'30.6'!H17</f>
        <v>0</v>
      </c>
      <c r="H17" s="233">
        <f>'1.6'!I17+'2.6'!I17+'3.6'!I17+'4.6'!I17+'5.6'!I17+'6.6'!I17+'7.6'!I17+'8.6'!I17+'9.6'!I17+'10.6'!I17+'11.6'!I17+'12.6'!I17+'13.6'!I17+'14.6'!I17+'15.6'!I17+'16.6'!I17+'17.6'!I17+'18.6'!I17+'19.6'!I17+'20.6'!I17+'21.6'!I17+'22.6'!I17+'23.6'!I17+'24.6'!I17+'25.6'!I17+'26.6'!I17+'27.6'!I17+'28.6'!I17+'29.6'!I17+'30.6'!I17</f>
        <v>0</v>
      </c>
      <c r="I17" s="233">
        <f>'1.6'!J17+'2.6'!J17+'3.6'!J17+'4.6'!J17+'5.6'!J17+'6.6'!J17+'7.6'!J17+'8.6'!J17+'9.6'!J17+'10.6'!J17+'11.6'!J17+'12.6'!J17+'13.6'!J17+'14.6'!J17+'15.6'!J17+'16.6'!J17+'17.6'!J17+'18.6'!J17+'19.6'!J17+'20.6'!J17+'21.6'!J17+'22.6'!J17+'23.6'!J17+'24.6'!J17+'25.6'!J17+'26.6'!J17+'27.6'!J17+'28.6'!J17+'29.6'!J17+'30.6'!J17</f>
        <v>0</v>
      </c>
      <c r="J17" s="233">
        <f>'1.6'!K17+'2.6'!K17+'3.6'!K17+'4.6'!K17+'5.6'!K17+'6.6'!K17+'7.6'!K17+'8.6'!K17+'9.6'!K17+'10.6'!K17+'11.6'!K17+'12.6'!K17+'13.6'!K17+'14.6'!K17+'15.6'!K17+'16.6'!K17+'17.6'!K17+'18.6'!K17+'19.6'!K17+'20.6'!K17+'21.6'!K17+'22.6'!K17+'23.6'!K17+'24.6'!K17+'25.6'!K17+'26.6'!K17+'27.6'!K17+'28.6'!K17+'29.6'!K17+'30.6'!K17</f>
        <v>0</v>
      </c>
      <c r="K17" s="233">
        <f>'1.6'!L17+'2.6'!L17+'3.6'!L17+'4.6'!L17+'5.6'!L17+'6.6'!L17+'7.6'!L17+'8.6'!L17+'9.6'!L17+'10.6'!L17+'11.6'!L17+'12.6'!L17+'13.6'!L17+'14.6'!L17+'15.6'!L17+'16.6'!L17+'17.6'!L17+'18.6'!L17+'19.6'!L17+'20.6'!L17+'21.6'!L17+'22.6'!L17+'23.6'!L17+'24.6'!L17+'25.6'!L17+'26.6'!L17+'27.6'!L17+'28.6'!L17+'29.6'!L17+'30.6'!L17</f>
        <v>0</v>
      </c>
      <c r="L17" s="233">
        <f>'1.6'!M17+'2.6'!M17+'3.6'!M17+'4.6'!M17+'5.6'!M17+'6.6'!M17+'7.6'!M17+'8.6'!M17+'9.6'!M17+'10.6'!M17+'11.6'!M17+'12.6'!M17+'13.6'!M17+'14.6'!M17+'15.6'!M17+'16.6'!M17+'17.6'!M17+'18.6'!M17+'19.6'!M17+'20.6'!M17+'21.6'!M17+'22.6'!M17+'23.6'!M17+'24.6'!M17+'25.6'!M17+'26.6'!M17+'27.6'!M17+'28.6'!M17+'29.6'!M17+'30.6'!M17</f>
        <v>0</v>
      </c>
      <c r="M17" s="233">
        <f>'1.6'!N17+'2.6'!N17+'3.6'!N17+'4.6'!N17+'5.6'!N17+'6.6'!N17+'7.6'!N17+'8.6'!N17+'9.6'!N17+'10.6'!N17+'11.6'!N17+'12.6'!N17+'13.6'!N17+'14.6'!N17+'15.6'!N17+'16.6'!N17+'17.6'!N17+'18.6'!N17+'19.6'!N17+'20.6'!N17+'21.6'!N17+'22.6'!N17+'23.6'!N17+'24.6'!N17+'25.6'!N17+'26.6'!N17+'27.6'!N17+'28.6'!N17+'29.6'!N17+'30.6'!N17</f>
        <v>0</v>
      </c>
      <c r="N17" s="233">
        <f>'1.6'!O17+'2.6'!O17+'3.6'!O17+'4.6'!O17+'5.6'!O17+'6.6'!O17+'7.6'!O17+'8.6'!O17+'9.6'!O17+'10.6'!O17+'11.6'!O17+'12.6'!O17+'13.6'!O17+'14.6'!O17+'15.6'!O17+'16.6'!O17+'17.6'!O17+'18.6'!O17+'19.6'!O17+'20.6'!O17+'21.6'!O17+'22.6'!O17+'23.6'!O17+'24.6'!O17+'25.6'!O17+'26.6'!O17+'27.6'!O17+'28.6'!O17+'29.6'!O17+'30.6'!O17</f>
        <v>0</v>
      </c>
      <c r="O17" s="233">
        <f>'1.6'!P17+'2.6'!P17+'3.6'!P17+'4.6'!P17+'5.6'!P17+'6.6'!P17+'7.6'!P17+'8.6'!P17+'9.6'!P17+'10.6'!P17+'11.6'!P17+'12.6'!P17+'13.6'!P17+'14.6'!P17+'15.6'!P17+'16.6'!P17+'17.6'!P17+'18.6'!P17+'19.6'!P17+'20.6'!P17+'21.6'!P17+'22.6'!P17+'23.6'!P17+'24.6'!P17+'25.6'!P17+'26.6'!P17+'27.6'!P17+'28.6'!P17+'29.6'!P17+'30.6'!P17</f>
        <v>13</v>
      </c>
      <c r="P17" s="233">
        <f>'1.6'!Q17+'2.6'!Q17+'3.6'!Q17+'4.6'!Q17+'5.6'!Q17+'6.6'!Q17+'7.6'!Q17+'8.6'!Q17+'9.6'!Q17+'10.6'!Q17+'11.6'!Q17+'12.6'!Q17+'13.6'!Q17+'14.6'!Q17+'15.6'!Q17+'16.6'!Q17+'17.6'!Q17+'18.6'!Q17+'19.6'!Q17+'20.6'!Q17+'21.6'!Q17+'22.6'!Q17+'23.6'!Q17+'24.6'!Q17+'25.6'!Q17+'26.6'!Q17+'27.6'!Q17+'28.6'!Q17+'29.6'!Q17+'30.6'!Q17</f>
        <v>25</v>
      </c>
      <c r="Q17" s="233">
        <f>'1.6'!R17+'2.6'!R17+'3.6'!R17+'4.6'!R17+'5.6'!R17+'6.6'!R17+'7.6'!R17+'8.6'!R17+'9.6'!R17+'10.6'!R17+'11.6'!R17+'12.6'!R17+'13.6'!R17+'14.6'!R17+'15.6'!R17+'16.6'!R17+'17.6'!R17+'18.6'!R17+'19.6'!R17+'20.6'!R17+'21.6'!R17+'22.6'!R17+'23.6'!R17+'24.6'!R17+'25.6'!R17+'26.6'!R17+'27.6'!R17+'28.6'!R17+'29.6'!R17+'30.6'!R17</f>
        <v>25</v>
      </c>
      <c r="R17" s="233">
        <f>'1.6'!S17+'2.6'!S17+'3.6'!S17+'4.6'!S17+'5.6'!S17+'6.6'!S17+'7.6'!S17+'8.6'!S17+'9.6'!S17+'10.6'!S17+'11.6'!S17+'12.6'!S17+'13.6'!S17+'14.6'!S17+'15.6'!S17+'16.6'!S17+'17.6'!S17+'18.6'!S17+'19.6'!S17+'20.6'!S17+'21.6'!S17+'22.6'!S17+'23.6'!S17+'24.6'!S17+'25.6'!S17+'26.6'!S17+'27.6'!S17+'28.6'!S17+'29.6'!S17+'30.6'!S17</f>
        <v>120</v>
      </c>
      <c r="S17" s="233">
        <f>'1.6'!T17+'2.6'!T17+'3.6'!T17+'4.6'!T17+'5.6'!T17+'6.6'!T17+'7.6'!T17+'8.6'!T17+'9.6'!T17+'10.6'!T17+'11.6'!T17+'12.6'!T17+'13.6'!T17+'14.6'!T17+'15.6'!T17+'16.6'!T17+'17.6'!T17+'18.6'!T17+'19.6'!T17+'20.6'!T17+'21.6'!T17+'22.6'!T17+'23.6'!T17+'24.6'!T17+'25.6'!T17+'26.6'!T17+'27.6'!T17+'28.6'!T17+'29.6'!T17+'30.6'!T17</f>
        <v>0</v>
      </c>
    </row>
    <row r="18" spans="1:19" ht="18.75" customHeight="1">
      <c r="A18" s="6">
        <v>14</v>
      </c>
      <c r="B18" s="220" t="s">
        <v>108</v>
      </c>
      <c r="C18" s="6" t="s">
        <v>111</v>
      </c>
      <c r="D18" s="9">
        <f t="shared" si="0"/>
        <v>124</v>
      </c>
      <c r="E18" s="233">
        <f>'1.6'!F18+'2.6'!F18+'3.6'!F18+'4.6'!F18+'5.6'!F18+'6.6'!F18+'7.6'!F18+'8.6'!F18+'9.6'!F18+'10.6'!F18+'11.6'!F18+'12.6'!F18+'13.6'!F18+'14.6'!F18+'15.6'!F18+'16.6'!F18+'17.6'!F18+'18.6'!F18+'19.6'!F18+'20.6'!F18+'21.6'!F18+'22.6'!F18+'23.6'!F18+'24.6'!F18+'25.6'!F18+'26.6'!F18+'27.6'!F18+'28.6'!F18+'29.6'!F18+'30.6'!F18</f>
        <v>25</v>
      </c>
      <c r="F18" s="233">
        <f>'1.6'!G18+'2.6'!G18+'3.6'!G18+'4.6'!G18+'5.6'!G18+'6.6'!G18+'7.6'!G18+'8.6'!G18+'9.6'!G18+'10.6'!G18+'11.6'!G18+'12.6'!G18+'13.6'!G18+'14.6'!G18+'15.6'!G18+'16.6'!G18+'17.6'!G18+'18.6'!G18+'19.6'!G18+'20.6'!G18+'21.6'!G18+'22.6'!G18+'23.6'!G18+'24.6'!G18+'25.6'!G18+'26.6'!G18+'27.6'!G18+'28.6'!G18+'29.6'!G18+'30.6'!G18</f>
        <v>6</v>
      </c>
      <c r="G18" s="233">
        <f>'1.6'!H18+'2.6'!H18+'3.6'!H18+'4.6'!H18+'5.6'!H18+'6.6'!H18+'7.6'!H18+'8.6'!H18+'9.6'!H18+'10.6'!H18+'11.6'!H18+'12.6'!H18+'13.6'!H18+'14.6'!H18+'15.6'!H18+'16.6'!H18+'17.6'!H18+'18.6'!H18+'19.6'!H18+'20.6'!H18+'21.6'!H18+'22.6'!H18+'23.6'!H18+'24.6'!H18+'25.6'!H18+'26.6'!H18+'27.6'!H18+'28.6'!H18+'29.6'!H18+'30.6'!H18</f>
        <v>0</v>
      </c>
      <c r="H18" s="233">
        <f>'1.6'!I18+'2.6'!I18+'3.6'!I18+'4.6'!I18+'5.6'!I18+'6.6'!I18+'7.6'!I18+'8.6'!I18+'9.6'!I18+'10.6'!I18+'11.6'!I18+'12.6'!I18+'13.6'!I18+'14.6'!I18+'15.6'!I18+'16.6'!I18+'17.6'!I18+'18.6'!I18+'19.6'!I18+'20.6'!I18+'21.6'!I18+'22.6'!I18+'23.6'!I18+'24.6'!I18+'25.6'!I18+'26.6'!I18+'27.6'!I18+'28.6'!I18+'29.6'!I18+'30.6'!I18</f>
        <v>1</v>
      </c>
      <c r="I18" s="233">
        <f>'1.6'!J18+'2.6'!J18+'3.6'!J18+'4.6'!J18+'5.6'!J18+'6.6'!J18+'7.6'!J18+'8.6'!J18+'9.6'!J18+'10.6'!J18+'11.6'!J18+'12.6'!J18+'13.6'!J18+'14.6'!J18+'15.6'!J18+'16.6'!J18+'17.6'!J18+'18.6'!J18+'19.6'!J18+'20.6'!J18+'21.6'!J18+'22.6'!J18+'23.6'!J18+'24.6'!J18+'25.6'!J18+'26.6'!J18+'27.6'!J18+'28.6'!J18+'29.6'!J18+'30.6'!J18</f>
        <v>0</v>
      </c>
      <c r="J18" s="233">
        <f>'1.6'!K18+'2.6'!K18+'3.6'!K18+'4.6'!K18+'5.6'!K18+'6.6'!K18+'7.6'!K18+'8.6'!K18+'9.6'!K18+'10.6'!K18+'11.6'!K18+'12.6'!K18+'13.6'!K18+'14.6'!K18+'15.6'!K18+'16.6'!K18+'17.6'!K18+'18.6'!K18+'19.6'!K18+'20.6'!K18+'21.6'!K18+'22.6'!K18+'23.6'!K18+'24.6'!K18+'25.6'!K18+'26.6'!K18+'27.6'!K18+'28.6'!K18+'29.6'!K18+'30.6'!K18</f>
        <v>0</v>
      </c>
      <c r="K18" s="233">
        <f>'1.6'!L18+'2.6'!L18+'3.6'!L18+'4.6'!L18+'5.6'!L18+'6.6'!L18+'7.6'!L18+'8.6'!L18+'9.6'!L18+'10.6'!L18+'11.6'!L18+'12.6'!L18+'13.6'!L18+'14.6'!L18+'15.6'!L18+'16.6'!L18+'17.6'!L18+'18.6'!L18+'19.6'!L18+'20.6'!L18+'21.6'!L18+'22.6'!L18+'23.6'!L18+'24.6'!L18+'25.6'!L18+'26.6'!L18+'27.6'!L18+'28.6'!L18+'29.6'!L18+'30.6'!L18</f>
        <v>0</v>
      </c>
      <c r="L18" s="233">
        <f>'1.6'!M18+'2.6'!M18+'3.6'!M18+'4.6'!M18+'5.6'!M18+'6.6'!M18+'7.6'!M18+'8.6'!M18+'9.6'!M18+'10.6'!M18+'11.6'!M18+'12.6'!M18+'13.6'!M18+'14.6'!M18+'15.6'!M18+'16.6'!M18+'17.6'!M18+'18.6'!M18+'19.6'!M18+'20.6'!M18+'21.6'!M18+'22.6'!M18+'23.6'!M18+'24.6'!M18+'25.6'!M18+'26.6'!M18+'27.6'!M18+'28.6'!M18+'29.6'!M18+'30.6'!M18</f>
        <v>0</v>
      </c>
      <c r="M18" s="233">
        <f>'1.6'!N18+'2.6'!N18+'3.6'!N18+'4.6'!N18+'5.6'!N18+'6.6'!N18+'7.6'!N18+'8.6'!N18+'9.6'!N18+'10.6'!N18+'11.6'!N18+'12.6'!N18+'13.6'!N18+'14.6'!N18+'15.6'!N18+'16.6'!N18+'17.6'!N18+'18.6'!N18+'19.6'!N18+'20.6'!N18+'21.6'!N18+'22.6'!N18+'23.6'!N18+'24.6'!N18+'25.6'!N18+'26.6'!N18+'27.6'!N18+'28.6'!N18+'29.6'!N18+'30.6'!N18</f>
        <v>0</v>
      </c>
      <c r="N18" s="233">
        <f>'1.6'!O18+'2.6'!O18+'3.6'!O18+'4.6'!O18+'5.6'!O18+'6.6'!O18+'7.6'!O18+'8.6'!O18+'9.6'!O18+'10.6'!O18+'11.6'!O18+'12.6'!O18+'13.6'!O18+'14.6'!O18+'15.6'!O18+'16.6'!O18+'17.6'!O18+'18.6'!O18+'19.6'!O18+'20.6'!O18+'21.6'!O18+'22.6'!O18+'23.6'!O18+'24.6'!O18+'25.6'!O18+'26.6'!O18+'27.6'!O18+'28.6'!O18+'29.6'!O18+'30.6'!O18</f>
        <v>0</v>
      </c>
      <c r="O18" s="233">
        <f>'1.6'!P18+'2.6'!P18+'3.6'!P18+'4.6'!P18+'5.6'!P18+'6.6'!P18+'7.6'!P18+'8.6'!P18+'9.6'!P18+'10.6'!P18+'11.6'!P18+'12.6'!P18+'13.6'!P18+'14.6'!P18+'15.6'!P18+'16.6'!P18+'17.6'!P18+'18.6'!P18+'19.6'!P18+'20.6'!P18+'21.6'!P18+'22.6'!P18+'23.6'!P18+'24.6'!P18+'25.6'!P18+'26.6'!P18+'27.6'!P18+'28.6'!P18+'29.6'!P18+'30.6'!P18</f>
        <v>0</v>
      </c>
      <c r="P18" s="233">
        <f>'1.6'!Q18+'2.6'!Q18+'3.6'!Q18+'4.6'!Q18+'5.6'!Q18+'6.6'!Q18+'7.6'!Q18+'8.6'!Q18+'9.6'!Q18+'10.6'!Q18+'11.6'!Q18+'12.6'!Q18+'13.6'!Q18+'14.6'!Q18+'15.6'!Q18+'16.6'!Q18+'17.6'!Q18+'18.6'!Q18+'19.6'!Q18+'20.6'!Q18+'21.6'!Q18+'22.6'!Q18+'23.6'!Q18+'24.6'!Q18+'25.6'!Q18+'26.6'!Q18+'27.6'!Q18+'28.6'!Q18+'29.6'!Q18+'30.6'!Q18</f>
        <v>20</v>
      </c>
      <c r="Q18" s="233">
        <f>'1.6'!R18+'2.6'!R18+'3.6'!R18+'4.6'!R18+'5.6'!R18+'6.6'!R18+'7.6'!R18+'8.6'!R18+'9.6'!R18+'10.6'!R18+'11.6'!R18+'12.6'!R18+'13.6'!R18+'14.6'!R18+'15.6'!R18+'16.6'!R18+'17.6'!R18+'18.6'!R18+'19.6'!R18+'20.6'!R18+'21.6'!R18+'22.6'!R18+'23.6'!R18+'24.6'!R18+'25.6'!R18+'26.6'!R18+'27.6'!R18+'28.6'!R18+'29.6'!R18+'30.6'!R18</f>
        <v>12</v>
      </c>
      <c r="R18" s="233">
        <f>'1.6'!S18+'2.6'!S18+'3.6'!S18+'4.6'!S18+'5.6'!S18+'6.6'!S18+'7.6'!S18+'8.6'!S18+'9.6'!S18+'10.6'!S18+'11.6'!S18+'12.6'!S18+'13.6'!S18+'14.6'!S18+'15.6'!S18+'16.6'!S18+'17.6'!S18+'18.6'!S18+'19.6'!S18+'20.6'!S18+'21.6'!S18+'22.6'!S18+'23.6'!S18+'24.6'!S18+'25.6'!S18+'26.6'!S18+'27.6'!S18+'28.6'!S18+'29.6'!S18+'30.6'!S18</f>
        <v>60</v>
      </c>
      <c r="S18" s="233">
        <f>'1.6'!T18+'2.6'!T18+'3.6'!T18+'4.6'!T18+'5.6'!T18+'6.6'!T18+'7.6'!T18+'8.6'!T18+'9.6'!T18+'10.6'!T18+'11.6'!T18+'12.6'!T18+'13.6'!T18+'14.6'!T18+'15.6'!T18+'16.6'!T18+'17.6'!T18+'18.6'!T18+'19.6'!T18+'20.6'!T18+'21.6'!T18+'22.6'!T18+'23.6'!T18+'24.6'!T18+'25.6'!T18+'26.6'!T18+'27.6'!T18+'28.6'!T18+'29.6'!T18+'30.6'!T18</f>
        <v>0</v>
      </c>
    </row>
    <row r="19" spans="1:19" ht="18.75" customHeight="1">
      <c r="A19" s="6">
        <v>15</v>
      </c>
      <c r="B19" s="220" t="s">
        <v>109</v>
      </c>
      <c r="C19" s="6" t="s">
        <v>111</v>
      </c>
      <c r="D19" s="9">
        <f t="shared" si="0"/>
        <v>198</v>
      </c>
      <c r="E19" s="233">
        <f>'1.6'!F19+'2.6'!F19+'3.6'!F19+'4.6'!F19+'5.6'!F19+'6.6'!F19+'7.6'!F19+'8.6'!F19+'9.6'!F19+'10.6'!F19+'11.6'!F19+'12.6'!F19+'13.6'!F19+'14.6'!F19+'15.6'!F19+'16.6'!F19+'17.6'!F19+'18.6'!F19+'19.6'!F19+'20.6'!F19+'21.6'!F19+'22.6'!F19+'23.6'!F19+'24.6'!F19+'25.6'!F19+'26.6'!F19+'27.6'!F19+'28.6'!F19+'29.6'!F19+'30.6'!F19</f>
        <v>35</v>
      </c>
      <c r="F19" s="233">
        <f>'1.6'!G19+'2.6'!G19+'3.6'!G19+'4.6'!G19+'5.6'!G19+'6.6'!G19+'7.6'!G19+'8.6'!G19+'9.6'!G19+'10.6'!G19+'11.6'!G19+'12.6'!G19+'13.6'!G19+'14.6'!G19+'15.6'!G19+'16.6'!G19+'17.6'!G19+'18.6'!G19+'19.6'!G19+'20.6'!G19+'21.6'!G19+'22.6'!G19+'23.6'!G19+'24.6'!G19+'25.6'!G19+'26.6'!G19+'27.6'!G19+'28.6'!G19+'29.6'!G19+'30.6'!G19</f>
        <v>6</v>
      </c>
      <c r="G19" s="233">
        <f>'1.6'!H19+'2.6'!H19+'3.6'!H19+'4.6'!H19+'5.6'!H19+'6.6'!H19+'7.6'!H19+'8.6'!H19+'9.6'!H19+'10.6'!H19+'11.6'!H19+'12.6'!H19+'13.6'!H19+'14.6'!H19+'15.6'!H19+'16.6'!H19+'17.6'!H19+'18.6'!H19+'19.6'!H19+'20.6'!H19+'21.6'!H19+'22.6'!H19+'23.6'!H19+'24.6'!H19+'25.6'!H19+'26.6'!H19+'27.6'!H19+'28.6'!H19+'29.6'!H19+'30.6'!H19</f>
        <v>0</v>
      </c>
      <c r="H19" s="233">
        <f>'1.6'!I19+'2.6'!I19+'3.6'!I19+'4.6'!I19+'5.6'!I19+'6.6'!I19+'7.6'!I19+'8.6'!I19+'9.6'!I19+'10.6'!I19+'11.6'!I19+'12.6'!I19+'13.6'!I19+'14.6'!I19+'15.6'!I19+'16.6'!I19+'17.6'!I19+'18.6'!I19+'19.6'!I19+'20.6'!I19+'21.6'!I19+'22.6'!I19+'23.6'!I19+'24.6'!I19+'25.6'!I19+'26.6'!I19+'27.6'!I19+'28.6'!I19+'29.6'!I19+'30.6'!I19</f>
        <v>1</v>
      </c>
      <c r="I19" s="233">
        <f>'1.6'!J19+'2.6'!J19+'3.6'!J19+'4.6'!J19+'5.6'!J19+'6.6'!J19+'7.6'!J19+'8.6'!J19+'9.6'!J19+'10.6'!J19+'11.6'!J19+'12.6'!J19+'13.6'!J19+'14.6'!J19+'15.6'!J19+'16.6'!J19+'17.6'!J19+'18.6'!J19+'19.6'!J19+'20.6'!J19+'21.6'!J19+'22.6'!J19+'23.6'!J19+'24.6'!J19+'25.6'!J19+'26.6'!J19+'27.6'!J19+'28.6'!J19+'29.6'!J19+'30.6'!J19</f>
        <v>0</v>
      </c>
      <c r="J19" s="233">
        <f>'1.6'!K19+'2.6'!K19+'3.6'!K19+'4.6'!K19+'5.6'!K19+'6.6'!K19+'7.6'!K19+'8.6'!K19+'9.6'!K19+'10.6'!K19+'11.6'!K19+'12.6'!K19+'13.6'!K19+'14.6'!K19+'15.6'!K19+'16.6'!K19+'17.6'!K19+'18.6'!K19+'19.6'!K19+'20.6'!K19+'21.6'!K19+'22.6'!K19+'23.6'!K19+'24.6'!K19+'25.6'!K19+'26.6'!K19+'27.6'!K19+'28.6'!K19+'29.6'!K19+'30.6'!K19</f>
        <v>0</v>
      </c>
      <c r="K19" s="233">
        <f>'1.6'!L19+'2.6'!L19+'3.6'!L19+'4.6'!L19+'5.6'!L19+'6.6'!L19+'7.6'!L19+'8.6'!L19+'9.6'!L19+'10.6'!L19+'11.6'!L19+'12.6'!L19+'13.6'!L19+'14.6'!L19+'15.6'!L19+'16.6'!L19+'17.6'!L19+'18.6'!L19+'19.6'!L19+'20.6'!L19+'21.6'!L19+'22.6'!L19+'23.6'!L19+'24.6'!L19+'25.6'!L19+'26.6'!L19+'27.6'!L19+'28.6'!L19+'29.6'!L19+'30.6'!L19</f>
        <v>0</v>
      </c>
      <c r="L19" s="233">
        <f>'1.6'!M19+'2.6'!M19+'3.6'!M19+'4.6'!M19+'5.6'!M19+'6.6'!M19+'7.6'!M19+'8.6'!M19+'9.6'!M19+'10.6'!M19+'11.6'!M19+'12.6'!M19+'13.6'!M19+'14.6'!M19+'15.6'!M19+'16.6'!M19+'17.6'!M19+'18.6'!M19+'19.6'!M19+'20.6'!M19+'21.6'!M19+'22.6'!M19+'23.6'!M19+'24.6'!M19+'25.6'!M19+'26.6'!M19+'27.6'!M19+'28.6'!M19+'29.6'!M19+'30.6'!M19</f>
        <v>0</v>
      </c>
      <c r="M19" s="233">
        <f>'1.6'!N19+'2.6'!N19+'3.6'!N19+'4.6'!N19+'5.6'!N19+'6.6'!N19+'7.6'!N19+'8.6'!N19+'9.6'!N19+'10.6'!N19+'11.6'!N19+'12.6'!N19+'13.6'!N19+'14.6'!N19+'15.6'!N19+'16.6'!N19+'17.6'!N19+'18.6'!N19+'19.6'!N19+'20.6'!N19+'21.6'!N19+'22.6'!N19+'23.6'!N19+'24.6'!N19+'25.6'!N19+'26.6'!N19+'27.6'!N19+'28.6'!N19+'29.6'!N19+'30.6'!N19</f>
        <v>0</v>
      </c>
      <c r="N19" s="233">
        <f>'1.6'!O19+'2.6'!O19+'3.6'!O19+'4.6'!O19+'5.6'!O19+'6.6'!O19+'7.6'!O19+'8.6'!O19+'9.6'!O19+'10.6'!O19+'11.6'!O19+'12.6'!O19+'13.6'!O19+'14.6'!O19+'15.6'!O19+'16.6'!O19+'17.6'!O19+'18.6'!O19+'19.6'!O19+'20.6'!O19+'21.6'!O19+'22.6'!O19+'23.6'!O19+'24.6'!O19+'25.6'!O19+'26.6'!O19+'27.6'!O19+'28.6'!O19+'29.6'!O19+'30.6'!O19</f>
        <v>0</v>
      </c>
      <c r="O19" s="233">
        <f>'1.6'!P19+'2.6'!P19+'3.6'!P19+'4.6'!P19+'5.6'!P19+'6.6'!P19+'7.6'!P19+'8.6'!P19+'9.6'!P19+'10.6'!P19+'11.6'!P19+'12.6'!P19+'13.6'!P19+'14.6'!P19+'15.6'!P19+'16.6'!P19+'17.6'!P19+'18.6'!P19+'19.6'!P19+'20.6'!P19+'21.6'!P19+'22.6'!P19+'23.6'!P19+'24.6'!P19+'25.6'!P19+'26.6'!P19+'27.6'!P19+'28.6'!P19+'29.6'!P19+'30.6'!P19</f>
        <v>0</v>
      </c>
      <c r="P19" s="233">
        <f>'1.6'!Q19+'2.6'!Q19+'3.6'!Q19+'4.6'!Q19+'5.6'!Q19+'6.6'!Q19+'7.6'!Q19+'8.6'!Q19+'9.6'!Q19+'10.6'!Q19+'11.6'!Q19+'12.6'!Q19+'13.6'!Q19+'14.6'!Q19+'15.6'!Q19+'16.6'!Q19+'17.6'!Q19+'18.6'!Q19+'19.6'!Q19+'20.6'!Q19+'21.6'!Q19+'22.6'!Q19+'23.6'!Q19+'24.6'!Q19+'25.6'!Q19+'26.6'!Q19+'27.6'!Q19+'28.6'!Q19+'29.6'!Q19+'30.6'!Q19</f>
        <v>25</v>
      </c>
      <c r="Q19" s="233">
        <f>'1.6'!R19+'2.6'!R19+'3.6'!R19+'4.6'!R19+'5.6'!R19+'6.6'!R19+'7.6'!R19+'8.6'!R19+'9.6'!R19+'10.6'!R19+'11.6'!R19+'12.6'!R19+'13.6'!R19+'14.6'!R19+'15.6'!R19+'16.6'!R19+'17.6'!R19+'18.6'!R19+'19.6'!R19+'20.6'!R19+'21.6'!R19+'22.6'!R19+'23.6'!R19+'24.6'!R19+'25.6'!R19+'26.6'!R19+'27.6'!R19+'28.6'!R19+'29.6'!R19+'30.6'!R19</f>
        <v>15</v>
      </c>
      <c r="R19" s="233">
        <f>'1.6'!S19+'2.6'!S19+'3.6'!S19+'4.6'!S19+'5.6'!S19+'6.6'!S19+'7.6'!S19+'8.6'!S19+'9.6'!S19+'10.6'!S19+'11.6'!S19+'12.6'!S19+'13.6'!S19+'14.6'!S19+'15.6'!S19+'16.6'!S19+'17.6'!S19+'18.6'!S19+'19.6'!S19+'20.6'!S19+'21.6'!S19+'22.6'!S19+'23.6'!S19+'24.6'!S19+'25.6'!S19+'26.6'!S19+'27.6'!S19+'28.6'!S19+'29.6'!S19+'30.6'!S19</f>
        <v>116</v>
      </c>
      <c r="S19" s="233">
        <f>'1.6'!T19+'2.6'!T19+'3.6'!T19+'4.6'!T19+'5.6'!T19+'6.6'!T19+'7.6'!T19+'8.6'!T19+'9.6'!T19+'10.6'!T19+'11.6'!T19+'12.6'!T19+'13.6'!T19+'14.6'!T19+'15.6'!T19+'16.6'!T19+'17.6'!T19+'18.6'!T19+'19.6'!T19+'20.6'!T19+'21.6'!T19+'22.6'!T19+'23.6'!T19+'24.6'!T19+'25.6'!T19+'26.6'!T19+'27.6'!T19+'28.6'!T19+'29.6'!T19+'30.6'!T19</f>
        <v>0</v>
      </c>
    </row>
    <row r="20" spans="1:19" ht="18.75">
      <c r="A20" s="6"/>
      <c r="B20" s="220" t="s">
        <v>110</v>
      </c>
      <c r="C20" s="6" t="s">
        <v>111</v>
      </c>
      <c r="D20" s="9">
        <f t="shared" si="0"/>
        <v>640</v>
      </c>
      <c r="E20" s="233">
        <f>'1.6'!F20+'2.6'!F20+'3.6'!F20+'4.6'!F20+'5.6'!F20+'6.6'!F20+'7.6'!F20+'8.6'!F20+'9.6'!F20+'10.6'!F20+'11.6'!F20+'12.6'!F20+'13.6'!F20+'14.6'!F20+'15.6'!F20+'16.6'!F20+'17.6'!F20+'18.6'!F20+'19.6'!F20+'20.6'!F20+'21.6'!F20+'22.6'!F20+'23.6'!F20+'24.6'!F20+'25.6'!F20+'26.6'!F20+'27.6'!F20+'28.6'!F20+'29.6'!F20+'30.6'!F20</f>
        <v>40</v>
      </c>
      <c r="F20" s="233">
        <f>'1.6'!G20+'2.6'!G20+'3.6'!G20+'4.6'!G20+'5.6'!G20+'6.6'!G20+'7.6'!G20+'8.6'!G20+'9.6'!G20+'10.6'!G20+'11.6'!G20+'12.6'!G20+'13.6'!G20+'14.6'!G20+'15.6'!G20+'16.6'!G20+'17.6'!G20+'18.6'!G20+'19.6'!G20+'20.6'!G20+'21.6'!G20+'22.6'!G20+'23.6'!G20+'24.6'!G20+'25.6'!G20+'26.6'!G20+'27.6'!G20+'28.6'!G20+'29.6'!G20+'30.6'!G20</f>
        <v>40</v>
      </c>
      <c r="G20" s="233">
        <f>'1.6'!H20+'2.6'!H20+'3.6'!H20+'4.6'!H20+'5.6'!H20+'6.6'!H20+'7.6'!H20+'8.6'!H20+'9.6'!H20+'10.6'!H20+'11.6'!H20+'12.6'!H20+'13.6'!H20+'14.6'!H20+'15.6'!H20+'16.6'!H20+'17.6'!H20+'18.6'!H20+'19.6'!H20+'20.6'!H20+'21.6'!H20+'22.6'!H20+'23.6'!H20+'24.6'!H20+'25.6'!H20+'26.6'!H20+'27.6'!H20+'28.6'!H20+'29.6'!H20+'30.6'!H20</f>
        <v>54</v>
      </c>
      <c r="H20" s="233">
        <f>'1.6'!I20+'2.6'!I20+'3.6'!I20+'4.6'!I20+'5.6'!I20+'6.6'!I20+'7.6'!I20+'8.6'!I20+'9.6'!I20+'10.6'!I20+'11.6'!I20+'12.6'!I20+'13.6'!I20+'14.6'!I20+'15.6'!I20+'16.6'!I20+'17.6'!I20+'18.6'!I20+'19.6'!I20+'20.6'!I20+'21.6'!I20+'22.6'!I20+'23.6'!I20+'24.6'!I20+'25.6'!I20+'26.6'!I20+'27.6'!I20+'28.6'!I20+'29.6'!I20+'30.6'!I20</f>
        <v>10</v>
      </c>
      <c r="I20" s="233">
        <f>'1.6'!J20+'2.6'!J20+'3.6'!J20+'4.6'!J20+'5.6'!J20+'6.6'!J20+'7.6'!J20+'8.6'!J20+'9.6'!J20+'10.6'!J20+'11.6'!J20+'12.6'!J20+'13.6'!J20+'14.6'!J20+'15.6'!J20+'16.6'!J20+'17.6'!J20+'18.6'!J20+'19.6'!J20+'20.6'!J20+'21.6'!J20+'22.6'!J20+'23.6'!J20+'24.6'!J20+'25.6'!J20+'26.6'!J20+'27.6'!J20+'28.6'!J20+'29.6'!J20+'30.6'!J20</f>
        <v>110</v>
      </c>
      <c r="J20" s="233">
        <f>'1.6'!K20+'2.6'!K20+'3.6'!K20+'4.6'!K20+'5.6'!K20+'6.6'!K20+'7.6'!K20+'8.6'!K20+'9.6'!K20+'10.6'!K20+'11.6'!K20+'12.6'!K20+'13.6'!K20+'14.6'!K20+'15.6'!K20+'16.6'!K20+'17.6'!K20+'18.6'!K20+'19.6'!K20+'20.6'!K20+'21.6'!K20+'22.6'!K20+'23.6'!K20+'24.6'!K20+'25.6'!K20+'26.6'!K20+'27.6'!K20+'28.6'!K20+'29.6'!K20+'30.6'!K20</f>
        <v>26</v>
      </c>
      <c r="K20" s="233">
        <f>'1.6'!L20+'2.6'!L20+'3.6'!L20+'4.6'!L20+'5.6'!L20+'6.6'!L20+'7.6'!L20+'8.6'!L20+'9.6'!L20+'10.6'!L20+'11.6'!L20+'12.6'!L20+'13.6'!L20+'14.6'!L20+'15.6'!L20+'16.6'!L20+'17.6'!L20+'18.6'!L20+'19.6'!L20+'20.6'!L20+'21.6'!L20+'22.6'!L20+'23.6'!L20+'24.6'!L20+'25.6'!L20+'26.6'!L20+'27.6'!L20+'28.6'!L20+'29.6'!L20+'30.6'!L20</f>
        <v>55</v>
      </c>
      <c r="L20" s="233">
        <f>'1.6'!M20+'2.6'!M20+'3.6'!M20+'4.6'!M20+'5.6'!M20+'6.6'!M20+'7.6'!M20+'8.6'!M20+'9.6'!M20+'10.6'!M20+'11.6'!M20+'12.6'!M20+'13.6'!M20+'14.6'!M20+'15.6'!M20+'16.6'!M20+'17.6'!M20+'18.6'!M20+'19.6'!M20+'20.6'!M20+'21.6'!M20+'22.6'!M20+'23.6'!M20+'24.6'!M20+'25.6'!M20+'26.6'!M20+'27.6'!M20+'28.6'!M20+'29.6'!M20+'30.6'!M20</f>
        <v>0</v>
      </c>
      <c r="M20" s="233">
        <f>'1.6'!N20+'2.6'!N20+'3.6'!N20+'4.6'!N20+'5.6'!N20+'6.6'!N20+'7.6'!N20+'8.6'!N20+'9.6'!N20+'10.6'!N20+'11.6'!N20+'12.6'!N20+'13.6'!N20+'14.6'!N20+'15.6'!N20+'16.6'!N20+'17.6'!N20+'18.6'!N20+'19.6'!N20+'20.6'!N20+'21.6'!N20+'22.6'!N20+'23.6'!N20+'24.6'!N20+'25.6'!N20+'26.6'!N20+'27.6'!N20+'28.6'!N20+'29.6'!N20+'30.6'!N20</f>
        <v>59</v>
      </c>
      <c r="N20" s="233">
        <f>'1.6'!O20+'2.6'!O20+'3.6'!O20+'4.6'!O20+'5.6'!O20+'6.6'!O20+'7.6'!O20+'8.6'!O20+'9.6'!O20+'10.6'!O20+'11.6'!O20+'12.6'!O20+'13.6'!O20+'14.6'!O20+'15.6'!O20+'16.6'!O20+'17.6'!O20+'18.6'!O20+'19.6'!O20+'20.6'!O20+'21.6'!O20+'22.6'!O20+'23.6'!O20+'24.6'!O20+'25.6'!O20+'26.6'!O20+'27.6'!O20+'28.6'!O20+'29.6'!O20+'30.6'!O20</f>
        <v>65</v>
      </c>
      <c r="O20" s="233">
        <f>'1.6'!P20+'2.6'!P20+'3.6'!P20+'4.6'!P20+'5.6'!P20+'6.6'!P20+'7.6'!P20+'8.6'!P20+'9.6'!P20+'10.6'!P20+'11.6'!P20+'12.6'!P20+'13.6'!P20+'14.6'!P20+'15.6'!P20+'16.6'!P20+'17.6'!P20+'18.6'!P20+'19.6'!P20+'20.6'!P20+'21.6'!P20+'22.6'!P20+'23.6'!P20+'24.6'!P20+'25.6'!P20+'26.6'!P20+'27.6'!P20+'28.6'!P20+'29.6'!P20+'30.6'!P20</f>
        <v>40</v>
      </c>
      <c r="P20" s="233">
        <f>'1.6'!Q20+'2.6'!Q20+'3.6'!Q20+'4.6'!Q20+'5.6'!Q20+'6.6'!Q20+'7.6'!Q20+'8.6'!Q20+'9.6'!Q20+'10.6'!Q20+'11.6'!Q20+'12.6'!Q20+'13.6'!Q20+'14.6'!Q20+'15.6'!Q20+'16.6'!Q20+'17.6'!Q20+'18.6'!Q20+'19.6'!Q20+'20.6'!Q20+'21.6'!Q20+'22.6'!Q20+'23.6'!Q20+'24.6'!Q20+'25.6'!Q20+'26.6'!Q20+'27.6'!Q20+'28.6'!Q20+'29.6'!Q20+'30.6'!Q20</f>
        <v>96</v>
      </c>
      <c r="Q20" s="233">
        <f>'1.6'!R20+'2.6'!R20+'3.6'!R20+'4.6'!R20+'5.6'!R20+'6.6'!R20+'7.6'!R20+'8.6'!R20+'9.6'!R20+'10.6'!R20+'11.6'!R20+'12.6'!R20+'13.6'!R20+'14.6'!R20+'15.6'!R20+'16.6'!R20+'17.6'!R20+'18.6'!R20+'19.6'!R20+'20.6'!R20+'21.6'!R20+'22.6'!R20+'23.6'!R20+'24.6'!R20+'25.6'!R20+'26.6'!R20+'27.6'!R20+'28.6'!R20+'29.6'!R20+'30.6'!R20</f>
        <v>30</v>
      </c>
      <c r="R20" s="233">
        <f>'1.6'!S20+'2.6'!S20+'3.6'!S20+'4.6'!S20+'5.6'!S20+'6.6'!S20+'7.6'!S20+'8.6'!S20+'9.6'!S20+'10.6'!S20+'11.6'!S20+'12.6'!S20+'13.6'!S20+'14.6'!S20+'15.6'!S20+'16.6'!S20+'17.6'!S20+'18.6'!S20+'19.6'!S20+'20.6'!S20+'21.6'!S20+'22.6'!S20+'23.6'!S20+'24.6'!S20+'25.6'!S20+'26.6'!S20+'27.6'!S20+'28.6'!S20+'29.6'!S20+'30.6'!S20</f>
        <v>15</v>
      </c>
      <c r="S20" s="233">
        <f>'1.6'!T20+'2.6'!T20+'3.6'!T20+'4.6'!T20+'5.6'!T20+'6.6'!T20+'7.6'!T20+'8.6'!T20+'9.6'!T20+'10.6'!T20+'11.6'!T20+'12.6'!T20+'13.6'!T20+'14.6'!T20+'15.6'!T20+'16.6'!T20+'17.6'!T20+'18.6'!T20+'19.6'!T20+'20.6'!T20+'21.6'!T20+'22.6'!T20+'23.6'!T20+'24.6'!T20+'25.6'!T20+'26.6'!T20+'27.6'!T20+'28.6'!T20+'29.6'!T20+'30.6'!T20</f>
        <v>0</v>
      </c>
    </row>
    <row r="21" spans="1:19" ht="18.75">
      <c r="A21" s="6"/>
      <c r="B21" s="221" t="s">
        <v>112</v>
      </c>
      <c r="C21" s="6" t="s">
        <v>111</v>
      </c>
      <c r="D21" s="9">
        <f t="shared" si="0"/>
        <v>113</v>
      </c>
      <c r="E21" s="233">
        <f>'1.6'!F21+'2.6'!F21+'3.6'!F21+'4.6'!F21+'5.6'!F21+'6.6'!F21+'7.6'!F21+'8.6'!F21+'9.6'!F21+'10.6'!F21+'11.6'!F21+'12.6'!F21+'13.6'!F21+'14.6'!F21+'15.6'!F21+'16.6'!F21+'17.6'!F21+'18.6'!F21+'19.6'!F21+'20.6'!F21+'21.6'!F21+'22.6'!F21+'23.6'!F21+'24.6'!F21+'25.6'!F21+'26.6'!F21+'27.6'!F21+'28.6'!F21+'29.6'!F21+'30.6'!F21</f>
        <v>26</v>
      </c>
      <c r="F21" s="233">
        <f>'1.6'!G21+'2.6'!G21+'3.6'!G21+'4.6'!G21+'5.6'!G21+'6.6'!G21+'7.6'!G21+'8.6'!G21+'9.6'!G21+'10.6'!G21+'11.6'!G21+'12.6'!G21+'13.6'!G21+'14.6'!G21+'15.6'!G21+'16.6'!G21+'17.6'!G21+'18.6'!G21+'19.6'!G21+'20.6'!G21+'21.6'!G21+'22.6'!G21+'23.6'!G21+'24.6'!G21+'25.6'!G21+'26.6'!G21+'27.6'!G21+'28.6'!G21+'29.6'!G21+'30.6'!G21</f>
        <v>6</v>
      </c>
      <c r="G21" s="233">
        <f>'1.6'!H21+'2.6'!H21+'3.6'!H21+'4.6'!H21+'5.6'!H21+'6.6'!H21+'7.6'!H21+'8.6'!H21+'9.6'!H21+'10.6'!H21+'11.6'!H21+'12.6'!H21+'13.6'!H21+'14.6'!H21+'15.6'!H21+'16.6'!H21+'17.6'!H21+'18.6'!H21+'19.6'!H21+'20.6'!H21+'21.6'!H21+'22.6'!H21+'23.6'!H21+'24.6'!H21+'25.6'!H21+'26.6'!H21+'27.6'!H21+'28.6'!H21+'29.6'!H21+'30.6'!H21</f>
        <v>0</v>
      </c>
      <c r="H21" s="233">
        <f>'1.6'!I21+'2.6'!I21+'3.6'!I21+'4.6'!I21+'5.6'!I21+'6.6'!I21+'7.6'!I21+'8.6'!I21+'9.6'!I21+'10.6'!I21+'11.6'!I21+'12.6'!I21+'13.6'!I21+'14.6'!I21+'15.6'!I21+'16.6'!I21+'17.6'!I21+'18.6'!I21+'19.6'!I21+'20.6'!I21+'21.6'!I21+'22.6'!I21+'23.6'!I21+'24.6'!I21+'25.6'!I21+'26.6'!I21+'27.6'!I21+'28.6'!I21+'29.6'!I21+'30.6'!I21</f>
        <v>1</v>
      </c>
      <c r="I21" s="233">
        <f>'1.6'!J21+'2.6'!J21+'3.6'!J21+'4.6'!J21+'5.6'!J21+'6.6'!J21+'7.6'!J21+'8.6'!J21+'9.6'!J21+'10.6'!J21+'11.6'!J21+'12.6'!J21+'13.6'!J21+'14.6'!J21+'15.6'!J21+'16.6'!J21+'17.6'!J21+'18.6'!J21+'19.6'!J21+'20.6'!J21+'21.6'!J21+'22.6'!J21+'23.6'!J21+'24.6'!J21+'25.6'!J21+'26.6'!J21+'27.6'!J21+'28.6'!J21+'29.6'!J21+'30.6'!J21</f>
        <v>0</v>
      </c>
      <c r="J21" s="233">
        <f>'1.6'!K21+'2.6'!K21+'3.6'!K21+'4.6'!K21+'5.6'!K21+'6.6'!K21+'7.6'!K21+'8.6'!K21+'9.6'!K21+'10.6'!K21+'11.6'!K21+'12.6'!K21+'13.6'!K21+'14.6'!K21+'15.6'!K21+'16.6'!K21+'17.6'!K21+'18.6'!K21+'19.6'!K21+'20.6'!K21+'21.6'!K21+'22.6'!K21+'23.6'!K21+'24.6'!K21+'25.6'!K21+'26.6'!K21+'27.6'!K21+'28.6'!K21+'29.6'!K21+'30.6'!K21</f>
        <v>0</v>
      </c>
      <c r="K21" s="233">
        <f>'1.6'!L21+'2.6'!L21+'3.6'!L21+'4.6'!L21+'5.6'!L21+'6.6'!L21+'7.6'!L21+'8.6'!L21+'9.6'!L21+'10.6'!L21+'11.6'!L21+'12.6'!L21+'13.6'!L21+'14.6'!L21+'15.6'!L21+'16.6'!L21+'17.6'!L21+'18.6'!L21+'19.6'!L21+'20.6'!L21+'21.6'!L21+'22.6'!L21+'23.6'!L21+'24.6'!L21+'25.6'!L21+'26.6'!L21+'27.6'!L21+'28.6'!L21+'29.6'!L21+'30.6'!L21</f>
        <v>0</v>
      </c>
      <c r="L21" s="233">
        <f>'1.6'!M21+'2.6'!M21+'3.6'!M21+'4.6'!M21+'5.6'!M21+'6.6'!M21+'7.6'!M21+'8.6'!M21+'9.6'!M21+'10.6'!M21+'11.6'!M21+'12.6'!M21+'13.6'!M21+'14.6'!M21+'15.6'!M21+'16.6'!M21+'17.6'!M21+'18.6'!M21+'19.6'!M21+'20.6'!M21+'21.6'!M21+'22.6'!M21+'23.6'!M21+'24.6'!M21+'25.6'!M21+'26.6'!M21+'27.6'!M21+'28.6'!M21+'29.6'!M21+'30.6'!M21</f>
        <v>0</v>
      </c>
      <c r="M21" s="233">
        <f>'1.6'!N21+'2.6'!N21+'3.6'!N21+'4.6'!N21+'5.6'!N21+'6.6'!N21+'7.6'!N21+'8.6'!N21+'9.6'!N21+'10.6'!N21+'11.6'!N21+'12.6'!N21+'13.6'!N21+'14.6'!N21+'15.6'!N21+'16.6'!N21+'17.6'!N21+'18.6'!N21+'19.6'!N21+'20.6'!N21+'21.6'!N21+'22.6'!N21+'23.6'!N21+'24.6'!N21+'25.6'!N21+'26.6'!N21+'27.6'!N21+'28.6'!N21+'29.6'!N21+'30.6'!N21</f>
        <v>0</v>
      </c>
      <c r="N21" s="233">
        <f>'1.6'!O21+'2.6'!O21+'3.6'!O21+'4.6'!O21+'5.6'!O21+'6.6'!O21+'7.6'!O21+'8.6'!O21+'9.6'!O21+'10.6'!O21+'11.6'!O21+'12.6'!O21+'13.6'!O21+'14.6'!O21+'15.6'!O21+'16.6'!O21+'17.6'!O21+'18.6'!O21+'19.6'!O21+'20.6'!O21+'21.6'!O21+'22.6'!O21+'23.6'!O21+'24.6'!O21+'25.6'!O21+'26.6'!O21+'27.6'!O21+'28.6'!O21+'29.6'!O21+'30.6'!O21</f>
        <v>0</v>
      </c>
      <c r="O21" s="233">
        <f>'1.6'!P21+'2.6'!P21+'3.6'!P21+'4.6'!P21+'5.6'!P21+'6.6'!P21+'7.6'!P21+'8.6'!P21+'9.6'!P21+'10.6'!P21+'11.6'!P21+'12.6'!P21+'13.6'!P21+'14.6'!P21+'15.6'!P21+'16.6'!P21+'17.6'!P21+'18.6'!P21+'19.6'!P21+'20.6'!P21+'21.6'!P21+'22.6'!P21+'23.6'!P21+'24.6'!P21+'25.6'!P21+'26.6'!P21+'27.6'!P21+'28.6'!P21+'29.6'!P21+'30.6'!P21</f>
        <v>0</v>
      </c>
      <c r="P21" s="233">
        <f>'1.6'!Q21+'2.6'!Q21+'3.6'!Q21+'4.6'!Q21+'5.6'!Q21+'6.6'!Q21+'7.6'!Q21+'8.6'!Q21+'9.6'!Q21+'10.6'!Q21+'11.6'!Q21+'12.6'!Q21+'13.6'!Q21+'14.6'!Q21+'15.6'!Q21+'16.6'!Q21+'17.6'!Q21+'18.6'!Q21+'19.6'!Q21+'20.6'!Q21+'21.6'!Q21+'22.6'!Q21+'23.6'!Q21+'24.6'!Q21+'25.6'!Q21+'26.6'!Q21+'27.6'!Q21+'28.6'!Q21+'29.6'!Q21+'30.6'!Q21</f>
        <v>20</v>
      </c>
      <c r="Q21" s="233">
        <f>'1.6'!R21+'2.6'!R21+'3.6'!R21+'4.6'!R21+'5.6'!R21+'6.6'!R21+'7.6'!R21+'8.6'!R21+'9.6'!R21+'10.6'!R21+'11.6'!R21+'12.6'!R21+'13.6'!R21+'14.6'!R21+'15.6'!R21+'16.6'!R21+'17.6'!R21+'18.6'!R21+'19.6'!R21+'20.6'!R21+'21.6'!R21+'22.6'!R21+'23.6'!R21+'24.6'!R21+'25.6'!R21+'26.6'!R21+'27.6'!R21+'28.6'!R21+'29.6'!R21+'30.6'!R21</f>
        <v>10</v>
      </c>
      <c r="R21" s="233">
        <f>'1.6'!S21+'2.6'!S21+'3.6'!S21+'4.6'!S21+'5.6'!S21+'6.6'!S21+'7.6'!S21+'8.6'!S21+'9.6'!S21+'10.6'!S21+'11.6'!S21+'12.6'!S21+'13.6'!S21+'14.6'!S21+'15.6'!S21+'16.6'!S21+'17.6'!S21+'18.6'!S21+'19.6'!S21+'20.6'!S21+'21.6'!S21+'22.6'!S21+'23.6'!S21+'24.6'!S21+'25.6'!S21+'26.6'!S21+'27.6'!S21+'28.6'!S21+'29.6'!S21+'30.6'!S21</f>
        <v>50</v>
      </c>
      <c r="S21" s="233">
        <f>'1.6'!T21+'2.6'!T21+'3.6'!T21+'4.6'!T21+'5.6'!T21+'6.6'!T21+'7.6'!T21+'8.6'!T21+'9.6'!T21+'10.6'!T21+'11.6'!T21+'12.6'!T21+'13.6'!T21+'14.6'!T21+'15.6'!T21+'16.6'!T21+'17.6'!T21+'18.6'!T21+'19.6'!T21+'20.6'!T21+'21.6'!T21+'22.6'!T21+'23.6'!T21+'24.6'!T21+'25.6'!T21+'26.6'!T21+'27.6'!T21+'28.6'!T21+'29.6'!T21+'30.6'!T21</f>
        <v>0</v>
      </c>
    </row>
    <row r="22" spans="1:19" ht="18.75">
      <c r="A22" s="6"/>
      <c r="B22" s="20" t="s">
        <v>32</v>
      </c>
      <c r="C22" s="6"/>
      <c r="D22" s="9">
        <f t="shared" si="0"/>
        <v>0</v>
      </c>
      <c r="E22" s="233">
        <f>'1.6'!F22+'2.6'!F22+'3.6'!F22+'4.6'!F22+'5.6'!F22+'6.6'!F22+'7.6'!F22+'8.6'!F22+'9.6'!F22+'10.6'!F22+'11.6'!F22+'12.6'!F22+'13.6'!F22+'14.6'!F22+'15.6'!F22+'16.6'!F22+'17.6'!F22+'18.6'!F22+'19.6'!F22+'20.6'!F22+'21.6'!F22+'22.6'!F22+'23.6'!F22+'24.6'!F22+'25.6'!F22+'26.6'!F22+'27.6'!F22+'28.6'!F22+'29.6'!F22+'30.6'!F22</f>
        <v>0</v>
      </c>
      <c r="F22" s="233">
        <f>'1.6'!G22+'2.6'!G22+'3.6'!G22+'4.6'!G22+'5.6'!G22+'6.6'!G22+'7.6'!G22+'8.6'!G22+'9.6'!G22+'10.6'!G22+'11.6'!G22+'12.6'!G22+'13.6'!G22+'14.6'!G22+'15.6'!G22+'16.6'!G22+'17.6'!G22+'18.6'!G22+'19.6'!G22+'20.6'!G22+'21.6'!G22+'22.6'!G22+'23.6'!G22+'24.6'!G22+'25.6'!G22+'26.6'!G22+'27.6'!G22+'28.6'!G22+'29.6'!G22+'30.6'!G22</f>
        <v>0</v>
      </c>
      <c r="G22" s="233">
        <f>'1.6'!H22+'2.6'!H22+'3.6'!H22+'4.6'!H22+'5.6'!H22+'6.6'!H22+'7.6'!H22+'8.6'!H22+'9.6'!H22+'10.6'!H22+'11.6'!H22+'12.6'!H22+'13.6'!H22+'14.6'!H22+'15.6'!H22+'16.6'!H22+'17.6'!H22+'18.6'!H22+'19.6'!H22+'20.6'!H22+'21.6'!H22+'22.6'!H22+'23.6'!H22+'24.6'!H22+'25.6'!H22+'26.6'!H22+'27.6'!H22+'28.6'!H22+'29.6'!H22+'30.6'!H22</f>
        <v>0</v>
      </c>
      <c r="H22" s="233">
        <f>'1.6'!I22+'2.6'!I22+'3.6'!I22+'4.6'!I22+'5.6'!I22+'6.6'!I22+'7.6'!I22+'8.6'!I22+'9.6'!I22+'10.6'!I22+'11.6'!I22+'12.6'!I22+'13.6'!I22+'14.6'!I22+'15.6'!I22+'16.6'!I22+'17.6'!I22+'18.6'!I22+'19.6'!I22+'20.6'!I22+'21.6'!I22+'22.6'!I22+'23.6'!I22+'24.6'!I22+'25.6'!I22+'26.6'!I22+'27.6'!I22+'28.6'!I22+'29.6'!I22+'30.6'!I22</f>
        <v>0</v>
      </c>
      <c r="I22" s="233">
        <f>'1.6'!J22+'2.6'!J22+'3.6'!J22+'4.6'!J22+'5.6'!J22+'6.6'!J22+'7.6'!J22+'8.6'!J22+'9.6'!J22+'10.6'!J22+'11.6'!J22+'12.6'!J22+'13.6'!J22+'14.6'!J22+'15.6'!J22+'16.6'!J22+'17.6'!J22+'18.6'!J22+'19.6'!J22+'20.6'!J22+'21.6'!J22+'22.6'!J22+'23.6'!J22+'24.6'!J22+'25.6'!J22+'26.6'!J22+'27.6'!J22+'28.6'!J22+'29.6'!J22+'30.6'!J22</f>
        <v>0</v>
      </c>
      <c r="J22" s="233">
        <f>'1.6'!K22+'2.6'!K22+'3.6'!K22+'4.6'!K22+'5.6'!K22+'6.6'!K22+'7.6'!K22+'8.6'!K22+'9.6'!K22+'10.6'!K22+'11.6'!K22+'12.6'!K22+'13.6'!K22+'14.6'!K22+'15.6'!K22+'16.6'!K22+'17.6'!K22+'18.6'!K22+'19.6'!K22+'20.6'!K22+'21.6'!K22+'22.6'!K22+'23.6'!K22+'24.6'!K22+'25.6'!K22+'26.6'!K22+'27.6'!K22+'28.6'!K22+'29.6'!K22+'30.6'!K22</f>
        <v>0</v>
      </c>
      <c r="K22" s="233">
        <f>'1.6'!L22+'2.6'!L22+'3.6'!L22+'4.6'!L22+'5.6'!L22+'6.6'!L22+'7.6'!L22+'8.6'!L22+'9.6'!L22+'10.6'!L22+'11.6'!L22+'12.6'!L22+'13.6'!L22+'14.6'!L22+'15.6'!L22+'16.6'!L22+'17.6'!L22+'18.6'!L22+'19.6'!L22+'20.6'!L22+'21.6'!L22+'22.6'!L22+'23.6'!L22+'24.6'!L22+'25.6'!L22+'26.6'!L22+'27.6'!L22+'28.6'!L22+'29.6'!L22+'30.6'!L22</f>
        <v>0</v>
      </c>
      <c r="L22" s="233">
        <f>'1.6'!M22+'2.6'!M22+'3.6'!M22+'4.6'!M22+'5.6'!M22+'6.6'!M22+'7.6'!M22+'8.6'!M22+'9.6'!M22+'10.6'!M22+'11.6'!M22+'12.6'!M22+'13.6'!M22+'14.6'!M22+'15.6'!M22+'16.6'!M22+'17.6'!M22+'18.6'!M22+'19.6'!M22+'20.6'!M22+'21.6'!M22+'22.6'!M22+'23.6'!M22+'24.6'!M22+'25.6'!M22+'26.6'!M22+'27.6'!M22+'28.6'!M22+'29.6'!M22+'30.6'!M22</f>
        <v>0</v>
      </c>
      <c r="M22" s="233">
        <f>'1.6'!N22+'2.6'!N22+'3.6'!N22+'4.6'!N22+'5.6'!N22+'6.6'!N22+'7.6'!N22+'8.6'!N22+'9.6'!N22+'10.6'!N22+'11.6'!N22+'12.6'!N22+'13.6'!N22+'14.6'!N22+'15.6'!N22+'16.6'!N22+'17.6'!N22+'18.6'!N22+'19.6'!N22+'20.6'!N22+'21.6'!N22+'22.6'!N22+'23.6'!N22+'24.6'!N22+'25.6'!N22+'26.6'!N22+'27.6'!N22+'28.6'!N22+'29.6'!N22+'30.6'!N22</f>
        <v>0</v>
      </c>
      <c r="N22" s="233">
        <f>'1.6'!O22+'2.6'!O22+'3.6'!O22+'4.6'!O22+'5.6'!O22+'6.6'!O22+'7.6'!O22+'8.6'!O22+'9.6'!O22+'10.6'!O22+'11.6'!O22+'12.6'!O22+'13.6'!O22+'14.6'!O22+'15.6'!O22+'16.6'!O22+'17.6'!O22+'18.6'!O22+'19.6'!O22+'20.6'!O22+'21.6'!O22+'22.6'!O22+'23.6'!O22+'24.6'!O22+'25.6'!O22+'26.6'!O22+'27.6'!O22+'28.6'!O22+'29.6'!O22+'30.6'!O22</f>
        <v>0</v>
      </c>
      <c r="O22" s="233">
        <f>'1.6'!P22+'2.6'!P22+'3.6'!P22+'4.6'!P22+'5.6'!P22+'6.6'!P22+'7.6'!P22+'8.6'!P22+'9.6'!P22+'10.6'!P22+'11.6'!P22+'12.6'!P22+'13.6'!P22+'14.6'!P22+'15.6'!P22+'16.6'!P22+'17.6'!P22+'18.6'!P22+'19.6'!P22+'20.6'!P22+'21.6'!P22+'22.6'!P22+'23.6'!P22+'24.6'!P22+'25.6'!P22+'26.6'!P22+'27.6'!P22+'28.6'!P22+'29.6'!P22+'30.6'!P22</f>
        <v>0</v>
      </c>
      <c r="P22" s="233">
        <f>'1.6'!Q22+'2.6'!Q22+'3.6'!Q22+'4.6'!Q22+'5.6'!Q22+'6.6'!Q22+'7.6'!Q22+'8.6'!Q22+'9.6'!Q22+'10.6'!Q22+'11.6'!Q22+'12.6'!Q22+'13.6'!Q22+'14.6'!Q22+'15.6'!Q22+'16.6'!Q22+'17.6'!Q22+'18.6'!Q22+'19.6'!Q22+'20.6'!Q22+'21.6'!Q22+'22.6'!Q22+'23.6'!Q22+'24.6'!Q22+'25.6'!Q22+'26.6'!Q22+'27.6'!Q22+'28.6'!Q22+'29.6'!Q22+'30.6'!Q22</f>
        <v>0</v>
      </c>
      <c r="Q22" s="233">
        <f>'1.6'!R22+'2.6'!R22+'3.6'!R22+'4.6'!R22+'5.6'!R22+'6.6'!R22+'7.6'!R22+'8.6'!R22+'9.6'!R22+'10.6'!R22+'11.6'!R22+'12.6'!R22+'13.6'!R22+'14.6'!R22+'15.6'!R22+'16.6'!R22+'17.6'!R22+'18.6'!R22+'19.6'!R22+'20.6'!R22+'21.6'!R22+'22.6'!R22+'23.6'!R22+'24.6'!R22+'25.6'!R22+'26.6'!R22+'27.6'!R22+'28.6'!R22+'29.6'!R22+'30.6'!R22</f>
        <v>0</v>
      </c>
      <c r="R22" s="233">
        <f>'1.6'!S22+'2.6'!S22+'3.6'!S22+'4.6'!S22+'5.6'!S22+'6.6'!S22+'7.6'!S22+'8.6'!S22+'9.6'!S22+'10.6'!S22+'11.6'!S22+'12.6'!S22+'13.6'!S22+'14.6'!S22+'15.6'!S22+'16.6'!S22+'17.6'!S22+'18.6'!S22+'19.6'!S22+'20.6'!S22+'21.6'!S22+'22.6'!S22+'23.6'!S22+'24.6'!S22+'25.6'!S22+'26.6'!S22+'27.6'!S22+'28.6'!S22+'29.6'!S22+'30.6'!S22</f>
        <v>0</v>
      </c>
      <c r="S22" s="233">
        <f>'1.6'!T22+'2.6'!T22+'3.6'!T22+'4.6'!T22+'5.6'!T22+'6.6'!T22+'7.6'!T22+'8.6'!T22+'9.6'!T22+'10.6'!T22+'11.6'!T22+'12.6'!T22+'13.6'!T22+'14.6'!T22+'15.6'!T22+'16.6'!T22+'17.6'!T22+'18.6'!T22+'19.6'!T22+'20.6'!T22+'21.6'!T22+'22.6'!T22+'23.6'!T22+'24.6'!T22+'25.6'!T22+'26.6'!T22+'27.6'!T22+'28.6'!T22+'29.6'!T22+'30.6'!T22</f>
        <v>0</v>
      </c>
    </row>
    <row r="23" spans="1:19" ht="18.75">
      <c r="A23" s="22"/>
      <c r="B23" s="23"/>
      <c r="C23" s="218" t="s">
        <v>106</v>
      </c>
      <c r="D23" s="24"/>
      <c r="E23" s="233">
        <f>'1.6'!F23+'2.6'!F23+'3.6'!F23+'4.6'!F23+'5.6'!F23+'6.6'!F23+'7.6'!F23+'8.6'!F23+'9.6'!F23+'10.6'!F23+'11.6'!F23+'12.6'!F23+'13.6'!F23+'14.6'!F23+'15.6'!F23+'16.6'!F23+'17.6'!F23+'18.6'!F23+'19.6'!F23+'20.6'!F23+'21.6'!F23+'22.6'!F23+'23.6'!F23+'24.6'!F23+'25.6'!F23+'26.6'!F23+'27.6'!F23+'28.6'!F23+'29.6'!F23+'30.6'!F23</f>
        <v>0</v>
      </c>
      <c r="F23" s="233">
        <f>'1.6'!G23+'2.6'!G23+'3.6'!G23+'4.6'!G23+'5.6'!G23+'6.6'!G23+'7.6'!G23+'8.6'!G23+'9.6'!G23+'10.6'!G23+'11.6'!G23+'12.6'!G23+'13.6'!G23+'14.6'!G23+'15.6'!G23+'16.6'!G23+'17.6'!G23+'18.6'!G23+'19.6'!G23+'20.6'!G23+'21.6'!G23+'22.6'!G23+'23.6'!G23+'24.6'!G23+'25.6'!G23+'26.6'!G23+'27.6'!G23+'28.6'!G23+'29.6'!G23+'30.6'!G23</f>
        <v>0</v>
      </c>
      <c r="G23" s="233">
        <f>'1.6'!H23+'2.6'!H23+'3.6'!H23+'4.6'!H23+'5.6'!H23+'6.6'!H23+'7.6'!H23+'8.6'!H23+'9.6'!H23+'10.6'!H23+'11.6'!H23+'12.6'!H23+'13.6'!H23+'14.6'!H23+'15.6'!H23+'16.6'!H23+'17.6'!H23+'18.6'!H23+'19.6'!H23+'20.6'!H23+'21.6'!H23+'22.6'!H23+'23.6'!H23+'24.6'!H23+'25.6'!H23+'26.6'!H23+'27.6'!H23+'28.6'!H23+'29.6'!H23+'30.6'!H23</f>
        <v>0</v>
      </c>
      <c r="H23" s="233">
        <f>'1.6'!I23+'2.6'!I23+'3.6'!I23+'4.6'!I23+'5.6'!I23+'6.6'!I23+'7.6'!I23+'8.6'!I23+'9.6'!I23+'10.6'!I23+'11.6'!I23+'12.6'!I23+'13.6'!I23+'14.6'!I23+'15.6'!I23+'16.6'!I23+'17.6'!I23+'18.6'!I23+'19.6'!I23+'20.6'!I23+'21.6'!I23+'22.6'!I23+'23.6'!I23+'24.6'!I23+'25.6'!I23+'26.6'!I23+'27.6'!I23+'28.6'!I23+'29.6'!I23+'30.6'!I23</f>
        <v>0</v>
      </c>
      <c r="I23" s="233">
        <f>'1.6'!J23+'2.6'!J23+'3.6'!J23+'4.6'!J23+'5.6'!J23+'6.6'!J23+'7.6'!J23+'8.6'!J23+'9.6'!J23+'10.6'!J23+'11.6'!J23+'12.6'!J23+'13.6'!J23+'14.6'!J23+'15.6'!J23+'16.6'!J23+'17.6'!J23+'18.6'!J23+'19.6'!J23+'20.6'!J23+'21.6'!J23+'22.6'!J23+'23.6'!J23+'24.6'!J23+'25.6'!J23+'26.6'!J23+'27.6'!J23+'28.6'!J23+'29.6'!J23+'30.6'!J23</f>
        <v>0</v>
      </c>
      <c r="J23" s="233">
        <f>'1.6'!K23+'2.6'!K23+'3.6'!K23+'4.6'!K23+'5.6'!K23+'6.6'!K23+'7.6'!K23+'8.6'!K23+'9.6'!K23+'10.6'!K23+'11.6'!K23+'12.6'!K23+'13.6'!K23+'14.6'!K23+'15.6'!K23+'16.6'!K23+'17.6'!K23+'18.6'!K23+'19.6'!K23+'20.6'!K23+'21.6'!K23+'22.6'!K23+'23.6'!K23+'24.6'!K23+'25.6'!K23+'26.6'!K23+'27.6'!K23+'28.6'!K23+'29.6'!K23+'30.6'!K23</f>
        <v>0</v>
      </c>
      <c r="K23" s="233">
        <f>'1.6'!L23+'2.6'!L23+'3.6'!L23+'4.6'!L23+'5.6'!L23+'6.6'!L23+'7.6'!L23+'8.6'!L23+'9.6'!L23+'10.6'!L23+'11.6'!L23+'12.6'!L23+'13.6'!L23+'14.6'!L23+'15.6'!L23+'16.6'!L23+'17.6'!L23+'18.6'!L23+'19.6'!L23+'20.6'!L23+'21.6'!L23+'22.6'!L23+'23.6'!L23+'24.6'!L23+'25.6'!L23+'26.6'!L23+'27.6'!L23+'28.6'!L23+'29.6'!L23+'30.6'!L23</f>
        <v>0</v>
      </c>
      <c r="L23" s="233">
        <f>'1.6'!M23+'2.6'!M23+'3.6'!M23+'4.6'!M23+'5.6'!M23+'6.6'!M23+'7.6'!M23+'8.6'!M23+'9.6'!M23+'10.6'!M23+'11.6'!M23+'12.6'!M23+'13.6'!M23+'14.6'!M23+'15.6'!M23+'16.6'!M23+'17.6'!M23+'18.6'!M23+'19.6'!M23+'20.6'!M23+'21.6'!M23+'22.6'!M23+'23.6'!M23+'24.6'!M23+'25.6'!M23+'26.6'!M23+'27.6'!M23+'28.6'!M23+'29.6'!M23+'30.6'!M23</f>
        <v>0</v>
      </c>
      <c r="M23" s="233">
        <f>'1.6'!N23+'2.6'!N23+'3.6'!N23+'4.6'!N23+'5.6'!N23+'6.6'!N23+'7.6'!N23+'8.6'!N23+'9.6'!N23+'10.6'!N23+'11.6'!N23+'12.6'!N23+'13.6'!N23+'14.6'!N23+'15.6'!N23+'16.6'!N23+'17.6'!N23+'18.6'!N23+'19.6'!N23+'20.6'!N23+'21.6'!N23+'22.6'!N23+'23.6'!N23+'24.6'!N23+'25.6'!N23+'26.6'!N23+'27.6'!N23+'28.6'!N23+'29.6'!N23+'30.6'!N23</f>
        <v>0</v>
      </c>
      <c r="N23" s="233">
        <f>'1.6'!O23+'2.6'!O23+'3.6'!O23+'4.6'!O23+'5.6'!O23+'6.6'!O23+'7.6'!O23+'8.6'!O23+'9.6'!O23+'10.6'!O23+'11.6'!O23+'12.6'!O23+'13.6'!O23+'14.6'!O23+'15.6'!O23+'16.6'!O23+'17.6'!O23+'18.6'!O23+'19.6'!O23+'20.6'!O23+'21.6'!O23+'22.6'!O23+'23.6'!O23+'24.6'!O23+'25.6'!O23+'26.6'!O23+'27.6'!O23+'28.6'!O23+'29.6'!O23+'30.6'!O23</f>
        <v>0</v>
      </c>
      <c r="O23" s="233">
        <f>'1.6'!P23+'2.6'!P23+'3.6'!P23+'4.6'!P23+'5.6'!P23+'6.6'!P23+'7.6'!P23+'8.6'!P23+'9.6'!P23+'10.6'!P23+'11.6'!P23+'12.6'!P23+'13.6'!P23+'14.6'!P23+'15.6'!P23+'16.6'!P23+'17.6'!P23+'18.6'!P23+'19.6'!P23+'20.6'!P23+'21.6'!P23+'22.6'!P23+'23.6'!P23+'24.6'!P23+'25.6'!P23+'26.6'!P23+'27.6'!P23+'28.6'!P23+'29.6'!P23+'30.6'!P23</f>
        <v>0</v>
      </c>
      <c r="P23" s="233">
        <f>'1.6'!Q23+'2.6'!Q23+'3.6'!Q23+'4.6'!Q23+'5.6'!Q23+'6.6'!Q23+'7.6'!Q23+'8.6'!Q23+'9.6'!Q23+'10.6'!Q23+'11.6'!Q23+'12.6'!Q23+'13.6'!Q23+'14.6'!Q23+'15.6'!Q23+'16.6'!Q23+'17.6'!Q23+'18.6'!Q23+'19.6'!Q23+'20.6'!Q23+'21.6'!Q23+'22.6'!Q23+'23.6'!Q23+'24.6'!Q23+'25.6'!Q23+'26.6'!Q23+'27.6'!Q23+'28.6'!Q23+'29.6'!Q23+'30.6'!Q23</f>
        <v>0</v>
      </c>
      <c r="Q23" s="233">
        <f>'1.6'!R23+'2.6'!R23+'3.6'!R23+'4.6'!R23+'5.6'!R23+'6.6'!R23+'7.6'!R23+'8.6'!R23+'9.6'!R23+'10.6'!R23+'11.6'!R23+'12.6'!R23+'13.6'!R23+'14.6'!R23+'15.6'!R23+'16.6'!R23+'17.6'!R23+'18.6'!R23+'19.6'!R23+'20.6'!R23+'21.6'!R23+'22.6'!R23+'23.6'!R23+'24.6'!R23+'25.6'!R23+'26.6'!R23+'27.6'!R23+'28.6'!R23+'29.6'!R23+'30.6'!R23</f>
        <v>0</v>
      </c>
      <c r="R23" s="233">
        <f>'1.6'!S23+'2.6'!S23+'3.6'!S23+'4.6'!S23+'5.6'!S23+'6.6'!S23+'7.6'!S23+'8.6'!S23+'9.6'!S23+'10.6'!S23+'11.6'!S23+'12.6'!S23+'13.6'!S23+'14.6'!S23+'15.6'!S23+'16.6'!S23+'17.6'!S23+'18.6'!S23+'19.6'!S23+'20.6'!S23+'21.6'!S23+'22.6'!S23+'23.6'!S23+'24.6'!S23+'25.6'!S23+'26.6'!S23+'27.6'!S23+'28.6'!S23+'29.6'!S23+'30.6'!S23</f>
        <v>0</v>
      </c>
      <c r="S23" s="233">
        <f>'1.6'!T23+'2.6'!T23+'3.6'!T23+'4.6'!T23+'5.6'!T23+'6.6'!T23+'7.6'!T23+'8.6'!T23+'9.6'!T23+'10.6'!T23+'11.6'!T23+'12.6'!T23+'13.6'!T23+'14.6'!T23+'15.6'!T23+'16.6'!T23+'17.6'!T23+'18.6'!T23+'19.6'!T23+'20.6'!T23+'21.6'!T23+'22.6'!T23+'23.6'!T23+'24.6'!T23+'25.6'!T23+'26.6'!T23+'27.6'!T23+'28.6'!T23+'29.6'!T23+'30.6'!T23</f>
        <v>0</v>
      </c>
    </row>
    <row r="24" spans="1:19" ht="18.75">
      <c r="A24" s="6">
        <v>1</v>
      </c>
      <c r="B24" s="20" t="s">
        <v>121</v>
      </c>
      <c r="C24" s="6" t="s">
        <v>111</v>
      </c>
      <c r="D24" s="9">
        <v>0</v>
      </c>
      <c r="E24" s="233">
        <f>'1.6'!F24+'2.6'!F24+'3.6'!F24+'4.6'!F24+'5.6'!F24+'6.6'!F24+'7.6'!F24+'8.6'!F24+'9.6'!F24+'10.6'!F24+'11.6'!F24+'12.6'!F24+'13.6'!F24+'14.6'!F24+'15.6'!F24+'16.6'!F24+'17.6'!F24+'18.6'!F24+'19.6'!F24+'20.6'!F24+'21.6'!F24+'22.6'!F24+'23.6'!F24+'24.6'!F24+'25.6'!F24+'26.6'!F24+'27.6'!F24+'28.6'!F24+'29.6'!F24+'30.6'!F24</f>
        <v>0</v>
      </c>
      <c r="F24" s="233">
        <f>'1.6'!G24+'2.6'!G24+'3.6'!G24+'4.6'!G24+'5.6'!G24+'6.6'!G24+'7.6'!G24+'8.6'!G24+'9.6'!G24+'10.6'!G24+'11.6'!G24+'12.6'!G24+'13.6'!G24+'14.6'!G24+'15.6'!G24+'16.6'!G24+'17.6'!G24+'18.6'!G24+'19.6'!G24+'20.6'!G24+'21.6'!G24+'22.6'!G24+'23.6'!G24+'24.6'!G24+'25.6'!G24+'26.6'!G24+'27.6'!G24+'28.6'!G24+'29.6'!G24+'30.6'!G24</f>
        <v>0</v>
      </c>
      <c r="G24" s="233">
        <f>'1.6'!H24+'2.6'!H24+'3.6'!H24+'4.6'!H24+'5.6'!H24+'6.6'!H24+'7.6'!H24+'8.6'!H24+'9.6'!H24+'10.6'!H24+'11.6'!H24+'12.6'!H24+'13.6'!H24+'14.6'!H24+'15.6'!H24+'16.6'!H24+'17.6'!H24+'18.6'!H24+'19.6'!H24+'20.6'!H24+'21.6'!H24+'22.6'!H24+'23.6'!H24+'24.6'!H24+'25.6'!H24+'26.6'!H24+'27.6'!H24+'28.6'!H24+'29.6'!H24+'30.6'!H24</f>
        <v>5</v>
      </c>
      <c r="H24" s="233">
        <f>'1.6'!I24+'2.6'!I24+'3.6'!I24+'4.6'!I24+'5.6'!I24+'6.6'!I24+'7.6'!I24+'8.6'!I24+'9.6'!I24+'10.6'!I24+'11.6'!I24+'12.6'!I24+'13.6'!I24+'14.6'!I24+'15.6'!I24+'16.6'!I24+'17.6'!I24+'18.6'!I24+'19.6'!I24+'20.6'!I24+'21.6'!I24+'22.6'!I24+'23.6'!I24+'24.6'!I24+'25.6'!I24+'26.6'!I24+'27.6'!I24+'28.6'!I24+'29.6'!I24+'30.6'!I24</f>
        <v>3</v>
      </c>
      <c r="I24" s="233">
        <f>'1.6'!J24+'2.6'!J24+'3.6'!J24+'4.6'!J24+'5.6'!J24+'6.6'!J24+'7.6'!J24+'8.6'!J24+'9.6'!J24+'10.6'!J24+'11.6'!J24+'12.6'!J24+'13.6'!J24+'14.6'!J24+'15.6'!J24+'16.6'!J24+'17.6'!J24+'18.6'!J24+'19.6'!J24+'20.6'!J24+'21.6'!J24+'22.6'!J24+'23.6'!J24+'24.6'!J24+'25.6'!J24+'26.6'!J24+'27.6'!J24+'28.6'!J24+'29.6'!J24+'30.6'!J24</f>
        <v>10</v>
      </c>
      <c r="J24" s="233">
        <f>'1.6'!K24+'2.6'!K24+'3.6'!K24+'4.6'!K24+'5.6'!K24+'6.6'!K24+'7.6'!K24+'8.6'!K24+'9.6'!K24+'10.6'!K24+'11.6'!K24+'12.6'!K24+'13.6'!K24+'14.6'!K24+'15.6'!K24+'16.6'!K24+'17.6'!K24+'18.6'!K24+'19.6'!K24+'20.6'!K24+'21.6'!K24+'22.6'!K24+'23.6'!K24+'24.6'!K24+'25.6'!K24+'26.6'!K24+'27.6'!K24+'28.6'!K24+'29.6'!K24+'30.6'!K24</f>
        <v>4</v>
      </c>
      <c r="K24" s="233">
        <f>'1.6'!L24+'2.6'!L24+'3.6'!L24+'4.6'!L24+'5.6'!L24+'6.6'!L24+'7.6'!L24+'8.6'!L24+'9.6'!L24+'10.6'!L24+'11.6'!L24+'12.6'!L24+'13.6'!L24+'14.6'!L24+'15.6'!L24+'16.6'!L24+'17.6'!L24+'18.6'!L24+'19.6'!L24+'20.6'!L24+'21.6'!L24+'22.6'!L24+'23.6'!L24+'24.6'!L24+'25.6'!L24+'26.6'!L24+'27.6'!L24+'28.6'!L24+'29.6'!L24+'30.6'!L24</f>
        <v>0</v>
      </c>
      <c r="L24" s="233">
        <f>'1.6'!M24+'2.6'!M24+'3.6'!M24+'4.6'!M24+'5.6'!M24+'6.6'!M24+'7.6'!M24+'8.6'!M24+'9.6'!M24+'10.6'!M24+'11.6'!M24+'12.6'!M24+'13.6'!M24+'14.6'!M24+'15.6'!M24+'16.6'!M24+'17.6'!M24+'18.6'!M24+'19.6'!M24+'20.6'!M24+'21.6'!M24+'22.6'!M24+'23.6'!M24+'24.6'!M24+'25.6'!M24+'26.6'!M24+'27.6'!M24+'28.6'!M24+'29.6'!M24+'30.6'!M24</f>
        <v>0</v>
      </c>
      <c r="M24" s="233">
        <f>'1.6'!N24+'2.6'!N24+'3.6'!N24+'4.6'!N24+'5.6'!N24+'6.6'!N24+'7.6'!N24+'8.6'!N24+'9.6'!N24+'10.6'!N24+'11.6'!N24+'12.6'!N24+'13.6'!N24+'14.6'!N24+'15.6'!N24+'16.6'!N24+'17.6'!N24+'18.6'!N24+'19.6'!N24+'20.6'!N24+'21.6'!N24+'22.6'!N24+'23.6'!N24+'24.6'!N24+'25.6'!N24+'26.6'!N24+'27.6'!N24+'28.6'!N24+'29.6'!N24+'30.6'!N24</f>
        <v>7</v>
      </c>
      <c r="N24" s="233">
        <f>'1.6'!O24+'2.6'!O24+'3.6'!O24+'4.6'!O24+'5.6'!O24+'6.6'!O24+'7.6'!O24+'8.6'!O24+'9.6'!O24+'10.6'!O24+'11.6'!O24+'12.6'!O24+'13.6'!O24+'14.6'!O24+'15.6'!O24+'16.6'!O24+'17.6'!O24+'18.6'!O24+'19.6'!O24+'20.6'!O24+'21.6'!O24+'22.6'!O24+'23.6'!O24+'24.6'!O24+'25.6'!O24+'26.6'!O24+'27.6'!O24+'28.6'!O24+'29.6'!O24+'30.6'!O24</f>
        <v>2</v>
      </c>
      <c r="O24" s="233">
        <f>'1.6'!P24+'2.6'!P24+'3.6'!P24+'4.6'!P24+'5.6'!P24+'6.6'!P24+'7.6'!P24+'8.6'!P24+'9.6'!P24+'10.6'!P24+'11.6'!P24+'12.6'!P24+'13.6'!P24+'14.6'!P24+'15.6'!P24+'16.6'!P24+'17.6'!P24+'18.6'!P24+'19.6'!P24+'20.6'!P24+'21.6'!P24+'22.6'!P24+'23.6'!P24+'24.6'!P24+'25.6'!P24+'26.6'!P24+'27.6'!P24+'28.6'!P24+'29.6'!P24+'30.6'!P24</f>
        <v>4</v>
      </c>
      <c r="P24" s="233">
        <f>'1.6'!Q24+'2.6'!Q24+'3.6'!Q24+'4.6'!Q24+'5.6'!Q24+'6.6'!Q24+'7.6'!Q24+'8.6'!Q24+'9.6'!Q24+'10.6'!Q24+'11.6'!Q24+'12.6'!Q24+'13.6'!Q24+'14.6'!Q24+'15.6'!Q24+'16.6'!Q24+'17.6'!Q24+'18.6'!Q24+'19.6'!Q24+'20.6'!Q24+'21.6'!Q24+'22.6'!Q24+'23.6'!Q24+'24.6'!Q24+'25.6'!Q24+'26.6'!Q24+'27.6'!Q24+'28.6'!Q24+'29.6'!Q24+'30.6'!Q24</f>
        <v>0</v>
      </c>
      <c r="Q24" s="233">
        <f>'1.6'!R24+'2.6'!R24+'3.6'!R24+'4.6'!R24+'5.6'!R24+'6.6'!R24+'7.6'!R24+'8.6'!R24+'9.6'!R24+'10.6'!R24+'11.6'!R24+'12.6'!R24+'13.6'!R24+'14.6'!R24+'15.6'!R24+'16.6'!R24+'17.6'!R24+'18.6'!R24+'19.6'!R24+'20.6'!R24+'21.6'!R24+'22.6'!R24+'23.6'!R24+'24.6'!R24+'25.6'!R24+'26.6'!R24+'27.6'!R24+'28.6'!R24+'29.6'!R24+'30.6'!R24</f>
        <v>0</v>
      </c>
      <c r="R24" s="233">
        <f>'1.6'!S24+'2.6'!S24+'3.6'!S24+'4.6'!S24+'5.6'!S24+'6.6'!S24+'7.6'!S24+'8.6'!S24+'9.6'!S24+'10.6'!S24+'11.6'!S24+'12.6'!S24+'13.6'!S24+'14.6'!S24+'15.6'!S24+'16.6'!S24+'17.6'!S24+'18.6'!S24+'19.6'!S24+'20.6'!S24+'21.6'!S24+'22.6'!S24+'23.6'!S24+'24.6'!S24+'25.6'!S24+'26.6'!S24+'27.6'!S24+'28.6'!S24+'29.6'!S24+'30.6'!S24</f>
        <v>2</v>
      </c>
      <c r="S24" s="233">
        <f>'1.6'!T24+'2.6'!T24+'3.6'!T24+'4.6'!T24+'5.6'!T24+'6.6'!T24+'7.6'!T24+'8.6'!T24+'9.6'!T24+'10.6'!T24+'11.6'!T24+'12.6'!T24+'13.6'!T24+'14.6'!T24+'15.6'!T24+'16.6'!T24+'17.6'!T24+'18.6'!T24+'19.6'!T24+'20.6'!T24+'21.6'!T24+'22.6'!T24+'23.6'!T24+'24.6'!T24+'25.6'!T24+'26.6'!T24+'27.6'!T24+'28.6'!T24+'29.6'!T24+'30.6'!T24</f>
        <v>3</v>
      </c>
    </row>
    <row r="25" spans="1:19" ht="18.75">
      <c r="A25" s="6">
        <v>2</v>
      </c>
      <c r="B25" s="20" t="s">
        <v>122</v>
      </c>
      <c r="C25" s="6" t="s">
        <v>111</v>
      </c>
      <c r="D25" s="9">
        <v>0</v>
      </c>
      <c r="E25" s="233">
        <f>'1.6'!F25+'2.6'!F25+'3.6'!F25+'4.6'!F25+'5.6'!F25+'6.6'!F25+'7.6'!F25+'8.6'!F25+'9.6'!F25+'10.6'!F25+'11.6'!F25+'12.6'!F25+'13.6'!F25+'14.6'!F25+'15.6'!F25+'16.6'!F25+'17.6'!F25+'18.6'!F25+'19.6'!F25+'20.6'!F25+'21.6'!F25+'22.6'!F25+'23.6'!F25+'24.6'!F25+'25.6'!F25+'26.6'!F25+'27.6'!F25+'28.6'!F25+'29.6'!F25+'30.6'!F25</f>
        <v>0</v>
      </c>
      <c r="F25" s="233">
        <f>'1.6'!G25+'2.6'!G25+'3.6'!G25+'4.6'!G25+'5.6'!G25+'6.6'!G25+'7.6'!G25+'8.6'!G25+'9.6'!G25+'10.6'!G25+'11.6'!G25+'12.6'!G25+'13.6'!G25+'14.6'!G25+'15.6'!G25+'16.6'!G25+'17.6'!G25+'18.6'!G25+'19.6'!G25+'20.6'!G25+'21.6'!G25+'22.6'!G25+'23.6'!G25+'24.6'!G25+'25.6'!G25+'26.6'!G25+'27.6'!G25+'28.6'!G25+'29.6'!G25+'30.6'!G25</f>
        <v>0</v>
      </c>
      <c r="G25" s="233">
        <f>'1.6'!H25+'2.6'!H25+'3.6'!H25+'4.6'!H25+'5.6'!H25+'6.6'!H25+'7.6'!H25+'8.6'!H25+'9.6'!H25+'10.6'!H25+'11.6'!H25+'12.6'!H25+'13.6'!H25+'14.6'!H25+'15.6'!H25+'16.6'!H25+'17.6'!H25+'18.6'!H25+'19.6'!H25+'20.6'!H25+'21.6'!H25+'22.6'!H25+'23.6'!H25+'24.6'!H25+'25.6'!H25+'26.6'!H25+'27.6'!H25+'28.6'!H25+'29.6'!H25+'30.6'!H25</f>
        <v>5</v>
      </c>
      <c r="H25" s="233">
        <f>'1.6'!I25+'2.6'!I25+'3.6'!I25+'4.6'!I25+'5.6'!I25+'6.6'!I25+'7.6'!I25+'8.6'!I25+'9.6'!I25+'10.6'!I25+'11.6'!I25+'12.6'!I25+'13.6'!I25+'14.6'!I25+'15.6'!I25+'16.6'!I25+'17.6'!I25+'18.6'!I25+'19.6'!I25+'20.6'!I25+'21.6'!I25+'22.6'!I25+'23.6'!I25+'24.6'!I25+'25.6'!I25+'26.6'!I25+'27.6'!I25+'28.6'!I25+'29.6'!I25+'30.6'!I25</f>
        <v>3</v>
      </c>
      <c r="I25" s="233">
        <f>'1.6'!J25+'2.6'!J25+'3.6'!J25+'4.6'!J25+'5.6'!J25+'6.6'!J25+'7.6'!J25+'8.6'!J25+'9.6'!J25+'10.6'!J25+'11.6'!J25+'12.6'!J25+'13.6'!J25+'14.6'!J25+'15.6'!J25+'16.6'!J25+'17.6'!J25+'18.6'!J25+'19.6'!J25+'20.6'!J25+'21.6'!J25+'22.6'!J25+'23.6'!J25+'24.6'!J25+'25.6'!J25+'26.6'!J25+'27.6'!J25+'28.6'!J25+'29.6'!J25+'30.6'!J25</f>
        <v>10</v>
      </c>
      <c r="J25" s="233">
        <f>'1.6'!K25+'2.6'!K25+'3.6'!K25+'4.6'!K25+'5.6'!K25+'6.6'!K25+'7.6'!K25+'8.6'!K25+'9.6'!K25+'10.6'!K25+'11.6'!K25+'12.6'!K25+'13.6'!K25+'14.6'!K25+'15.6'!K25+'16.6'!K25+'17.6'!K25+'18.6'!K25+'19.6'!K25+'20.6'!K25+'21.6'!K25+'22.6'!K25+'23.6'!K25+'24.6'!K25+'25.6'!K25+'26.6'!K25+'27.6'!K25+'28.6'!K25+'29.6'!K25+'30.6'!K25</f>
        <v>4</v>
      </c>
      <c r="K25" s="233">
        <f>'1.6'!L25+'2.6'!L25+'3.6'!L25+'4.6'!L25+'5.6'!L25+'6.6'!L25+'7.6'!L25+'8.6'!L25+'9.6'!L25+'10.6'!L25+'11.6'!L25+'12.6'!L25+'13.6'!L25+'14.6'!L25+'15.6'!L25+'16.6'!L25+'17.6'!L25+'18.6'!L25+'19.6'!L25+'20.6'!L25+'21.6'!L25+'22.6'!L25+'23.6'!L25+'24.6'!L25+'25.6'!L25+'26.6'!L25+'27.6'!L25+'28.6'!L25+'29.6'!L25+'30.6'!L25</f>
        <v>0</v>
      </c>
      <c r="L25" s="233">
        <f>'1.6'!M25+'2.6'!M25+'3.6'!M25+'4.6'!M25+'5.6'!M25+'6.6'!M25+'7.6'!M25+'8.6'!M25+'9.6'!M25+'10.6'!M25+'11.6'!M25+'12.6'!M25+'13.6'!M25+'14.6'!M25+'15.6'!M25+'16.6'!M25+'17.6'!M25+'18.6'!M25+'19.6'!M25+'20.6'!M25+'21.6'!M25+'22.6'!M25+'23.6'!M25+'24.6'!M25+'25.6'!M25+'26.6'!M25+'27.6'!M25+'28.6'!M25+'29.6'!M25+'30.6'!M25</f>
        <v>0</v>
      </c>
      <c r="M25" s="233">
        <f>'1.6'!N25+'2.6'!N25+'3.6'!N25+'4.6'!N25+'5.6'!N25+'6.6'!N25+'7.6'!N25+'8.6'!N25+'9.6'!N25+'10.6'!N25+'11.6'!N25+'12.6'!N25+'13.6'!N25+'14.6'!N25+'15.6'!N25+'16.6'!N25+'17.6'!N25+'18.6'!N25+'19.6'!N25+'20.6'!N25+'21.6'!N25+'22.6'!N25+'23.6'!N25+'24.6'!N25+'25.6'!N25+'26.6'!N25+'27.6'!N25+'28.6'!N25+'29.6'!N25+'30.6'!N25</f>
        <v>7</v>
      </c>
      <c r="N25" s="233">
        <f>'1.6'!O25+'2.6'!O25+'3.6'!O25+'4.6'!O25+'5.6'!O25+'6.6'!O25+'7.6'!O25+'8.6'!O25+'9.6'!O25+'10.6'!O25+'11.6'!O25+'12.6'!O25+'13.6'!O25+'14.6'!O25+'15.6'!O25+'16.6'!O25+'17.6'!O25+'18.6'!O25+'19.6'!O25+'20.6'!O25+'21.6'!O25+'22.6'!O25+'23.6'!O25+'24.6'!O25+'25.6'!O25+'26.6'!O25+'27.6'!O25+'28.6'!O25+'29.6'!O25+'30.6'!O25</f>
        <v>2</v>
      </c>
      <c r="O25" s="233">
        <f>'1.6'!P25+'2.6'!P25+'3.6'!P25+'4.6'!P25+'5.6'!P25+'6.6'!P25+'7.6'!P25+'8.6'!P25+'9.6'!P25+'10.6'!P25+'11.6'!P25+'12.6'!P25+'13.6'!P25+'14.6'!P25+'15.6'!P25+'16.6'!P25+'17.6'!P25+'18.6'!P25+'19.6'!P25+'20.6'!P25+'21.6'!P25+'22.6'!P25+'23.6'!P25+'24.6'!P25+'25.6'!P25+'26.6'!P25+'27.6'!P25+'28.6'!P25+'29.6'!P25+'30.6'!P25</f>
        <v>4</v>
      </c>
      <c r="P25" s="233">
        <f>'1.6'!Q25+'2.6'!Q25+'3.6'!Q25+'4.6'!Q25+'5.6'!Q25+'6.6'!Q25+'7.6'!Q25+'8.6'!Q25+'9.6'!Q25+'10.6'!Q25+'11.6'!Q25+'12.6'!Q25+'13.6'!Q25+'14.6'!Q25+'15.6'!Q25+'16.6'!Q25+'17.6'!Q25+'18.6'!Q25+'19.6'!Q25+'20.6'!Q25+'21.6'!Q25+'22.6'!Q25+'23.6'!Q25+'24.6'!Q25+'25.6'!Q25+'26.6'!Q25+'27.6'!Q25+'28.6'!Q25+'29.6'!Q25+'30.6'!Q25</f>
        <v>2</v>
      </c>
      <c r="Q25" s="233">
        <f>'1.6'!R25+'2.6'!R25+'3.6'!R25+'4.6'!R25+'5.6'!R25+'6.6'!R25+'7.6'!R25+'8.6'!R25+'9.6'!R25+'10.6'!R25+'11.6'!R25+'12.6'!R25+'13.6'!R25+'14.6'!R25+'15.6'!R25+'16.6'!R25+'17.6'!R25+'18.6'!R25+'19.6'!R25+'20.6'!R25+'21.6'!R25+'22.6'!R25+'23.6'!R25+'24.6'!R25+'25.6'!R25+'26.6'!R25+'27.6'!R25+'28.6'!R25+'29.6'!R25+'30.6'!R25</f>
        <v>0</v>
      </c>
      <c r="R25" s="233">
        <f>'1.6'!S25+'2.6'!S25+'3.6'!S25+'4.6'!S25+'5.6'!S25+'6.6'!S25+'7.6'!S25+'8.6'!S25+'9.6'!S25+'10.6'!S25+'11.6'!S25+'12.6'!S25+'13.6'!S25+'14.6'!S25+'15.6'!S25+'16.6'!S25+'17.6'!S25+'18.6'!S25+'19.6'!S25+'20.6'!S25+'21.6'!S25+'22.6'!S25+'23.6'!S25+'24.6'!S25+'25.6'!S25+'26.6'!S25+'27.6'!S25+'28.6'!S25+'29.6'!S25+'30.6'!S25</f>
        <v>2</v>
      </c>
      <c r="S25" s="233">
        <f>'1.6'!T25+'2.6'!T25+'3.6'!T25+'4.6'!T25+'5.6'!T25+'6.6'!T25+'7.6'!T25+'8.6'!T25+'9.6'!T25+'10.6'!T25+'11.6'!T25+'12.6'!T25+'13.6'!T25+'14.6'!T25+'15.6'!T25+'16.6'!T25+'17.6'!T25+'18.6'!T25+'19.6'!T25+'20.6'!T25+'21.6'!T25+'22.6'!T25+'23.6'!T25+'24.6'!T25+'25.6'!T25+'26.6'!T25+'27.6'!T25+'28.6'!T25+'29.6'!T25+'30.6'!T25</f>
        <v>3</v>
      </c>
    </row>
    <row r="26" spans="1:19" ht="18.75">
      <c r="A26" s="6">
        <v>3</v>
      </c>
      <c r="B26" s="20" t="s">
        <v>123</v>
      </c>
      <c r="C26" s="6" t="s">
        <v>111</v>
      </c>
      <c r="D26" s="9">
        <v>0</v>
      </c>
      <c r="E26" s="233">
        <f>'1.6'!F26+'2.6'!F26+'3.6'!F26+'4.6'!F26+'5.6'!F26+'6.6'!F26+'7.6'!F26+'8.6'!F26+'9.6'!F26+'10.6'!F26+'11.6'!F26+'12.6'!F26+'13.6'!F26+'14.6'!F26+'15.6'!F26+'16.6'!F26+'17.6'!F26+'18.6'!F26+'19.6'!F26+'20.6'!F26+'21.6'!F26+'22.6'!F26+'23.6'!F26+'24.6'!F26+'25.6'!F26+'26.6'!F26+'27.6'!F26+'28.6'!F26+'29.6'!F26+'30.6'!F26</f>
        <v>0</v>
      </c>
      <c r="F26" s="233">
        <f>'1.6'!G26+'2.6'!G26+'3.6'!G26+'4.6'!G26+'5.6'!G26+'6.6'!G26+'7.6'!G26+'8.6'!G26+'9.6'!G26+'10.6'!G26+'11.6'!G26+'12.6'!G26+'13.6'!G26+'14.6'!G26+'15.6'!G26+'16.6'!G26+'17.6'!G26+'18.6'!G26+'19.6'!G26+'20.6'!G26+'21.6'!G26+'22.6'!G26+'23.6'!G26+'24.6'!G26+'25.6'!G26+'26.6'!G26+'27.6'!G26+'28.6'!G26+'29.6'!G26+'30.6'!G26</f>
        <v>0</v>
      </c>
      <c r="G26" s="233">
        <f>'1.6'!H26+'2.6'!H26+'3.6'!H26+'4.6'!H26+'5.6'!H26+'6.6'!H26+'7.6'!H26+'8.6'!H26+'9.6'!H26+'10.6'!H26+'11.6'!H26+'12.6'!H26+'13.6'!H26+'14.6'!H26+'15.6'!H26+'16.6'!H26+'17.6'!H26+'18.6'!H26+'19.6'!H26+'20.6'!H26+'21.6'!H26+'22.6'!H26+'23.6'!H26+'24.6'!H26+'25.6'!H26+'26.6'!H26+'27.6'!H26+'28.6'!H26+'29.6'!H26+'30.6'!H26</f>
        <v>5</v>
      </c>
      <c r="H26" s="233">
        <f>'1.6'!I26+'2.6'!I26+'3.6'!I26+'4.6'!I26+'5.6'!I26+'6.6'!I26+'7.6'!I26+'8.6'!I26+'9.6'!I26+'10.6'!I26+'11.6'!I26+'12.6'!I26+'13.6'!I26+'14.6'!I26+'15.6'!I26+'16.6'!I26+'17.6'!I26+'18.6'!I26+'19.6'!I26+'20.6'!I26+'21.6'!I26+'22.6'!I26+'23.6'!I26+'24.6'!I26+'25.6'!I26+'26.6'!I26+'27.6'!I26+'28.6'!I26+'29.6'!I26+'30.6'!I26</f>
        <v>3</v>
      </c>
      <c r="I26" s="233">
        <f>'1.6'!J26+'2.6'!J26+'3.6'!J26+'4.6'!J26+'5.6'!J26+'6.6'!J26+'7.6'!J26+'8.6'!J26+'9.6'!J26+'10.6'!J26+'11.6'!J26+'12.6'!J26+'13.6'!J26+'14.6'!J26+'15.6'!J26+'16.6'!J26+'17.6'!J26+'18.6'!J26+'19.6'!J26+'20.6'!J26+'21.6'!J26+'22.6'!J26+'23.6'!J26+'24.6'!J26+'25.6'!J26+'26.6'!J26+'27.6'!J26+'28.6'!J26+'29.6'!J26+'30.6'!J26</f>
        <v>10</v>
      </c>
      <c r="J26" s="233">
        <f>'1.6'!K26+'2.6'!K26+'3.6'!K26+'4.6'!K26+'5.6'!K26+'6.6'!K26+'7.6'!K26+'8.6'!K26+'9.6'!K26+'10.6'!K26+'11.6'!K26+'12.6'!K26+'13.6'!K26+'14.6'!K26+'15.6'!K26+'16.6'!K26+'17.6'!K26+'18.6'!K26+'19.6'!K26+'20.6'!K26+'21.6'!K26+'22.6'!K26+'23.6'!K26+'24.6'!K26+'25.6'!K26+'26.6'!K26+'27.6'!K26+'28.6'!K26+'29.6'!K26+'30.6'!K26</f>
        <v>4</v>
      </c>
      <c r="K26" s="233">
        <f>'1.6'!L26+'2.6'!L26+'3.6'!L26+'4.6'!L26+'5.6'!L26+'6.6'!L26+'7.6'!L26+'8.6'!L26+'9.6'!L26+'10.6'!L26+'11.6'!L26+'12.6'!L26+'13.6'!L26+'14.6'!L26+'15.6'!L26+'16.6'!L26+'17.6'!L26+'18.6'!L26+'19.6'!L26+'20.6'!L26+'21.6'!L26+'22.6'!L26+'23.6'!L26+'24.6'!L26+'25.6'!L26+'26.6'!L26+'27.6'!L26+'28.6'!L26+'29.6'!L26+'30.6'!L26</f>
        <v>0</v>
      </c>
      <c r="L26" s="233">
        <f>'1.6'!M26+'2.6'!M26+'3.6'!M26+'4.6'!M26+'5.6'!M26+'6.6'!M26+'7.6'!M26+'8.6'!M26+'9.6'!M26+'10.6'!M26+'11.6'!M26+'12.6'!M26+'13.6'!M26+'14.6'!M26+'15.6'!M26+'16.6'!M26+'17.6'!M26+'18.6'!M26+'19.6'!M26+'20.6'!M26+'21.6'!M26+'22.6'!M26+'23.6'!M26+'24.6'!M26+'25.6'!M26+'26.6'!M26+'27.6'!M26+'28.6'!M26+'29.6'!M26+'30.6'!M26</f>
        <v>0</v>
      </c>
      <c r="M26" s="233">
        <f>'1.6'!N26+'2.6'!N26+'3.6'!N26+'4.6'!N26+'5.6'!N26+'6.6'!N26+'7.6'!N26+'8.6'!N26+'9.6'!N26+'10.6'!N26+'11.6'!N26+'12.6'!N26+'13.6'!N26+'14.6'!N26+'15.6'!N26+'16.6'!N26+'17.6'!N26+'18.6'!N26+'19.6'!N26+'20.6'!N26+'21.6'!N26+'22.6'!N26+'23.6'!N26+'24.6'!N26+'25.6'!N26+'26.6'!N26+'27.6'!N26+'28.6'!N26+'29.6'!N26+'30.6'!N26</f>
        <v>7</v>
      </c>
      <c r="N26" s="233">
        <f>'1.6'!O26+'2.6'!O26+'3.6'!O26+'4.6'!O26+'5.6'!O26+'6.6'!O26+'7.6'!O26+'8.6'!O26+'9.6'!O26+'10.6'!O26+'11.6'!O26+'12.6'!O26+'13.6'!O26+'14.6'!O26+'15.6'!O26+'16.6'!O26+'17.6'!O26+'18.6'!O26+'19.6'!O26+'20.6'!O26+'21.6'!O26+'22.6'!O26+'23.6'!O26+'24.6'!O26+'25.6'!O26+'26.6'!O26+'27.6'!O26+'28.6'!O26+'29.6'!O26+'30.6'!O26</f>
        <v>2</v>
      </c>
      <c r="O26" s="233">
        <f>'1.6'!P26+'2.6'!P26+'3.6'!P26+'4.6'!P26+'5.6'!P26+'6.6'!P26+'7.6'!P26+'8.6'!P26+'9.6'!P26+'10.6'!P26+'11.6'!P26+'12.6'!P26+'13.6'!P26+'14.6'!P26+'15.6'!P26+'16.6'!P26+'17.6'!P26+'18.6'!P26+'19.6'!P26+'20.6'!P26+'21.6'!P26+'22.6'!P26+'23.6'!P26+'24.6'!P26+'25.6'!P26+'26.6'!P26+'27.6'!P26+'28.6'!P26+'29.6'!P26+'30.6'!P26</f>
        <v>4</v>
      </c>
      <c r="P26" s="233">
        <f>'1.6'!Q26+'2.6'!Q26+'3.6'!Q26+'4.6'!Q26+'5.6'!Q26+'6.6'!Q26+'7.6'!Q26+'8.6'!Q26+'9.6'!Q26+'10.6'!Q26+'11.6'!Q26+'12.6'!Q26+'13.6'!Q26+'14.6'!Q26+'15.6'!Q26+'16.6'!Q26+'17.6'!Q26+'18.6'!Q26+'19.6'!Q26+'20.6'!Q26+'21.6'!Q26+'22.6'!Q26+'23.6'!Q26+'24.6'!Q26+'25.6'!Q26+'26.6'!Q26+'27.6'!Q26+'28.6'!Q26+'29.6'!Q26+'30.6'!Q26</f>
        <v>2</v>
      </c>
      <c r="Q26" s="233">
        <f>'1.6'!R26+'2.6'!R26+'3.6'!R26+'4.6'!R26+'5.6'!R26+'6.6'!R26+'7.6'!R26+'8.6'!R26+'9.6'!R26+'10.6'!R26+'11.6'!R26+'12.6'!R26+'13.6'!R26+'14.6'!R26+'15.6'!R26+'16.6'!R26+'17.6'!R26+'18.6'!R26+'19.6'!R26+'20.6'!R26+'21.6'!R26+'22.6'!R26+'23.6'!R26+'24.6'!R26+'25.6'!R26+'26.6'!R26+'27.6'!R26+'28.6'!R26+'29.6'!R26+'30.6'!R26</f>
        <v>0</v>
      </c>
      <c r="R26" s="233">
        <f>'1.6'!S26+'2.6'!S26+'3.6'!S26+'4.6'!S26+'5.6'!S26+'6.6'!S26+'7.6'!S26+'8.6'!S26+'9.6'!S26+'10.6'!S26+'11.6'!S26+'12.6'!S26+'13.6'!S26+'14.6'!S26+'15.6'!S26+'16.6'!S26+'17.6'!S26+'18.6'!S26+'19.6'!S26+'20.6'!S26+'21.6'!S26+'22.6'!S26+'23.6'!S26+'24.6'!S26+'25.6'!S26+'26.6'!S26+'27.6'!S26+'28.6'!S26+'29.6'!S26+'30.6'!S26</f>
        <v>2</v>
      </c>
      <c r="S26" s="233">
        <f>'1.6'!T26+'2.6'!T26+'3.6'!T26+'4.6'!T26+'5.6'!T26+'6.6'!T26+'7.6'!T26+'8.6'!T26+'9.6'!T26+'10.6'!T26+'11.6'!T26+'12.6'!T26+'13.6'!T26+'14.6'!T26+'15.6'!T26+'16.6'!T26+'17.6'!T26+'18.6'!T26+'19.6'!T26+'20.6'!T26+'21.6'!T26+'22.6'!T26+'23.6'!T26+'24.6'!T26+'25.6'!T26+'26.6'!T26+'27.6'!T26+'28.6'!T26+'29.6'!T26+'30.6'!T26</f>
        <v>3</v>
      </c>
    </row>
    <row r="27" spans="1:19" ht="18.75">
      <c r="A27" s="6">
        <v>4</v>
      </c>
      <c r="B27" s="20"/>
      <c r="C27" s="6"/>
      <c r="D27" s="9">
        <v>0</v>
      </c>
      <c r="E27" s="233">
        <f>'1.6'!F27+'2.6'!F27+'3.6'!F27+'4.6'!F27+'5.6'!F27+'6.6'!F27+'7.6'!F27+'8.6'!F27+'9.6'!F27+'10.6'!F27+'11.6'!F27+'12.6'!F27+'13.6'!F27+'14.6'!F27+'15.6'!F27+'16.6'!F27+'17.6'!F27+'18.6'!F27+'19.6'!F27+'20.6'!F27+'21.6'!F27+'22.6'!F27+'23.6'!F27+'24.6'!F27+'25.6'!F27+'26.6'!F27+'27.6'!F27+'28.6'!F27+'29.6'!F27+'30.6'!F27</f>
        <v>0</v>
      </c>
      <c r="F27" s="233">
        <f>'1.6'!G27+'2.6'!G27+'3.6'!G27+'4.6'!G27+'5.6'!G27+'6.6'!G27+'7.6'!G27+'8.6'!G27+'9.6'!G27+'10.6'!G27+'11.6'!G27+'12.6'!G27+'13.6'!G27+'14.6'!G27+'15.6'!G27+'16.6'!G27+'17.6'!G27+'18.6'!G27+'19.6'!G27+'20.6'!G27+'21.6'!G27+'22.6'!G27+'23.6'!G27+'24.6'!G27+'25.6'!G27+'26.6'!G27+'27.6'!G27+'28.6'!G27+'29.6'!G27+'30.6'!G27</f>
        <v>0</v>
      </c>
      <c r="G27" s="233">
        <f>'1.6'!H27+'2.6'!H27+'3.6'!H27+'4.6'!H27+'5.6'!H27+'6.6'!H27+'7.6'!H27+'8.6'!H27+'9.6'!H27+'10.6'!H27+'11.6'!H27+'12.6'!H27+'13.6'!H27+'14.6'!H27+'15.6'!H27+'16.6'!H27+'17.6'!H27+'18.6'!H27+'19.6'!H27+'20.6'!H27+'21.6'!H27+'22.6'!H27+'23.6'!H27+'24.6'!H27+'25.6'!H27+'26.6'!H27+'27.6'!H27+'28.6'!H27+'29.6'!H27+'30.6'!H27</f>
        <v>0</v>
      </c>
      <c r="H27" s="233">
        <f>'1.6'!I27+'2.6'!I27+'3.6'!I27+'4.6'!I27+'5.6'!I27+'6.6'!I27+'7.6'!I27+'8.6'!I27+'9.6'!I27+'10.6'!I27+'11.6'!I27+'12.6'!I27+'13.6'!I27+'14.6'!I27+'15.6'!I27+'16.6'!I27+'17.6'!I27+'18.6'!I27+'19.6'!I27+'20.6'!I27+'21.6'!I27+'22.6'!I27+'23.6'!I27+'24.6'!I27+'25.6'!I27+'26.6'!I27+'27.6'!I27+'28.6'!I27+'29.6'!I27+'30.6'!I27</f>
        <v>0</v>
      </c>
      <c r="I27" s="233">
        <f>'1.6'!J27+'2.6'!J27+'3.6'!J27+'4.6'!J27+'5.6'!J27+'6.6'!J27+'7.6'!J27+'8.6'!J27+'9.6'!J27+'10.6'!J27+'11.6'!J27+'12.6'!J27+'13.6'!J27+'14.6'!J27+'15.6'!J27+'16.6'!J27+'17.6'!J27+'18.6'!J27+'19.6'!J27+'20.6'!J27+'21.6'!J27+'22.6'!J27+'23.6'!J27+'24.6'!J27+'25.6'!J27+'26.6'!J27+'27.6'!J27+'28.6'!J27+'29.6'!J27+'30.6'!J27</f>
        <v>0</v>
      </c>
      <c r="J27" s="233">
        <f>'1.6'!K27+'2.6'!K27+'3.6'!K27+'4.6'!K27+'5.6'!K27+'6.6'!K27+'7.6'!K27+'8.6'!K27+'9.6'!K27+'10.6'!K27+'11.6'!K27+'12.6'!K27+'13.6'!K27+'14.6'!K27+'15.6'!K27+'16.6'!K27+'17.6'!K27+'18.6'!K27+'19.6'!K27+'20.6'!K27+'21.6'!K27+'22.6'!K27+'23.6'!K27+'24.6'!K27+'25.6'!K27+'26.6'!K27+'27.6'!K27+'28.6'!K27+'29.6'!K27+'30.6'!K27</f>
        <v>0</v>
      </c>
      <c r="K27" s="233">
        <f>'1.6'!L27+'2.6'!L27+'3.6'!L27+'4.6'!L27+'5.6'!L27+'6.6'!L27+'7.6'!L27+'8.6'!L27+'9.6'!L27+'10.6'!L27+'11.6'!L27+'12.6'!L27+'13.6'!L27+'14.6'!L27+'15.6'!L27+'16.6'!L27+'17.6'!L27+'18.6'!L27+'19.6'!L27+'20.6'!L27+'21.6'!L27+'22.6'!L27+'23.6'!L27+'24.6'!L27+'25.6'!L27+'26.6'!L27+'27.6'!L27+'28.6'!L27+'29.6'!L27+'30.6'!L27</f>
        <v>0</v>
      </c>
      <c r="L27" s="233">
        <f>'1.6'!M27+'2.6'!M27+'3.6'!M27+'4.6'!M27+'5.6'!M27+'6.6'!M27+'7.6'!M27+'8.6'!M27+'9.6'!M27+'10.6'!M27+'11.6'!M27+'12.6'!M27+'13.6'!M27+'14.6'!M27+'15.6'!M27+'16.6'!M27+'17.6'!M27+'18.6'!M27+'19.6'!M27+'20.6'!M27+'21.6'!M27+'22.6'!M27+'23.6'!M27+'24.6'!M27+'25.6'!M27+'26.6'!M27+'27.6'!M27+'28.6'!M27+'29.6'!M27+'30.6'!M27</f>
        <v>0</v>
      </c>
      <c r="M27" s="233">
        <f>'1.6'!N27+'2.6'!N27+'3.6'!N27+'4.6'!N27+'5.6'!N27+'6.6'!N27+'7.6'!N27+'8.6'!N27+'9.6'!N27+'10.6'!N27+'11.6'!N27+'12.6'!N27+'13.6'!N27+'14.6'!N27+'15.6'!N27+'16.6'!N27+'17.6'!N27+'18.6'!N27+'19.6'!N27+'20.6'!N27+'21.6'!N27+'22.6'!N27+'23.6'!N27+'24.6'!N27+'25.6'!N27+'26.6'!N27+'27.6'!N27+'28.6'!N27+'29.6'!N27+'30.6'!N27</f>
        <v>0</v>
      </c>
      <c r="N27" s="233">
        <f>'1.6'!O27+'2.6'!O27+'3.6'!O27+'4.6'!O27+'5.6'!O27+'6.6'!O27+'7.6'!O27+'8.6'!O27+'9.6'!O27+'10.6'!O27+'11.6'!O27+'12.6'!O27+'13.6'!O27+'14.6'!O27+'15.6'!O27+'16.6'!O27+'17.6'!O27+'18.6'!O27+'19.6'!O27+'20.6'!O27+'21.6'!O27+'22.6'!O27+'23.6'!O27+'24.6'!O27+'25.6'!O27+'26.6'!O27+'27.6'!O27+'28.6'!O27+'29.6'!O27+'30.6'!O27</f>
        <v>0</v>
      </c>
      <c r="O27" s="233">
        <f>'1.6'!P27+'2.6'!P27+'3.6'!P27+'4.6'!P27+'5.6'!P27+'6.6'!P27+'7.6'!P27+'8.6'!P27+'9.6'!P27+'10.6'!P27+'11.6'!P27+'12.6'!P27+'13.6'!P27+'14.6'!P27+'15.6'!P27+'16.6'!P27+'17.6'!P27+'18.6'!P27+'19.6'!P27+'20.6'!P27+'21.6'!P27+'22.6'!P27+'23.6'!P27+'24.6'!P27+'25.6'!P27+'26.6'!P27+'27.6'!P27+'28.6'!P27+'29.6'!P27+'30.6'!P27</f>
        <v>0</v>
      </c>
      <c r="P27" s="233">
        <f>'1.6'!Q27+'2.6'!Q27+'3.6'!Q27+'4.6'!Q27+'5.6'!Q27+'6.6'!Q27+'7.6'!Q27+'8.6'!Q27+'9.6'!Q27+'10.6'!Q27+'11.6'!Q27+'12.6'!Q27+'13.6'!Q27+'14.6'!Q27+'15.6'!Q27+'16.6'!Q27+'17.6'!Q27+'18.6'!Q27+'19.6'!Q27+'20.6'!Q27+'21.6'!Q27+'22.6'!Q27+'23.6'!Q27+'24.6'!Q27+'25.6'!Q27+'26.6'!Q27+'27.6'!Q27+'28.6'!Q27+'29.6'!Q27+'30.6'!Q27</f>
        <v>0</v>
      </c>
      <c r="Q27" s="233">
        <f>'1.6'!R27+'2.6'!R27+'3.6'!R27+'4.6'!R27+'5.6'!R27+'6.6'!R27+'7.6'!R27+'8.6'!R27+'9.6'!R27+'10.6'!R27+'11.6'!R27+'12.6'!R27+'13.6'!R27+'14.6'!R27+'15.6'!R27+'16.6'!R27+'17.6'!R27+'18.6'!R27+'19.6'!R27+'20.6'!R27+'21.6'!R27+'22.6'!R27+'23.6'!R27+'24.6'!R27+'25.6'!R27+'26.6'!R27+'27.6'!R27+'28.6'!R27+'29.6'!R27+'30.6'!R27</f>
        <v>0</v>
      </c>
      <c r="R27" s="233">
        <f>'1.6'!S27+'2.6'!S27+'3.6'!S27+'4.6'!S27+'5.6'!S27+'6.6'!S27+'7.6'!S27+'8.6'!S27+'9.6'!S27+'10.6'!S27+'11.6'!S27+'12.6'!S27+'13.6'!S27+'14.6'!S27+'15.6'!S27+'16.6'!S27+'17.6'!S27+'18.6'!S27+'19.6'!S27+'20.6'!S27+'21.6'!S27+'22.6'!S27+'23.6'!S27+'24.6'!S27+'25.6'!S27+'26.6'!S27+'27.6'!S27+'28.6'!S27+'29.6'!S27+'30.6'!S27</f>
        <v>0</v>
      </c>
      <c r="S27" s="233">
        <f>'1.6'!T27+'2.6'!T27+'3.6'!T27+'4.6'!T27+'5.6'!T27+'6.6'!T27+'7.6'!T27+'8.6'!T27+'9.6'!T27+'10.6'!T27+'11.6'!T27+'12.6'!T27+'13.6'!T27+'14.6'!T27+'15.6'!T27+'16.6'!T27+'17.6'!T27+'18.6'!T27+'19.6'!T27+'20.6'!T27+'21.6'!T27+'22.6'!T27+'23.6'!T27+'24.6'!T27+'25.6'!T27+'26.6'!T27+'27.6'!T27+'28.6'!T27+'29.6'!T27+'30.6'!T27</f>
        <v>0</v>
      </c>
    </row>
    <row r="28" spans="1:19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11"/>
    </row>
    <row r="29" spans="1:19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 t="s">
        <v>115</v>
      </c>
      <c r="N29" s="27"/>
      <c r="O29" s="27"/>
      <c r="P29" s="27"/>
      <c r="Q29" s="27"/>
      <c r="R29" s="27"/>
      <c r="S29" s="11"/>
    </row>
    <row r="30" spans="1:19">
      <c r="E30" s="222"/>
      <c r="F30" s="222"/>
    </row>
  </sheetData>
  <mergeCells count="8">
    <mergeCell ref="B2:R2"/>
    <mergeCell ref="A5:C5"/>
    <mergeCell ref="E5:R5"/>
    <mergeCell ref="A6:A7"/>
    <mergeCell ref="B6:B7"/>
    <mergeCell ref="C6:C7"/>
    <mergeCell ref="D6:D7"/>
    <mergeCell ref="G6:M6"/>
  </mergeCells>
  <pageMargins left="0.7" right="0.7" top="0.75" bottom="0.75" header="0.3" footer="0.3"/>
  <pageSetup orientation="landscape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30"/>
  <sheetViews>
    <sheetView topLeftCell="B1" zoomScaleNormal="100" zoomScaleSheetLayoutView="100" workbookViewId="0">
      <pane xSplit="3" ySplit="7" topLeftCell="Y8" activePane="bottomRight" state="frozen"/>
      <selection activeCell="F29" sqref="F29"/>
      <selection pane="topRight" activeCell="F29" sqref="F29"/>
      <selection pane="bottomLeft" activeCell="F29" sqref="F29"/>
      <selection pane="bottomRight" activeCell="AE8" sqref="AE8:AH27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3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34" ht="23.25">
      <c r="A2" s="1"/>
      <c r="B2" s="291" t="s">
        <v>127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</row>
    <row r="3" spans="1:3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3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34" ht="18.75">
      <c r="A5" s="292" t="s">
        <v>1</v>
      </c>
      <c r="B5" s="292"/>
      <c r="C5" s="292"/>
      <c r="D5" s="217"/>
      <c r="E5" s="293"/>
      <c r="F5" s="293"/>
      <c r="G5" s="293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t="s">
        <v>57</v>
      </c>
    </row>
    <row r="6" spans="1:34" ht="15.75" customHeight="1">
      <c r="A6" s="295" t="s">
        <v>2</v>
      </c>
      <c r="B6" s="296" t="s">
        <v>3</v>
      </c>
      <c r="C6" s="297" t="s">
        <v>4</v>
      </c>
      <c r="D6" s="289" t="s">
        <v>125</v>
      </c>
      <c r="E6" s="309" t="s">
        <v>1</v>
      </c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  <c r="R6" s="310"/>
      <c r="S6" s="311"/>
      <c r="T6" s="229"/>
      <c r="U6" s="230"/>
      <c r="V6" s="231"/>
      <c r="W6" s="231"/>
    </row>
    <row r="7" spans="1:34" ht="15.75" customHeight="1">
      <c r="A7" s="295"/>
      <c r="B7" s="296"/>
      <c r="C7" s="298"/>
      <c r="D7" s="290"/>
      <c r="E7" s="227">
        <v>42887</v>
      </c>
      <c r="F7" s="228">
        <f>E7+1</f>
        <v>42888</v>
      </c>
      <c r="G7" s="228">
        <f t="shared" ref="G7:AH7" si="0">F7+1</f>
        <v>42889</v>
      </c>
      <c r="H7" s="228">
        <f t="shared" si="0"/>
        <v>42890</v>
      </c>
      <c r="I7" s="228">
        <f t="shared" si="0"/>
        <v>42891</v>
      </c>
      <c r="J7" s="228">
        <f t="shared" si="0"/>
        <v>42892</v>
      </c>
      <c r="K7" s="228">
        <f t="shared" si="0"/>
        <v>42893</v>
      </c>
      <c r="L7" s="228">
        <f t="shared" si="0"/>
        <v>42894</v>
      </c>
      <c r="M7" s="228">
        <f t="shared" si="0"/>
        <v>42895</v>
      </c>
      <c r="N7" s="228">
        <f t="shared" si="0"/>
        <v>42896</v>
      </c>
      <c r="O7" s="228">
        <f t="shared" si="0"/>
        <v>42897</v>
      </c>
      <c r="P7" s="228">
        <f t="shared" si="0"/>
        <v>42898</v>
      </c>
      <c r="Q7" s="228">
        <f t="shared" si="0"/>
        <v>42899</v>
      </c>
      <c r="R7" s="228">
        <f t="shared" si="0"/>
        <v>42900</v>
      </c>
      <c r="S7" s="228">
        <f t="shared" si="0"/>
        <v>42901</v>
      </c>
      <c r="T7" s="228">
        <f t="shared" si="0"/>
        <v>42902</v>
      </c>
      <c r="U7" s="228">
        <f t="shared" si="0"/>
        <v>42903</v>
      </c>
      <c r="V7" s="228">
        <f t="shared" si="0"/>
        <v>42904</v>
      </c>
      <c r="W7" s="232">
        <f t="shared" si="0"/>
        <v>42905</v>
      </c>
      <c r="X7" s="232">
        <f t="shared" si="0"/>
        <v>42906</v>
      </c>
      <c r="Y7" s="232">
        <f t="shared" si="0"/>
        <v>42907</v>
      </c>
      <c r="Z7" s="232">
        <f t="shared" si="0"/>
        <v>42908</v>
      </c>
      <c r="AA7" s="232">
        <f t="shared" si="0"/>
        <v>42909</v>
      </c>
      <c r="AB7" s="232">
        <f t="shared" si="0"/>
        <v>42910</v>
      </c>
      <c r="AC7" s="232">
        <f t="shared" si="0"/>
        <v>42911</v>
      </c>
      <c r="AD7" s="232">
        <f t="shared" si="0"/>
        <v>42912</v>
      </c>
      <c r="AE7" s="232">
        <f t="shared" si="0"/>
        <v>42913</v>
      </c>
      <c r="AF7" s="232">
        <f t="shared" si="0"/>
        <v>42914</v>
      </c>
      <c r="AG7" s="232">
        <f t="shared" si="0"/>
        <v>42915</v>
      </c>
      <c r="AH7" s="232">
        <f t="shared" si="0"/>
        <v>42916</v>
      </c>
    </row>
    <row r="8" spans="1:34" ht="18.75">
      <c r="A8" s="6">
        <v>1</v>
      </c>
      <c r="B8" s="7" t="s">
        <v>12</v>
      </c>
      <c r="C8" s="8" t="s">
        <v>13</v>
      </c>
      <c r="D8" s="9">
        <f>SUM(E8:AH8)</f>
        <v>8496</v>
      </c>
      <c r="E8" s="225">
        <f>SUMIFS('1.6'!$E8:$E26,'1.6'!$B8:$B26,'TỔNG NHẬP'!$B8)</f>
        <v>1060</v>
      </c>
      <c r="F8" s="225">
        <f>SUMIFS('2.6'!$E8:$E26,'2.6'!$B8:$B26,'TỔNG NHẬP'!$B8)</f>
        <v>120</v>
      </c>
      <c r="G8" s="225">
        <f>SUMIFS('3.6'!$E8:$E26,'3.6'!$B8:$B26,'TỔNG NHẬP'!$B8)</f>
        <v>500</v>
      </c>
      <c r="H8" s="225">
        <f>SUMIFS('4.6'!$E8:$E26,'4.6'!$B8:$B26,'TỔNG NHẬP'!$B8)</f>
        <v>0</v>
      </c>
      <c r="I8" s="225">
        <f>SUMIFS('5.6'!$E8:$E26,'5.6'!$B8:$B26,'TỔNG NHẬP'!$B8)</f>
        <v>0</v>
      </c>
      <c r="J8" s="225">
        <f>SUMIFS('6.6'!$E8:$E26,'6.6'!$B8:$B26,'TỔNG NHẬP'!$B8)</f>
        <v>110</v>
      </c>
      <c r="K8" s="225">
        <f>SUMIFS('7.6'!$E8:$E26,'7.6'!$B8:$B26,'TỔNG NHẬP'!$B8)</f>
        <v>410</v>
      </c>
      <c r="L8" s="225">
        <f>SUMIFS('8.6'!$E8:$E26,'8.6'!$B8:$B26,'TỔNG NHẬP'!$B8)</f>
        <v>380</v>
      </c>
      <c r="M8" s="225">
        <f>SUMIFS('9.6'!$E8:$E26,'9.6'!$B8:$B26,'TỔNG NHẬP'!$B8)</f>
        <v>310</v>
      </c>
      <c r="N8" s="225">
        <f>SUMIFS('10.6'!$E8:$E26,'10.6'!$B8:$B26,'TỔNG NHẬP'!$B8)</f>
        <v>410</v>
      </c>
      <c r="O8" s="225">
        <f>SUMIFS('11.6'!$E8:$E26,'11.6'!$B8:$B26,'TỔNG NHẬP'!$B8)</f>
        <v>220</v>
      </c>
      <c r="P8" s="225">
        <f>SUMIFS('12.6'!$E8:$E26,'12.6'!$B8:$B26,'TỔNG NHẬP'!$B8)</f>
        <v>310</v>
      </c>
      <c r="Q8" s="225">
        <f>SUMIFS('13.6'!$E8:$E26,'13.6'!$B8:$B26,'TỔNG NHẬP'!$B8)</f>
        <v>280</v>
      </c>
      <c r="R8" s="225">
        <f>SUMIFS('14.6'!$E8:$E26,'14.6'!$B8:$B26,'TỔNG NHẬP'!$B8)</f>
        <v>270</v>
      </c>
      <c r="S8" s="225">
        <f>SUMIFS('15.6'!$E8:$E26,'15.6'!$B8:$B26,'TỔNG NHẬP'!$B8)</f>
        <v>275</v>
      </c>
      <c r="T8" s="225">
        <f>SUMIFS('16.6'!$E8:$E26,'16.6'!$B8:$B26,'TỔNG NHẬP'!$B8)</f>
        <v>0</v>
      </c>
      <c r="U8" s="225">
        <f>SUMIFS('17.6'!$E8:$E26,'17.6'!$B8:$B26,'TỔNG NHẬP'!$B8)</f>
        <v>940</v>
      </c>
      <c r="V8" s="225">
        <f>SUMIFS('18.6'!$E8:$E26,'18.6'!$B8:$B26,'TỔNG NHẬP'!$B8)</f>
        <v>0</v>
      </c>
      <c r="W8" s="225">
        <f>SUMIFS('19.6'!$E8:$E26,'19.6'!$B8:$B26,'TỔNG NHẬP'!$B8)</f>
        <v>0</v>
      </c>
      <c r="X8" s="225">
        <f>SUMIFS('20.6'!$E8:$E26,'20.6'!$B8:$B26,'TỔNG NHẬP'!$B8)</f>
        <v>76</v>
      </c>
      <c r="Y8" s="225">
        <f>SUMIFS('21.6'!$E8:$E26,'21.6'!$B8:$B26,'TỔNG NHẬP'!$B8)</f>
        <v>420</v>
      </c>
      <c r="Z8" s="225">
        <f>SUMIFS('22.6'!$E8:$E26,'22.6'!$B8:$B26,'TỔNG NHẬP'!$B8)</f>
        <v>75</v>
      </c>
      <c r="AA8" s="225">
        <f>SUMIFS('23.6'!$E8:$E26,'23.6'!$B8:$B26,'TỔNG NHẬP'!$B8)</f>
        <v>380</v>
      </c>
      <c r="AB8" s="225">
        <f>SUMIFS('24.6'!$E8:$E26,'24.6'!$B8:$B26,'TỔNG NHẬP'!$B8)</f>
        <v>680</v>
      </c>
      <c r="AC8" s="225">
        <f>SUMIFS('25.6'!$E8:$E26,'25.6'!$B8:$B26,'TỔNG NHẬP'!$B8)</f>
        <v>0</v>
      </c>
      <c r="AD8" s="225">
        <f>SUMIFS('26.6'!$E8:$E26,'26.6'!$B8:$B26,'TỔNG NHẬP'!$B8)</f>
        <v>0</v>
      </c>
      <c r="AE8" s="225">
        <f>SUMIFS('27.6'!$E8:$E26,'27.6'!$B8:$B26,'TỔNG NHẬP'!$B8)</f>
        <v>0</v>
      </c>
      <c r="AF8" s="225">
        <f>SUMIFS('28.6'!$E8:$E26,'28.6'!$B8:$B26,'TỔNG NHẬP'!$B8)</f>
        <v>520</v>
      </c>
      <c r="AG8" s="225">
        <f>SUMIFS('29.6'!$E8:$E26,'29.6'!$B8:$B26,'TỔNG NHẬP'!$B8)</f>
        <v>450</v>
      </c>
      <c r="AH8" s="225">
        <f>SUMIFS('30.6'!$E8:$E26,'30.6'!$B8:$B26,'TỔNG NHẬP'!$B8)</f>
        <v>300</v>
      </c>
    </row>
    <row r="9" spans="1:34" ht="18.75">
      <c r="A9" s="6">
        <v>3</v>
      </c>
      <c r="B9" s="12" t="s">
        <v>15</v>
      </c>
      <c r="C9" s="8" t="s">
        <v>13</v>
      </c>
      <c r="D9" s="9">
        <f t="shared" ref="D9:D27" si="1">SUM(E9:AH9)</f>
        <v>4160</v>
      </c>
      <c r="E9" s="225">
        <f>SUMIFS('1.6'!$E9:$E27,'1.6'!$B9:$B27,'TỔNG NHẬP'!$B9)</f>
        <v>400</v>
      </c>
      <c r="F9" s="225">
        <f>SUMIFS('2.6'!$E9:$E27,'2.6'!$B9:$B27,'TỔNG NHẬP'!$B9)</f>
        <v>0</v>
      </c>
      <c r="G9" s="225">
        <f>SUMIFS('3.6'!$E9:$E27,'3.6'!$B9:$B27,'TỔNG NHẬP'!$B9)</f>
        <v>0</v>
      </c>
      <c r="H9" s="225">
        <f>SUMIFS('4.6'!$E9:$E27,'4.6'!$B9:$B27,'TỔNG NHẬP'!$B9)</f>
        <v>0</v>
      </c>
      <c r="I9" s="225">
        <f>SUMIFS('5.6'!$E9:$E27,'5.6'!$B9:$B27,'TỔNG NHẬP'!$B9)</f>
        <v>0</v>
      </c>
      <c r="J9" s="225">
        <f>SUMIFS('6.6'!$E9:$E27,'6.6'!$B9:$B27,'TỔNG NHẬP'!$B9)</f>
        <v>80</v>
      </c>
      <c r="K9" s="225">
        <f>SUMIFS('7.6'!$E9:$E27,'7.6'!$B9:$B27,'TỔNG NHẬP'!$B9)</f>
        <v>490</v>
      </c>
      <c r="L9" s="225">
        <f>SUMIFS('8.6'!$E9:$E27,'8.6'!$B9:$B27,'TỔNG NHẬP'!$B9)</f>
        <v>200</v>
      </c>
      <c r="M9" s="225">
        <f>SUMIFS('9.6'!$E9:$E27,'9.6'!$B9:$B27,'TỔNG NHẬP'!$B9)</f>
        <v>120</v>
      </c>
      <c r="N9" s="225">
        <f>SUMIFS('10.6'!$E9:$E27,'10.6'!$B9:$B27,'TỔNG NHẬP'!$B9)</f>
        <v>280</v>
      </c>
      <c r="O9" s="225">
        <f>SUMIFS('11.6'!$E9:$E27,'11.6'!$B9:$B27,'TỔNG NHẬP'!$B9)</f>
        <v>0</v>
      </c>
      <c r="P9" s="225">
        <f>SUMIFS('12.6'!$E9:$E27,'12.6'!$B9:$B27,'TỔNG NHẬP'!$B9)</f>
        <v>150</v>
      </c>
      <c r="Q9" s="225">
        <f>SUMIFS('13.6'!$E9:$E27,'13.6'!$B9:$B27,'TỔNG NHẬP'!$B9)</f>
        <v>200</v>
      </c>
      <c r="R9" s="225">
        <f>SUMIFS('14.6'!$E9:$E27,'14.6'!$B9:$B27,'TỔNG NHẬP'!$B9)</f>
        <v>0</v>
      </c>
      <c r="S9" s="225">
        <f>SUMIFS('15.6'!$E9:$E27,'15.6'!$B9:$B27,'TỔNG NHẬP'!$B9)</f>
        <v>290</v>
      </c>
      <c r="T9" s="225">
        <f>SUMIFS('16.6'!$E9:$E27,'16.6'!$B9:$B27,'TỔNG NHẬP'!$B9)</f>
        <v>0</v>
      </c>
      <c r="U9" s="225">
        <f>SUMIFS('17.6'!$E9:$E27,'17.6'!$B9:$B27,'TỔNG NHẬP'!$B9)</f>
        <v>0</v>
      </c>
      <c r="V9" s="225">
        <f>SUMIFS('18.6'!$E9:$E27,'18.6'!$B9:$B27,'TỔNG NHẬP'!$B9)</f>
        <v>0</v>
      </c>
      <c r="W9" s="225">
        <f>SUMIFS('19.6'!$E9:$E27,'19.6'!$B9:$B27,'TỔNG NHẬP'!$B9)</f>
        <v>0</v>
      </c>
      <c r="X9" s="225">
        <f>SUMIFS('20.6'!$E9:$E27,'20.6'!$B9:$B27,'TỔNG NHẬP'!$B9)</f>
        <v>0</v>
      </c>
      <c r="Y9" s="225">
        <f>SUMIFS('21.6'!$E9:$E27,'21.6'!$B9:$B27,'TỔNG NHẬP'!$B9)</f>
        <v>470</v>
      </c>
      <c r="Z9" s="225">
        <f>SUMIFS('22.6'!$E9:$E27,'22.6'!$B9:$B27,'TỔNG NHẬP'!$B9)</f>
        <v>0</v>
      </c>
      <c r="AA9" s="225">
        <f>SUMIFS('23.6'!$E9:$E27,'23.6'!$B9:$B27,'TỔNG NHẬP'!$B9)</f>
        <v>200</v>
      </c>
      <c r="AB9" s="225">
        <f>SUMIFS('24.6'!$E9:$E27,'24.6'!$B9:$B27,'TỔNG NHẬP'!$B9)</f>
        <v>0</v>
      </c>
      <c r="AC9" s="225">
        <f>SUMIFS('25.6'!$E9:$E27,'25.6'!$B9:$B27,'TỔNG NHẬP'!$B9)</f>
        <v>0</v>
      </c>
      <c r="AD9" s="225">
        <f>SUMIFS('26.6'!$E9:$E27,'26.6'!$B9:$B27,'TỔNG NHẬP'!$B9)</f>
        <v>0</v>
      </c>
      <c r="AE9" s="225">
        <f>SUMIFS('27.6'!$E9:$E27,'27.6'!$B9:$B27,'TỔNG NHẬP'!$B9)</f>
        <v>850</v>
      </c>
      <c r="AF9" s="225">
        <f>SUMIFS('28.6'!$E9:$E27,'28.6'!$B9:$B27,'TỔNG NHẬP'!$B9)</f>
        <v>0</v>
      </c>
      <c r="AG9" s="225">
        <f>SUMIFS('29.6'!$E9:$E27,'29.6'!$B9:$B27,'TỔNG NHẬP'!$B9)</f>
        <v>160</v>
      </c>
      <c r="AH9" s="225">
        <f>SUMIFS('30.6'!$E9:$E27,'30.6'!$B9:$B27,'TỔNG NHẬP'!$B9)</f>
        <v>270</v>
      </c>
    </row>
    <row r="10" spans="1:34" ht="18.75">
      <c r="A10" s="6">
        <v>5</v>
      </c>
      <c r="B10" s="15" t="s">
        <v>18</v>
      </c>
      <c r="C10" s="6" t="s">
        <v>17</v>
      </c>
      <c r="D10" s="9">
        <f t="shared" si="1"/>
        <v>4050</v>
      </c>
      <c r="E10" s="225">
        <f>SUMIFS('1.6'!$E10:$E28,'1.6'!$B10:$B28,'TỔNG NHẬP'!$B10)</f>
        <v>0</v>
      </c>
      <c r="F10" s="225">
        <f>SUMIFS('2.6'!$E10:$E28,'2.6'!$B10:$B28,'TỔNG NHẬP'!$B10)</f>
        <v>310</v>
      </c>
      <c r="G10" s="225">
        <f>SUMIFS('3.6'!$E10:$E28,'3.6'!$B10:$B28,'TỔNG NHẬP'!$B10)</f>
        <v>0</v>
      </c>
      <c r="H10" s="225">
        <f>SUMIFS('4.6'!$E10:$E28,'4.6'!$B10:$B28,'TỔNG NHẬP'!$B10)</f>
        <v>0</v>
      </c>
      <c r="I10" s="225">
        <f>SUMIFS('5.6'!$E10:$E28,'5.6'!$B10:$B28,'TỔNG NHẬP'!$B10)</f>
        <v>0</v>
      </c>
      <c r="J10" s="225">
        <f>SUMIFS('6.6'!$E10:$E28,'6.6'!$B10:$B28,'TỔNG NHẬP'!$B10)</f>
        <v>20</v>
      </c>
      <c r="K10" s="225">
        <f>SUMIFS('7.6'!$E10:$E28,'7.6'!$B10:$B28,'TỔNG NHẬP'!$B10)</f>
        <v>300</v>
      </c>
      <c r="L10" s="225">
        <f>SUMIFS('8.6'!$E10:$E28,'8.6'!$B10:$B28,'TỔNG NHẬP'!$B10)</f>
        <v>320</v>
      </c>
      <c r="M10" s="225">
        <f>SUMIFS('9.6'!$E10:$E28,'9.6'!$B10:$B28,'TỔNG NHẬP'!$B10)</f>
        <v>370</v>
      </c>
      <c r="N10" s="225">
        <f>SUMIFS('10.6'!$E10:$E28,'10.6'!$B10:$B28,'TỔNG NHẬP'!$B10)</f>
        <v>0</v>
      </c>
      <c r="O10" s="225">
        <f>SUMIFS('11.6'!$E10:$E28,'11.6'!$B10:$B28,'TỔNG NHẬP'!$B10)</f>
        <v>360</v>
      </c>
      <c r="P10" s="225">
        <f>SUMIFS('12.6'!$E10:$E28,'12.6'!$B10:$B28,'TỔNG NHẬP'!$B10)</f>
        <v>300</v>
      </c>
      <c r="Q10" s="225">
        <f>SUMIFS('13.6'!$E10:$E28,'13.6'!$B10:$B28,'TỔNG NHẬP'!$B10)</f>
        <v>0</v>
      </c>
      <c r="R10" s="225">
        <f>SUMIFS('14.6'!$E10:$E28,'14.6'!$B10:$B28,'TỔNG NHẬP'!$B10)</f>
        <v>300</v>
      </c>
      <c r="S10" s="225">
        <f>SUMIFS('15.6'!$E10:$E28,'15.6'!$B10:$B28,'TỔNG NHẬP'!$B10)</f>
        <v>0</v>
      </c>
      <c r="T10" s="225">
        <f>SUMIFS('16.6'!$E10:$E28,'16.6'!$B10:$B28,'TỔNG NHẬP'!$B10)</f>
        <v>0</v>
      </c>
      <c r="U10" s="225">
        <f>SUMIFS('17.6'!$E10:$E28,'17.6'!$B10:$B28,'TỔNG NHẬP'!$B10)</f>
        <v>0</v>
      </c>
      <c r="V10" s="225">
        <f>SUMIFS('18.6'!$E10:$E28,'18.6'!$B10:$B28,'TỔNG NHẬP'!$B10)</f>
        <v>350</v>
      </c>
      <c r="W10" s="225">
        <f>SUMIFS('19.6'!$E10:$E28,'19.6'!$B10:$B28,'TỔNG NHẬP'!$B10)</f>
        <v>330</v>
      </c>
      <c r="X10" s="225">
        <f>SUMIFS('20.6'!$E10:$E28,'20.6'!$B10:$B28,'TỔNG NHẬP'!$B10)</f>
        <v>0</v>
      </c>
      <c r="Y10" s="225">
        <f>SUMIFS('21.6'!$E10:$E28,'21.6'!$B10:$B28,'TỔNG NHẬP'!$B10)</f>
        <v>300</v>
      </c>
      <c r="Z10" s="225">
        <f>SUMIFS('22.6'!$E10:$E28,'22.6'!$B10:$B28,'TỔNG NHẬP'!$B10)</f>
        <v>0</v>
      </c>
      <c r="AA10" s="225">
        <f>SUMIFS('23.6'!$E10:$E28,'23.6'!$B10:$B28,'TỔNG NHẬP'!$B10)</f>
        <v>0</v>
      </c>
      <c r="AB10" s="225">
        <f>SUMIFS('24.6'!$E10:$E28,'24.6'!$B10:$B28,'TỔNG NHẬP'!$B10)</f>
        <v>390</v>
      </c>
      <c r="AC10" s="225">
        <f>SUMIFS('25.6'!$E10:$E28,'25.6'!$B10:$B28,'TỔNG NHẬP'!$B10)</f>
        <v>0</v>
      </c>
      <c r="AD10" s="225">
        <f>SUMIFS('26.6'!$E10:$E28,'26.6'!$B10:$B28,'TỔNG NHẬP'!$B10)</f>
        <v>0</v>
      </c>
      <c r="AE10" s="225">
        <f>SUMIFS('27.6'!$E10:$E28,'27.6'!$B10:$B28,'TỔNG NHẬP'!$B10)</f>
        <v>0</v>
      </c>
      <c r="AF10" s="225">
        <f>SUMIFS('28.6'!$E10:$E28,'28.6'!$B10:$B28,'TỔNG NHẬP'!$B10)</f>
        <v>0</v>
      </c>
      <c r="AG10" s="225">
        <f>SUMIFS('29.6'!$E10:$E28,'29.6'!$B10:$B28,'TỔNG NHẬP'!$B10)</f>
        <v>0</v>
      </c>
      <c r="AH10" s="225">
        <f>SUMIFS('30.6'!$E10:$E28,'30.6'!$B10:$B28,'TỔNG NHẬP'!$B10)</f>
        <v>400</v>
      </c>
    </row>
    <row r="11" spans="1:34" ht="18.75">
      <c r="A11" s="6">
        <v>6</v>
      </c>
      <c r="B11" s="16" t="s">
        <v>19</v>
      </c>
      <c r="C11" s="17" t="s">
        <v>17</v>
      </c>
      <c r="D11" s="9">
        <f t="shared" si="1"/>
        <v>3930</v>
      </c>
      <c r="E11" s="225">
        <f>SUMIFS('1.6'!$E11:$E29,'1.6'!$B11:$B29,'TỔNG NHẬP'!$B11)</f>
        <v>0</v>
      </c>
      <c r="F11" s="225">
        <f>SUMIFS('2.6'!$E11:$E29,'2.6'!$B11:$B29,'TỔNG NHẬP'!$B11)</f>
        <v>320</v>
      </c>
      <c r="G11" s="225">
        <f>SUMIFS('3.6'!$E11:$E29,'3.6'!$B11:$B29,'TỔNG NHẬP'!$B11)</f>
        <v>0</v>
      </c>
      <c r="H11" s="225">
        <f>SUMIFS('4.6'!$E11:$E29,'4.6'!$B11:$B29,'TỔNG NHẬP'!$B11)</f>
        <v>0</v>
      </c>
      <c r="I11" s="225">
        <f>SUMIFS('5.6'!$E11:$E29,'5.6'!$B11:$B29,'TỔNG NHẬP'!$B11)</f>
        <v>0</v>
      </c>
      <c r="J11" s="225">
        <f>SUMIFS('6.6'!$E11:$E29,'6.6'!$B11:$B29,'TỔNG NHẬP'!$B11)</f>
        <v>230</v>
      </c>
      <c r="K11" s="225">
        <f>SUMIFS('7.6'!$E11:$E29,'7.6'!$B11:$B29,'TỔNG NHẬP'!$B11)</f>
        <v>330</v>
      </c>
      <c r="L11" s="225">
        <f>SUMIFS('8.6'!$E11:$E29,'8.6'!$B11:$B29,'TỔNG NHẬP'!$B11)</f>
        <v>310</v>
      </c>
      <c r="M11" s="225">
        <f>SUMIFS('9.6'!$E11:$E29,'9.6'!$B11:$B29,'TỔNG NHẬP'!$B11)</f>
        <v>370</v>
      </c>
      <c r="N11" s="225">
        <f>SUMIFS('10.6'!$E11:$E29,'10.6'!$B11:$B29,'TỔNG NHẬP'!$B11)</f>
        <v>0</v>
      </c>
      <c r="O11" s="225">
        <f>SUMIFS('11.6'!$E11:$E29,'11.6'!$B11:$B29,'TỔNG NHẬP'!$B11)</f>
        <v>290</v>
      </c>
      <c r="P11" s="225">
        <f>SUMIFS('12.6'!$E11:$E29,'12.6'!$B11:$B29,'TỔNG NHẬP'!$B11)</f>
        <v>370</v>
      </c>
      <c r="Q11" s="225">
        <f>SUMIFS('13.6'!$E11:$E29,'13.6'!$B11:$B29,'TỔNG NHẬP'!$B11)</f>
        <v>0</v>
      </c>
      <c r="R11" s="225">
        <f>SUMIFS('14.6'!$E11:$E29,'14.6'!$B11:$B29,'TỔNG NHẬP'!$B11)</f>
        <v>310</v>
      </c>
      <c r="S11" s="225">
        <f>SUMIFS('15.6'!$E11:$E29,'15.6'!$B11:$B29,'TỔNG NHẬP'!$B11)</f>
        <v>0</v>
      </c>
      <c r="T11" s="225">
        <f>SUMIFS('16.6'!$E11:$E29,'16.6'!$B11:$B29,'TỔNG NHẬP'!$B11)</f>
        <v>0</v>
      </c>
      <c r="U11" s="225">
        <f>SUMIFS('17.6'!$E11:$E29,'17.6'!$B11:$B29,'TỔNG NHẬP'!$B11)</f>
        <v>0</v>
      </c>
      <c r="V11" s="225">
        <f>SUMIFS('18.6'!$E11:$E29,'18.6'!$B11:$B29,'TỔNG NHẬP'!$B11)</f>
        <v>300</v>
      </c>
      <c r="W11" s="225">
        <f>SUMIFS('19.6'!$E11:$E29,'19.6'!$B11:$B29,'TỔNG NHẬP'!$B11)</f>
        <v>280</v>
      </c>
      <c r="X11" s="225">
        <f>SUMIFS('20.6'!$E11:$E29,'20.6'!$B11:$B29,'TỔNG NHẬP'!$B11)</f>
        <v>0</v>
      </c>
      <c r="Y11" s="225">
        <f>SUMIFS('21.6'!$E11:$E29,'21.6'!$B11:$B29,'TỔNG NHẬP'!$B11)</f>
        <v>310</v>
      </c>
      <c r="Z11" s="225">
        <f>SUMIFS('22.6'!$E11:$E29,'22.6'!$B11:$B29,'TỔNG NHẬP'!$B11)</f>
        <v>0</v>
      </c>
      <c r="AA11" s="225">
        <f>SUMIFS('23.6'!$E11:$E29,'23.6'!$B11:$B29,'TỔNG NHẬP'!$B11)</f>
        <v>0</v>
      </c>
      <c r="AB11" s="225">
        <f>SUMIFS('24.6'!$E11:$E29,'24.6'!$B11:$B29,'TỔNG NHẬP'!$B11)</f>
        <v>290</v>
      </c>
      <c r="AC11" s="225">
        <f>SUMIFS('25.6'!$E11:$E29,'25.6'!$B11:$B29,'TỔNG NHẬP'!$B11)</f>
        <v>0</v>
      </c>
      <c r="AD11" s="225">
        <f>SUMIFS('26.6'!$E11:$E29,'26.6'!$B11:$B29,'TỔNG NHẬP'!$B11)</f>
        <v>0</v>
      </c>
      <c r="AE11" s="225">
        <f>SUMIFS('27.6'!$E11:$E29,'27.6'!$B11:$B29,'TỔNG NHẬP'!$B11)</f>
        <v>0</v>
      </c>
      <c r="AF11" s="225">
        <f>SUMIFS('28.6'!$E11:$E29,'28.6'!$B11:$B29,'TỔNG NHẬP'!$B11)</f>
        <v>0</v>
      </c>
      <c r="AG11" s="225">
        <f>SUMIFS('29.6'!$E11:$E29,'29.6'!$B11:$B29,'TỔNG NHẬP'!$B11)</f>
        <v>0</v>
      </c>
      <c r="AH11" s="225">
        <f>SUMIFS('30.6'!$E11:$E29,'30.6'!$B11:$B29,'TỔNG NHẬP'!$B11)</f>
        <v>220</v>
      </c>
    </row>
    <row r="12" spans="1:34" ht="18.75">
      <c r="A12" s="6">
        <v>9</v>
      </c>
      <c r="B12" s="15" t="s">
        <v>23</v>
      </c>
      <c r="C12" s="8" t="s">
        <v>24</v>
      </c>
      <c r="D12" s="9">
        <f t="shared" si="1"/>
        <v>82</v>
      </c>
      <c r="E12" s="225">
        <f>SUMIFS('1.6'!$E12:$E30,'1.6'!$B12:$B30,'TỔNG NHẬP'!$B12)</f>
        <v>4</v>
      </c>
      <c r="F12" s="225">
        <f>SUMIFS('2.6'!$E12:$E30,'2.6'!$B12:$B30,'TỔNG NHẬP'!$B12)</f>
        <v>4</v>
      </c>
      <c r="G12" s="225">
        <f>SUMIFS('3.6'!$E12:$E30,'3.6'!$B12:$B30,'TỔNG NHẬP'!$B12)</f>
        <v>0</v>
      </c>
      <c r="H12" s="225">
        <f>SUMIFS('4.6'!$E12:$E30,'4.6'!$B12:$B30,'TỔNG NHẬP'!$B12)</f>
        <v>0</v>
      </c>
      <c r="I12" s="225">
        <f>SUMIFS('5.6'!$E12:$E30,'5.6'!$B12:$B30,'TỔNG NHẬP'!$B12)</f>
        <v>0</v>
      </c>
      <c r="J12" s="225">
        <f>SUMIFS('6.6'!$E12:$E30,'6.6'!$B12:$B30,'TỔNG NHẬP'!$B12)</f>
        <v>1</v>
      </c>
      <c r="K12" s="225">
        <f>SUMIFS('7.6'!$E12:$E30,'7.6'!$B12:$B30,'TỔNG NHẬP'!$B12)</f>
        <v>10</v>
      </c>
      <c r="L12" s="225">
        <f>SUMIFS('8.6'!$E12:$E30,'8.6'!$B12:$B30,'TỔNG NHẬP'!$B12)</f>
        <v>0</v>
      </c>
      <c r="M12" s="225">
        <f>SUMIFS('9.6'!$E12:$E30,'9.6'!$B12:$B30,'TỔNG NHẬP'!$B12)</f>
        <v>10</v>
      </c>
      <c r="N12" s="225">
        <f>SUMIFS('10.6'!$E12:$E30,'10.6'!$B12:$B30,'TỔNG NHẬP'!$B12)</f>
        <v>0</v>
      </c>
      <c r="O12" s="225">
        <f>SUMIFS('11.6'!$E12:$E30,'11.6'!$B12:$B30,'TỔNG NHẬP'!$B12)</f>
        <v>0</v>
      </c>
      <c r="P12" s="225">
        <f>SUMIFS('12.6'!$E12:$E30,'12.6'!$B12:$B30,'TỔNG NHẬP'!$B12)</f>
        <v>0</v>
      </c>
      <c r="Q12" s="225">
        <f>SUMIFS('13.6'!$E12:$E30,'13.6'!$B12:$B30,'TỔNG NHẬP'!$B12)</f>
        <v>10</v>
      </c>
      <c r="R12" s="225">
        <f>SUMIFS('14.6'!$E12:$E30,'14.6'!$B12:$B30,'TỔNG NHẬP'!$B12)</f>
        <v>0</v>
      </c>
      <c r="S12" s="225">
        <f>SUMIFS('15.6'!$E12:$E30,'15.6'!$B12:$B30,'TỔNG NHẬP'!$B12)</f>
        <v>16</v>
      </c>
      <c r="T12" s="225">
        <f>SUMIFS('16.6'!$E12:$E30,'16.6'!$B12:$B30,'TỔNG NHẬP'!$B12)</f>
        <v>0</v>
      </c>
      <c r="U12" s="225">
        <f>SUMIFS('17.6'!$E12:$E30,'17.6'!$B12:$B30,'TỔNG NHẬP'!$B12)</f>
        <v>0</v>
      </c>
      <c r="V12" s="225">
        <f>SUMIFS('18.6'!$E12:$E30,'18.6'!$B12:$B30,'TỔNG NHẬP'!$B12)</f>
        <v>0</v>
      </c>
      <c r="W12" s="225">
        <f>SUMIFS('19.6'!$E12:$E30,'19.6'!$B12:$B30,'TỔNG NHẬP'!$B12)</f>
        <v>0</v>
      </c>
      <c r="X12" s="225">
        <f>SUMIFS('20.6'!$E12:$E30,'20.6'!$B12:$B30,'TỔNG NHẬP'!$B12)</f>
        <v>0</v>
      </c>
      <c r="Y12" s="225">
        <f>SUMIFS('21.6'!$E12:$E30,'21.6'!$B12:$B30,'TỔNG NHẬP'!$B12)</f>
        <v>0</v>
      </c>
      <c r="Z12" s="225">
        <f>SUMIFS('22.6'!$E12:$E30,'22.6'!$B12:$B30,'TỔNG NHẬP'!$B12)</f>
        <v>0</v>
      </c>
      <c r="AA12" s="225">
        <f>SUMIFS('23.6'!$E12:$E30,'23.6'!$B12:$B30,'TỔNG NHẬP'!$B12)</f>
        <v>0</v>
      </c>
      <c r="AB12" s="225">
        <f>SUMIFS('24.6'!$E12:$E30,'24.6'!$B12:$B30,'TỔNG NHẬP'!$B12)</f>
        <v>11</v>
      </c>
      <c r="AC12" s="225">
        <f>SUMIFS('25.6'!$E12:$E30,'25.6'!$B12:$B30,'TỔNG NHẬP'!$B12)</f>
        <v>0</v>
      </c>
      <c r="AD12" s="225">
        <f>SUMIFS('26.6'!$E12:$E30,'26.6'!$B12:$B30,'TỔNG NHẬP'!$B12)</f>
        <v>0</v>
      </c>
      <c r="AE12" s="225">
        <f>SUMIFS('27.6'!$E12:$E30,'27.6'!$B12:$B30,'TỔNG NHẬP'!$B12)</f>
        <v>0</v>
      </c>
      <c r="AF12" s="225">
        <f>SUMIFS('28.6'!$E12:$E30,'28.6'!$B12:$B30,'TỔNG NHẬP'!$B12)</f>
        <v>9</v>
      </c>
      <c r="AG12" s="225">
        <f>SUMIFS('29.6'!$E12:$E30,'29.6'!$B12:$B30,'TỔNG NHẬP'!$B12)</f>
        <v>7</v>
      </c>
      <c r="AH12" s="225">
        <f>SUMIFS('30.6'!$E12:$E30,'30.6'!$B12:$B30,'TỔNG NHẬP'!$B12)</f>
        <v>0</v>
      </c>
    </row>
    <row r="13" spans="1:34" ht="18.75">
      <c r="A13" s="6">
        <v>10</v>
      </c>
      <c r="B13" s="223" t="s">
        <v>16</v>
      </c>
      <c r="C13" s="6" t="s">
        <v>13</v>
      </c>
      <c r="D13" s="9">
        <f t="shared" si="1"/>
        <v>109750</v>
      </c>
      <c r="E13" s="225">
        <f>SUMIFS('1.6'!$E13:$E31,'1.6'!$B13:$B31,'TỔNG NHẬP'!$B13)</f>
        <v>350</v>
      </c>
      <c r="F13" s="225">
        <f>SUMIFS('2.6'!$E13:$E31,'2.6'!$B13:$B31,'TỔNG NHẬP'!$B13)</f>
        <v>5750</v>
      </c>
      <c r="G13" s="225">
        <f>SUMIFS('3.6'!$E13:$E31,'3.6'!$B13:$B31,'TỔNG NHẬP'!$B13)</f>
        <v>350</v>
      </c>
      <c r="H13" s="225">
        <f>SUMIFS('4.6'!$E13:$E31,'4.6'!$B13:$B31,'TỔNG NHẬP'!$B13)</f>
        <v>0</v>
      </c>
      <c r="I13" s="225">
        <f>SUMIFS('5.6'!$E13:$E31,'5.6'!$B13:$B31,'TỔNG NHẬP'!$B13)</f>
        <v>0</v>
      </c>
      <c r="J13" s="225">
        <f>SUMIFS('6.6'!$E13:$E31,'6.6'!$B13:$B31,'TỔNG NHẬP'!$B13)</f>
        <v>7300</v>
      </c>
      <c r="K13" s="225">
        <f>SUMIFS('7.6'!$E13:$E31,'7.6'!$B13:$B31,'TỔNG NHẬP'!$B13)</f>
        <v>2550</v>
      </c>
      <c r="L13" s="225">
        <f>SUMIFS('8.6'!$E13:$E31,'8.6'!$B13:$B31,'TỔNG NHẬP'!$B13)</f>
        <v>5000</v>
      </c>
      <c r="M13" s="225">
        <f>SUMIFS('9.6'!$E13:$E31,'9.6'!$B13:$B31,'TỔNG NHẬP'!$B13)</f>
        <v>4750</v>
      </c>
      <c r="N13" s="225">
        <f>SUMIFS('10.6'!$E13:$E31,'10.6'!$B13:$B31,'TỔNG NHẬP'!$B13)</f>
        <v>4750</v>
      </c>
      <c r="O13" s="225">
        <f>SUMIFS('11.6'!$E13:$E31,'11.6'!$B13:$B31,'TỔNG NHẬP'!$B13)</f>
        <v>4800</v>
      </c>
      <c r="P13" s="225">
        <f>SUMIFS('12.6'!$E13:$E31,'12.6'!$B13:$B31,'TỔNG NHẬP'!$B13)</f>
        <v>4400</v>
      </c>
      <c r="Q13" s="225">
        <f>SUMIFS('13.6'!$E13:$E31,'13.6'!$B13:$B31,'TỔNG NHẬP'!$B13)</f>
        <v>7000</v>
      </c>
      <c r="R13" s="225">
        <f>SUMIFS('14.6'!$E13:$E31,'14.6'!$B13:$B31,'TỔNG NHẬP'!$B13)</f>
        <v>5400</v>
      </c>
      <c r="S13" s="225">
        <f>SUMIFS('15.6'!$E13:$E31,'15.6'!$B13:$B31,'TỔNG NHẬP'!$B13)</f>
        <v>4800</v>
      </c>
      <c r="T13" s="225">
        <f>SUMIFS('16.6'!$E13:$E31,'16.6'!$B13:$B31,'TỔNG NHẬP'!$B13)</f>
        <v>0</v>
      </c>
      <c r="U13" s="225">
        <f>SUMIFS('17.6'!$E13:$E31,'17.6'!$B13:$B31,'TỔNG NHẬP'!$B13)</f>
        <v>4750</v>
      </c>
      <c r="V13" s="225">
        <f>SUMIFS('18.6'!$E13:$E31,'18.6'!$B13:$B31,'TỔNG NHẬP'!$B13)</f>
        <v>5500</v>
      </c>
      <c r="W13" s="225">
        <f>SUMIFS('19.6'!$E13:$E31,'19.6'!$B13:$B31,'TỔNG NHẬP'!$B13)</f>
        <v>5300</v>
      </c>
      <c r="X13" s="225">
        <f>SUMIFS('20.6'!$E13:$E31,'20.6'!$B13:$B31,'TỔNG NHẬP'!$B13)</f>
        <v>11100</v>
      </c>
      <c r="Y13" s="225">
        <f>SUMIFS('21.6'!$E13:$E31,'21.6'!$B13:$B31,'TỔNG NHẬP'!$B13)</f>
        <v>5000</v>
      </c>
      <c r="Z13" s="225">
        <f>SUMIFS('22.6'!$E13:$E31,'22.6'!$B13:$B31,'TỔNG NHẬP'!$B13)</f>
        <v>8000</v>
      </c>
      <c r="AA13" s="225">
        <f>SUMIFS('23.6'!$E13:$E31,'23.6'!$B13:$B31,'TỔNG NHẬP'!$B13)</f>
        <v>8100</v>
      </c>
      <c r="AB13" s="225">
        <f>SUMIFS('24.6'!$E13:$E31,'24.6'!$B13:$B31,'TỔNG NHẬP'!$B13)</f>
        <v>1200</v>
      </c>
      <c r="AC13" s="225">
        <f>SUMIFS('25.6'!$E13:$E31,'25.6'!$B13:$B31,'TỔNG NHẬP'!$B13)</f>
        <v>0</v>
      </c>
      <c r="AD13" s="225">
        <f>SUMIFS('26.6'!$E13:$E31,'26.6'!$B13:$B31,'TỔNG NHẬP'!$B13)</f>
        <v>0</v>
      </c>
      <c r="AE13" s="225">
        <f>SUMIFS('27.6'!$E13:$E31,'27.6'!$B13:$B31,'TỔNG NHẬP'!$B13)</f>
        <v>0</v>
      </c>
      <c r="AF13" s="225">
        <f>SUMIFS('28.6'!$E13:$E31,'28.6'!$B13:$B31,'TỔNG NHẬP'!$B13)</f>
        <v>0</v>
      </c>
      <c r="AG13" s="225">
        <f>SUMIFS('29.6'!$E13:$E31,'29.6'!$B13:$B31,'TỔNG NHẬP'!$B13)</f>
        <v>0</v>
      </c>
      <c r="AH13" s="225">
        <f>SUMIFS('30.6'!$E13:$E31,'30.6'!$B13:$B31,'TỔNG NHẬP'!$B13)</f>
        <v>3600</v>
      </c>
    </row>
    <row r="14" spans="1:34" ht="18.75">
      <c r="A14" s="6">
        <v>11</v>
      </c>
      <c r="B14" s="12" t="s">
        <v>26</v>
      </c>
      <c r="C14" s="6" t="s">
        <v>27</v>
      </c>
      <c r="D14" s="9">
        <f t="shared" si="1"/>
        <v>9</v>
      </c>
      <c r="E14" s="225">
        <f>SUMIFS('1.6'!$E14:$E32,'1.6'!$B14:$B32,'TỔNG NHẬP'!$B14)</f>
        <v>0</v>
      </c>
      <c r="F14" s="225">
        <f>SUMIFS('2.6'!$E14:$E32,'2.6'!$B14:$B32,'TỔNG NHẬP'!$B14)</f>
        <v>0</v>
      </c>
      <c r="G14" s="225">
        <f>SUMIFS('3.6'!$E14:$E32,'3.6'!$B14:$B32,'TỔNG NHẬP'!$B14)</f>
        <v>0</v>
      </c>
      <c r="H14" s="225">
        <f>SUMIFS('4.6'!$E14:$E32,'4.6'!$B14:$B32,'TỔNG NHẬP'!$B14)</f>
        <v>0</v>
      </c>
      <c r="I14" s="225">
        <f>SUMIFS('5.6'!$E14:$E32,'5.6'!$B14:$B32,'TỔNG NHẬP'!$B14)</f>
        <v>0</v>
      </c>
      <c r="J14" s="225">
        <f>SUMIFS('6.6'!$E14:$E32,'6.6'!$B14:$B32,'TỔNG NHẬP'!$B14)</f>
        <v>0</v>
      </c>
      <c r="K14" s="225">
        <f>SUMIFS('7.6'!$E14:$E32,'7.6'!$B14:$B32,'TỔNG NHẬP'!$B14)</f>
        <v>0</v>
      </c>
      <c r="L14" s="225">
        <f>SUMIFS('8.6'!$E14:$E32,'8.6'!$B14:$B32,'TỔNG NHẬP'!$B14)</f>
        <v>0</v>
      </c>
      <c r="M14" s="225">
        <f>SUMIFS('9.6'!$E14:$E32,'9.6'!$B14:$B32,'TỔNG NHẬP'!$B14)</f>
        <v>0</v>
      </c>
      <c r="N14" s="225">
        <f>SUMIFS('10.6'!$E14:$E32,'10.6'!$B14:$B32,'TỔNG NHẬP'!$B14)</f>
        <v>4</v>
      </c>
      <c r="O14" s="225">
        <f>SUMIFS('11.6'!$E14:$E32,'11.6'!$B14:$B32,'TỔNG NHẬP'!$B14)</f>
        <v>0</v>
      </c>
      <c r="P14" s="225">
        <f>SUMIFS('12.6'!$E14:$E32,'12.6'!$B14:$B32,'TỔNG NHẬP'!$B14)</f>
        <v>0</v>
      </c>
      <c r="Q14" s="225">
        <f>SUMIFS('13.6'!$E14:$E32,'13.6'!$B14:$B32,'TỔNG NHẬP'!$B14)</f>
        <v>5</v>
      </c>
      <c r="R14" s="225">
        <f>SUMIFS('14.6'!$E14:$E32,'14.6'!$B14:$B32,'TỔNG NHẬP'!$B14)</f>
        <v>0</v>
      </c>
      <c r="S14" s="225">
        <f>SUMIFS('15.6'!$E14:$E32,'15.6'!$B14:$B32,'TỔNG NHẬP'!$B14)</f>
        <v>0</v>
      </c>
      <c r="T14" s="225">
        <f>SUMIFS('16.6'!$E14:$E32,'16.6'!$B14:$B32,'TỔNG NHẬP'!$B14)</f>
        <v>0</v>
      </c>
      <c r="U14" s="225">
        <f>SUMIFS('17.6'!$E14:$E32,'17.6'!$B14:$B32,'TỔNG NHẬP'!$B14)</f>
        <v>0</v>
      </c>
      <c r="V14" s="225">
        <f>SUMIFS('18.6'!$E14:$E32,'18.6'!$B14:$B32,'TỔNG NHẬP'!$B14)</f>
        <v>0</v>
      </c>
      <c r="W14" s="225">
        <f>SUMIFS('19.6'!$E14:$E32,'19.6'!$B14:$B32,'TỔNG NHẬP'!$B14)</f>
        <v>0</v>
      </c>
      <c r="X14" s="225">
        <f>SUMIFS('20.6'!$E14:$E32,'20.6'!$B14:$B32,'TỔNG NHẬP'!$B14)</f>
        <v>0</v>
      </c>
      <c r="Y14" s="225">
        <f>SUMIFS('21.6'!$E14:$E32,'21.6'!$B14:$B32,'TỔNG NHẬP'!$B14)</f>
        <v>0</v>
      </c>
      <c r="Z14" s="225">
        <f>SUMIFS('22.6'!$E14:$E32,'22.6'!$B14:$B32,'TỔNG NHẬP'!$B14)</f>
        <v>0</v>
      </c>
      <c r="AA14" s="225">
        <f>SUMIFS('23.6'!$E14:$E32,'23.6'!$B14:$B32,'TỔNG NHẬP'!$B14)</f>
        <v>0</v>
      </c>
      <c r="AB14" s="225">
        <f>SUMIFS('24.6'!$E14:$E32,'24.6'!$B14:$B32,'TỔNG NHẬP'!$B14)</f>
        <v>0</v>
      </c>
      <c r="AC14" s="225">
        <f>SUMIFS('25.6'!$E14:$E32,'25.6'!$B14:$B32,'TỔNG NHẬP'!$B14)</f>
        <v>0</v>
      </c>
      <c r="AD14" s="225">
        <f>SUMIFS('26.6'!$E14:$E32,'26.6'!$B14:$B32,'TỔNG NHẬP'!$B14)</f>
        <v>0</v>
      </c>
      <c r="AE14" s="225">
        <f>SUMIFS('27.6'!$E14:$E32,'27.6'!$B14:$B32,'TỔNG NHẬP'!$B14)</f>
        <v>0</v>
      </c>
      <c r="AF14" s="225">
        <f>SUMIFS('28.6'!$E14:$E32,'28.6'!$B14:$B32,'TỔNG NHẬP'!$B14)</f>
        <v>0</v>
      </c>
      <c r="AG14" s="225">
        <f>SUMIFS('29.6'!$E14:$E32,'29.6'!$B14:$B32,'TỔNG NHẬP'!$B14)</f>
        <v>0</v>
      </c>
      <c r="AH14" s="225">
        <f>SUMIFS('30.6'!$E14:$E32,'30.6'!$B14:$B32,'TỔNG NHẬP'!$B14)</f>
        <v>0</v>
      </c>
    </row>
    <row r="15" spans="1:34" ht="18.75">
      <c r="A15" s="6"/>
      <c r="B15" s="12" t="s">
        <v>113</v>
      </c>
      <c r="C15" s="6" t="s">
        <v>27</v>
      </c>
      <c r="D15" s="9">
        <f t="shared" si="1"/>
        <v>12</v>
      </c>
      <c r="E15" s="225">
        <f>SUMIFS('1.6'!$E15:$E33,'1.6'!$B15:$B33,'TỔNG NHẬP'!$B15)</f>
        <v>0</v>
      </c>
      <c r="F15" s="225">
        <f>SUMIFS('2.6'!$E15:$E33,'2.6'!$B15:$B33,'TỔNG NHẬP'!$B15)</f>
        <v>0</v>
      </c>
      <c r="G15" s="225">
        <f>SUMIFS('3.6'!$E15:$E33,'3.6'!$B15:$B33,'TỔNG NHẬP'!$B15)</f>
        <v>0</v>
      </c>
      <c r="H15" s="225">
        <f>SUMIFS('4.6'!$E15:$E33,'4.6'!$B15:$B33,'TỔNG NHẬP'!$B15)</f>
        <v>0</v>
      </c>
      <c r="I15" s="225">
        <f>SUMIFS('5.6'!$E15:$E33,'5.6'!$B15:$B33,'TỔNG NHẬP'!$B15)</f>
        <v>0</v>
      </c>
      <c r="J15" s="225">
        <f>SUMIFS('6.6'!$E15:$E33,'6.6'!$B15:$B33,'TỔNG NHẬP'!$B15)</f>
        <v>0</v>
      </c>
      <c r="K15" s="225">
        <f>SUMIFS('7.6'!$E15:$E33,'7.6'!$B15:$B33,'TỔNG NHẬP'!$B15)</f>
        <v>0</v>
      </c>
      <c r="L15" s="225">
        <f>SUMIFS('8.6'!$E15:$E33,'8.6'!$B15:$B33,'TỔNG NHẬP'!$B15)</f>
        <v>0</v>
      </c>
      <c r="M15" s="225">
        <f>SUMIFS('9.6'!$E15:$E33,'9.6'!$B15:$B33,'TỔNG NHẬP'!$B15)</f>
        <v>0</v>
      </c>
      <c r="N15" s="225">
        <f>SUMIFS('10.6'!$E15:$E33,'10.6'!$B15:$B33,'TỔNG NHẬP'!$B15)</f>
        <v>0</v>
      </c>
      <c r="O15" s="225">
        <f>SUMIFS('11.6'!$E15:$E33,'11.6'!$B15:$B33,'TỔNG NHẬP'!$B15)</f>
        <v>0</v>
      </c>
      <c r="P15" s="225">
        <f>SUMIFS('12.6'!$E15:$E33,'12.6'!$B15:$B33,'TỔNG NHẬP'!$B15)</f>
        <v>0</v>
      </c>
      <c r="Q15" s="225">
        <f>SUMIFS('13.6'!$E15:$E33,'13.6'!$B15:$B33,'TỔNG NHẬP'!$B15)</f>
        <v>6</v>
      </c>
      <c r="R15" s="225">
        <f>SUMIFS('14.6'!$E15:$E33,'14.6'!$B15:$B33,'TỔNG NHẬP'!$B15)</f>
        <v>0</v>
      </c>
      <c r="S15" s="225">
        <f>SUMIFS('15.6'!$E15:$E33,'15.6'!$B15:$B33,'TỔNG NHẬP'!$B15)</f>
        <v>0</v>
      </c>
      <c r="T15" s="225">
        <f>SUMIFS('16.6'!$E15:$E33,'16.6'!$B15:$B33,'TỔNG NHẬP'!$B15)</f>
        <v>0</v>
      </c>
      <c r="U15" s="225">
        <f>SUMIFS('17.6'!$E15:$E33,'17.6'!$B15:$B33,'TỔNG NHẬP'!$B15)</f>
        <v>0</v>
      </c>
      <c r="V15" s="225">
        <f>SUMIFS('18.6'!$E15:$E33,'18.6'!$B15:$B33,'TỔNG NHẬP'!$B15)</f>
        <v>0</v>
      </c>
      <c r="W15" s="225">
        <f>SUMIFS('19.6'!$E15:$E33,'19.6'!$B15:$B33,'TỔNG NHẬP'!$B15)</f>
        <v>0</v>
      </c>
      <c r="X15" s="225">
        <f>SUMIFS('20.6'!$E15:$E33,'20.6'!$B15:$B33,'TỔNG NHẬP'!$B15)</f>
        <v>0</v>
      </c>
      <c r="Y15" s="225">
        <f>SUMIFS('21.6'!$E15:$E33,'21.6'!$B15:$B33,'TỔNG NHẬP'!$B15)</f>
        <v>0</v>
      </c>
      <c r="Z15" s="225">
        <f>SUMIFS('22.6'!$E15:$E33,'22.6'!$B15:$B33,'TỔNG NHẬP'!$B15)</f>
        <v>0</v>
      </c>
      <c r="AA15" s="225">
        <f>SUMIFS('23.6'!$E15:$E33,'23.6'!$B15:$B33,'TỔNG NHẬP'!$B15)</f>
        <v>0</v>
      </c>
      <c r="AB15" s="225">
        <f>SUMIFS('24.6'!$E15:$E33,'24.6'!$B15:$B33,'TỔNG NHẬP'!$B15)</f>
        <v>6</v>
      </c>
      <c r="AC15" s="225">
        <f>SUMIFS('25.6'!$E15:$E33,'25.6'!$B15:$B33,'TỔNG NHẬP'!$B15)</f>
        <v>0</v>
      </c>
      <c r="AD15" s="225">
        <f>SUMIFS('26.6'!$E15:$E33,'26.6'!$B15:$B33,'TỔNG NHẬP'!$B15)</f>
        <v>0</v>
      </c>
      <c r="AE15" s="225">
        <f>SUMIFS('27.6'!$E15:$E33,'27.6'!$B15:$B33,'TỔNG NHẬP'!$B15)</f>
        <v>0</v>
      </c>
      <c r="AF15" s="225">
        <f>SUMIFS('28.6'!$E15:$E33,'28.6'!$B15:$B33,'TỔNG NHẬP'!$B15)</f>
        <v>0</v>
      </c>
      <c r="AG15" s="225">
        <f>SUMIFS('29.6'!$E15:$E33,'29.6'!$B15:$B33,'TỔNG NHẬP'!$B15)</f>
        <v>0</v>
      </c>
      <c r="AH15" s="225">
        <f>SUMIFS('30.6'!$E15:$E33,'30.6'!$B15:$B33,'TỔNG NHẬP'!$B15)</f>
        <v>0</v>
      </c>
    </row>
    <row r="16" spans="1:34" ht="18.75">
      <c r="A16" s="6">
        <v>12</v>
      </c>
      <c r="B16" s="12" t="s">
        <v>28</v>
      </c>
      <c r="C16" s="6" t="s">
        <v>27</v>
      </c>
      <c r="D16" s="9">
        <f t="shared" si="1"/>
        <v>10</v>
      </c>
      <c r="E16" s="225">
        <f>SUMIFS('1.6'!$E16:$E34,'1.6'!$B16:$B34,'TỔNG NHẬP'!$B16)</f>
        <v>0</v>
      </c>
      <c r="F16" s="225">
        <f>SUMIFS('2.6'!$E16:$E34,'2.6'!$B16:$B34,'TỔNG NHẬP'!$B16)</f>
        <v>0</v>
      </c>
      <c r="G16" s="225">
        <f>SUMIFS('3.6'!$E16:$E34,'3.6'!$B16:$B34,'TỔNG NHẬP'!$B16)</f>
        <v>0</v>
      </c>
      <c r="H16" s="225">
        <f>SUMIFS('4.6'!$E16:$E34,'4.6'!$B16:$B34,'TỔNG NHẬP'!$B16)</f>
        <v>0</v>
      </c>
      <c r="I16" s="225">
        <f>SUMIFS('5.6'!$E16:$E34,'5.6'!$B16:$B34,'TỔNG NHẬP'!$B16)</f>
        <v>0</v>
      </c>
      <c r="J16" s="225">
        <f>SUMIFS('6.6'!$E16:$E34,'6.6'!$B16:$B34,'TỔNG NHẬP'!$B16)</f>
        <v>0</v>
      </c>
      <c r="K16" s="225">
        <f>SUMIFS('7.6'!$E16:$E34,'7.6'!$B16:$B34,'TỔNG NHẬP'!$B16)</f>
        <v>0</v>
      </c>
      <c r="L16" s="225">
        <f>SUMIFS('8.6'!$E16:$E34,'8.6'!$B16:$B34,'TỔNG NHẬP'!$B16)</f>
        <v>0</v>
      </c>
      <c r="M16" s="225">
        <f>SUMIFS('9.6'!$E16:$E34,'9.6'!$B16:$B34,'TỔNG NHẬP'!$B16)</f>
        <v>0</v>
      </c>
      <c r="N16" s="225">
        <f>SUMIFS('10.6'!$E16:$E34,'10.6'!$B16:$B34,'TỔNG NHẬP'!$B16)</f>
        <v>0</v>
      </c>
      <c r="O16" s="225">
        <f>SUMIFS('11.6'!$E16:$E34,'11.6'!$B16:$B34,'TỔNG NHẬP'!$B16)</f>
        <v>0</v>
      </c>
      <c r="P16" s="225">
        <f>SUMIFS('12.6'!$E16:$E34,'12.6'!$B16:$B34,'TỔNG NHẬP'!$B16)</f>
        <v>0</v>
      </c>
      <c r="Q16" s="225">
        <f>SUMIFS('13.6'!$E16:$E34,'13.6'!$B16:$B34,'TỔNG NHẬP'!$B16)</f>
        <v>0</v>
      </c>
      <c r="R16" s="225">
        <f>SUMIFS('14.6'!$E16:$E34,'14.6'!$B16:$B34,'TỔNG NHẬP'!$B16)</f>
        <v>0</v>
      </c>
      <c r="S16" s="225">
        <f>SUMIFS('15.6'!$E16:$E34,'15.6'!$B16:$B34,'TỔNG NHẬP'!$B16)</f>
        <v>10</v>
      </c>
      <c r="T16" s="225">
        <f>SUMIFS('16.6'!$E16:$E34,'16.6'!$B16:$B34,'TỔNG NHẬP'!$B16)</f>
        <v>0</v>
      </c>
      <c r="U16" s="225">
        <f>SUMIFS('17.6'!$E16:$E34,'17.6'!$B16:$B34,'TỔNG NHẬP'!$B16)</f>
        <v>0</v>
      </c>
      <c r="V16" s="225">
        <f>SUMIFS('18.6'!$E16:$E34,'18.6'!$B16:$B34,'TỔNG NHẬP'!$B16)</f>
        <v>0</v>
      </c>
      <c r="W16" s="225">
        <f>SUMIFS('19.6'!$E16:$E34,'19.6'!$B16:$B34,'TỔNG NHẬP'!$B16)</f>
        <v>0</v>
      </c>
      <c r="X16" s="225">
        <f>SUMIFS('20.6'!$E16:$E34,'20.6'!$B16:$B34,'TỔNG NHẬP'!$B16)</f>
        <v>0</v>
      </c>
      <c r="Y16" s="225">
        <f>SUMIFS('21.6'!$E16:$E34,'21.6'!$B16:$B34,'TỔNG NHẬP'!$B16)</f>
        <v>0</v>
      </c>
      <c r="Z16" s="225">
        <f>SUMIFS('22.6'!$E16:$E34,'22.6'!$B16:$B34,'TỔNG NHẬP'!$B16)</f>
        <v>0</v>
      </c>
      <c r="AA16" s="225">
        <f>SUMIFS('23.6'!$E16:$E34,'23.6'!$B16:$B34,'TỔNG NHẬP'!$B16)</f>
        <v>0</v>
      </c>
      <c r="AB16" s="225">
        <f>SUMIFS('24.6'!$E16:$E34,'24.6'!$B16:$B34,'TỔNG NHẬP'!$B16)</f>
        <v>0</v>
      </c>
      <c r="AC16" s="225">
        <f>SUMIFS('25.6'!$E16:$E34,'25.6'!$B16:$B34,'TỔNG NHẬP'!$B16)</f>
        <v>0</v>
      </c>
      <c r="AD16" s="225">
        <f>SUMIFS('26.6'!$E16:$E34,'26.6'!$B16:$B34,'TỔNG NHẬP'!$B16)</f>
        <v>0</v>
      </c>
      <c r="AE16" s="225">
        <f>SUMIFS('27.6'!$E16:$E34,'27.6'!$B16:$B34,'TỔNG NHẬP'!$B16)</f>
        <v>0</v>
      </c>
      <c r="AF16" s="225">
        <f>SUMIFS('28.6'!$E16:$E34,'28.6'!$B16:$B34,'TỔNG NHẬP'!$B16)</f>
        <v>0</v>
      </c>
      <c r="AG16" s="225">
        <f>SUMIFS('29.6'!$E16:$E34,'29.6'!$B16:$B34,'TỔNG NHẬP'!$B16)</f>
        <v>0</v>
      </c>
      <c r="AH16" s="225">
        <f>SUMIFS('30.6'!$E16:$E34,'30.6'!$B16:$B34,'TỔNG NHẬP'!$B16)</f>
        <v>0</v>
      </c>
    </row>
    <row r="17" spans="1:34" ht="18.75">
      <c r="A17" s="6">
        <v>13</v>
      </c>
      <c r="B17" s="220" t="s">
        <v>107</v>
      </c>
      <c r="C17" s="6" t="s">
        <v>111</v>
      </c>
      <c r="D17" s="9">
        <f t="shared" si="1"/>
        <v>147</v>
      </c>
      <c r="E17" s="225">
        <f>SUMIFS('1.6'!$E17:$E35,'1.6'!$B17:$B35,'TỔNG NHẬP'!$B17)</f>
        <v>0</v>
      </c>
      <c r="F17" s="225">
        <f>SUMIFS('2.6'!$E17:$E35,'2.6'!$B17:$B35,'TỔNG NHẬP'!$B17)</f>
        <v>0</v>
      </c>
      <c r="G17" s="225">
        <f>SUMIFS('3.6'!$E17:$E35,'3.6'!$B17:$B35,'TỔNG NHẬP'!$B17)</f>
        <v>0</v>
      </c>
      <c r="H17" s="225">
        <f>SUMIFS('4.6'!$E17:$E35,'4.6'!$B17:$B35,'TỔNG NHẬP'!$B17)</f>
        <v>0</v>
      </c>
      <c r="I17" s="225">
        <f>SUMIFS('5.6'!$E17:$E35,'5.6'!$B17:$B35,'TỔNG NHẬP'!$B17)</f>
        <v>4</v>
      </c>
      <c r="J17" s="225">
        <f>SUMIFS('6.6'!$E17:$E35,'6.6'!$B17:$B35,'TỔNG NHẬP'!$B17)</f>
        <v>0</v>
      </c>
      <c r="K17" s="225">
        <f>SUMIFS('7.6'!$E17:$E35,'7.6'!$B17:$B35,'TỔNG NHẬP'!$B17)</f>
        <v>0</v>
      </c>
      <c r="L17" s="225">
        <f>SUMIFS('8.6'!$E17:$E35,'8.6'!$B17:$B35,'TỔNG NHẬP'!$B17)</f>
        <v>0</v>
      </c>
      <c r="M17" s="225">
        <f>SUMIFS('9.6'!$E17:$E35,'9.6'!$B17:$B35,'TỔNG NHẬP'!$B17)</f>
        <v>0</v>
      </c>
      <c r="N17" s="225">
        <f>SUMIFS('10.6'!$E17:$E35,'10.6'!$B17:$B35,'TỔNG NHẬP'!$B17)</f>
        <v>0</v>
      </c>
      <c r="O17" s="225">
        <f>SUMIFS('11.6'!$E17:$E35,'11.6'!$B17:$B35,'TỔNG NHẬP'!$B17)</f>
        <v>0</v>
      </c>
      <c r="P17" s="225">
        <f>SUMIFS('12.6'!$E17:$E35,'12.6'!$B17:$B35,'TỔNG NHẬP'!$B17)</f>
        <v>0</v>
      </c>
      <c r="Q17" s="225">
        <f>SUMIFS('13.6'!$E17:$E35,'13.6'!$B17:$B35,'TỔNG NHẬP'!$B17)</f>
        <v>0</v>
      </c>
      <c r="R17" s="225">
        <f>SUMIFS('14.6'!$E17:$E35,'14.6'!$B17:$B35,'TỔNG NHẬP'!$B17)</f>
        <v>0</v>
      </c>
      <c r="S17" s="225">
        <f>SUMIFS('15.6'!$E17:$E35,'15.6'!$B17:$B35,'TỔNG NHẬP'!$B17)</f>
        <v>0</v>
      </c>
      <c r="T17" s="225">
        <f>SUMIFS('16.6'!$E17:$E35,'16.6'!$B17:$B35,'TỔNG NHẬP'!$B17)</f>
        <v>0</v>
      </c>
      <c r="U17" s="225">
        <f>SUMIFS('17.6'!$E17:$E35,'17.6'!$B17:$B35,'TỔNG NHẬP'!$B17)</f>
        <v>0</v>
      </c>
      <c r="V17" s="225">
        <f>SUMIFS('18.6'!$E17:$E35,'18.6'!$B17:$B35,'TỔNG NHẬP'!$B17)</f>
        <v>0</v>
      </c>
      <c r="W17" s="225">
        <f>SUMIFS('19.6'!$E17:$E35,'19.6'!$B17:$B35,'TỔNG NHẬP'!$B17)</f>
        <v>7</v>
      </c>
      <c r="X17" s="225">
        <f>SUMIFS('20.6'!$E17:$E35,'20.6'!$B17:$B35,'TỔNG NHẬP'!$B17)</f>
        <v>0</v>
      </c>
      <c r="Y17" s="225">
        <f>SUMIFS('21.6'!$E17:$E35,'21.6'!$B17:$B35,'TỔNG NHẬP'!$B17)</f>
        <v>0</v>
      </c>
      <c r="Z17" s="225">
        <f>SUMIFS('22.6'!$E17:$E35,'22.6'!$B17:$B35,'TỔNG NHẬP'!$B17)</f>
        <v>59</v>
      </c>
      <c r="AA17" s="225">
        <f>SUMIFS('23.6'!$E17:$E35,'23.6'!$B17:$B35,'TỔNG NHẬP'!$B17)</f>
        <v>0</v>
      </c>
      <c r="AB17" s="225">
        <f>SUMIFS('24.6'!$E17:$E35,'24.6'!$B17:$B35,'TỔNG NHẬP'!$B17)</f>
        <v>27</v>
      </c>
      <c r="AC17" s="225">
        <f>SUMIFS('25.6'!$E17:$E35,'25.6'!$B17:$B35,'TỔNG NHẬP'!$B17)</f>
        <v>0</v>
      </c>
      <c r="AD17" s="225">
        <f>SUMIFS('26.6'!$E17:$E35,'26.6'!$B17:$B35,'TỔNG NHẬP'!$B17)</f>
        <v>40</v>
      </c>
      <c r="AE17" s="225">
        <f>SUMIFS('27.6'!$E17:$E35,'27.6'!$B17:$B35,'TỔNG NHẬP'!$B17)</f>
        <v>0</v>
      </c>
      <c r="AF17" s="225">
        <f>SUMIFS('28.6'!$E17:$E35,'28.6'!$B17:$B35,'TỔNG NHẬP'!$B17)</f>
        <v>10</v>
      </c>
      <c r="AG17" s="225">
        <f>SUMIFS('29.6'!$E17:$E35,'29.6'!$B17:$B35,'TỔNG NHẬP'!$B17)</f>
        <v>0</v>
      </c>
      <c r="AH17" s="225">
        <f>SUMIFS('30.6'!$E17:$E35,'30.6'!$B17:$B35,'TỔNG NHẬP'!$B17)</f>
        <v>0</v>
      </c>
    </row>
    <row r="18" spans="1:34" ht="18.75" customHeight="1">
      <c r="A18" s="6">
        <v>14</v>
      </c>
      <c r="B18" s="220" t="s">
        <v>108</v>
      </c>
      <c r="C18" s="6" t="s">
        <v>111</v>
      </c>
      <c r="D18" s="9">
        <f t="shared" si="1"/>
        <v>100</v>
      </c>
      <c r="E18" s="225">
        <f>SUMIFS('1.6'!$E18:$E36,'1.6'!$B18:$B36,'TỔNG NHẬP'!$B18)</f>
        <v>0</v>
      </c>
      <c r="F18" s="225">
        <f>SUMIFS('2.6'!$E18:$E36,'2.6'!$B18:$B36,'TỔNG NHẬP'!$B18)</f>
        <v>10</v>
      </c>
      <c r="G18" s="225">
        <f>SUMIFS('3.6'!$E18:$E36,'3.6'!$B18:$B36,'TỔNG NHẬP'!$B18)</f>
        <v>0</v>
      </c>
      <c r="H18" s="225">
        <f>SUMIFS('4.6'!$E18:$E36,'4.6'!$B18:$B36,'TỔNG NHẬP'!$B18)</f>
        <v>0</v>
      </c>
      <c r="I18" s="225">
        <f>SUMIFS('5.6'!$E18:$E36,'5.6'!$B18:$B36,'TỔNG NHẬP'!$B18)</f>
        <v>0</v>
      </c>
      <c r="J18" s="225">
        <f>SUMIFS('6.6'!$E18:$E36,'6.6'!$B18:$B36,'TỔNG NHẬP'!$B18)</f>
        <v>0</v>
      </c>
      <c r="K18" s="225">
        <f>SUMIFS('7.6'!$E18:$E36,'7.6'!$B18:$B36,'TỔNG NHẬP'!$B18)</f>
        <v>0</v>
      </c>
      <c r="L18" s="225">
        <f>SUMIFS('8.6'!$E18:$E36,'8.6'!$B18:$B36,'TỔNG NHẬP'!$B18)</f>
        <v>0</v>
      </c>
      <c r="M18" s="225">
        <f>SUMIFS('9.6'!$E18:$E36,'9.6'!$B18:$B36,'TỔNG NHẬP'!$B18)</f>
        <v>0</v>
      </c>
      <c r="N18" s="225">
        <f>SUMIFS('10.6'!$E18:$E36,'10.6'!$B18:$B36,'TỔNG NHẬP'!$B18)</f>
        <v>0</v>
      </c>
      <c r="O18" s="225">
        <f>SUMIFS('11.6'!$E18:$E36,'11.6'!$B18:$B36,'TỔNG NHẬP'!$B18)</f>
        <v>0</v>
      </c>
      <c r="P18" s="225">
        <f>SUMIFS('12.6'!$E18:$E36,'12.6'!$B18:$B36,'TỔNG NHẬP'!$B18)</f>
        <v>0</v>
      </c>
      <c r="Q18" s="225">
        <f>SUMIFS('13.6'!$E18:$E36,'13.6'!$B18:$B36,'TỔNG NHẬP'!$B18)</f>
        <v>0</v>
      </c>
      <c r="R18" s="225">
        <f>SUMIFS('14.6'!$E18:$E36,'14.6'!$B18:$B36,'TỔNG NHẬP'!$B18)</f>
        <v>0</v>
      </c>
      <c r="S18" s="225">
        <f>SUMIFS('15.6'!$E18:$E36,'15.6'!$B18:$B36,'TỔNG NHẬP'!$B18)</f>
        <v>0</v>
      </c>
      <c r="T18" s="225">
        <f>SUMIFS('16.6'!$E18:$E36,'16.6'!$B18:$B36,'TỔNG NHẬP'!$B18)</f>
        <v>0</v>
      </c>
      <c r="U18" s="225">
        <f>SUMIFS('17.6'!$E18:$E36,'17.6'!$B18:$B36,'TỔNG NHẬP'!$B18)</f>
        <v>0</v>
      </c>
      <c r="V18" s="225">
        <f>SUMIFS('18.6'!$E18:$E36,'18.6'!$B18:$B36,'TỔNG NHẬP'!$B18)</f>
        <v>0</v>
      </c>
      <c r="W18" s="225">
        <f>SUMIFS('19.6'!$E18:$E36,'19.6'!$B18:$B36,'TỔNG NHẬP'!$B18)</f>
        <v>15</v>
      </c>
      <c r="X18" s="225">
        <f>SUMIFS('20.6'!$E18:$E36,'20.6'!$B18:$B36,'TỔNG NHẬP'!$B18)</f>
        <v>0</v>
      </c>
      <c r="Y18" s="225">
        <f>SUMIFS('21.6'!$E18:$E36,'21.6'!$B18:$B36,'TỔNG NHẬP'!$B18)</f>
        <v>0</v>
      </c>
      <c r="Z18" s="225">
        <f>SUMIFS('22.6'!$E18:$E36,'22.6'!$B18:$B36,'TỔNG NHẬP'!$B18)</f>
        <v>33</v>
      </c>
      <c r="AA18" s="225">
        <f>SUMIFS('23.6'!$E18:$E36,'23.6'!$B18:$B36,'TỔNG NHẬP'!$B18)</f>
        <v>0</v>
      </c>
      <c r="AB18" s="225">
        <f>SUMIFS('24.6'!$E18:$E36,'24.6'!$B18:$B36,'TỔNG NHẬP'!$B18)</f>
        <v>12</v>
      </c>
      <c r="AC18" s="225">
        <f>SUMIFS('25.6'!$E18:$E36,'25.6'!$B18:$B36,'TỔNG NHẬP'!$B18)</f>
        <v>0</v>
      </c>
      <c r="AD18" s="225">
        <f>SUMIFS('26.6'!$E18:$E36,'26.6'!$B18:$B36,'TỔNG NHẬP'!$B18)</f>
        <v>10</v>
      </c>
      <c r="AE18" s="225">
        <f>SUMIFS('27.6'!$E18:$E36,'27.6'!$B18:$B36,'TỔNG NHẬP'!$B18)</f>
        <v>0</v>
      </c>
      <c r="AF18" s="225">
        <f>SUMIFS('28.6'!$E18:$E36,'28.6'!$B18:$B36,'TỔNG NHẬP'!$B18)</f>
        <v>20</v>
      </c>
      <c r="AG18" s="225">
        <f>SUMIFS('29.6'!$E18:$E36,'29.6'!$B18:$B36,'TỔNG NHẬP'!$B18)</f>
        <v>0</v>
      </c>
      <c r="AH18" s="225">
        <f>SUMIFS('30.6'!$E18:$E36,'30.6'!$B18:$B36,'TỔNG NHẬP'!$B18)</f>
        <v>0</v>
      </c>
    </row>
    <row r="19" spans="1:34" ht="18.75" customHeight="1">
      <c r="A19" s="6">
        <v>15</v>
      </c>
      <c r="B19" s="220" t="s">
        <v>109</v>
      </c>
      <c r="C19" s="6" t="s">
        <v>111</v>
      </c>
      <c r="D19" s="9">
        <f t="shared" si="1"/>
        <v>154</v>
      </c>
      <c r="E19" s="225">
        <f>SUMIFS('1.6'!$E19:$E37,'1.6'!$B19:$B37,'TỔNG NHẬP'!$B19)</f>
        <v>0</v>
      </c>
      <c r="F19" s="225">
        <f>SUMIFS('2.6'!$E19:$E37,'2.6'!$B19:$B37,'TỔNG NHẬP'!$B19)</f>
        <v>15</v>
      </c>
      <c r="G19" s="225">
        <f>SUMIFS('3.6'!$E19:$E37,'3.6'!$B19:$B37,'TỔNG NHẬP'!$B19)</f>
        <v>0</v>
      </c>
      <c r="H19" s="225">
        <f>SUMIFS('4.6'!$E19:$E37,'4.6'!$B19:$B37,'TỔNG NHẬP'!$B19)</f>
        <v>0</v>
      </c>
      <c r="I19" s="225">
        <f>SUMIFS('5.6'!$E19:$E37,'5.6'!$B19:$B37,'TỔNG NHẬP'!$B19)</f>
        <v>0</v>
      </c>
      <c r="J19" s="225">
        <f>SUMIFS('6.6'!$E19:$E37,'6.6'!$B19:$B37,'TỔNG NHẬP'!$B19)</f>
        <v>0</v>
      </c>
      <c r="K19" s="225">
        <f>SUMIFS('7.6'!$E19:$E37,'7.6'!$B19:$B37,'TỔNG NHẬP'!$B19)</f>
        <v>0</v>
      </c>
      <c r="L19" s="225">
        <f>SUMIFS('8.6'!$E19:$E37,'8.6'!$B19:$B37,'TỔNG NHẬP'!$B19)</f>
        <v>0</v>
      </c>
      <c r="M19" s="225">
        <f>SUMIFS('9.6'!$E19:$E37,'9.6'!$B19:$B37,'TỔNG NHẬP'!$B19)</f>
        <v>0</v>
      </c>
      <c r="N19" s="225">
        <f>SUMIFS('10.6'!$E19:$E37,'10.6'!$B19:$B37,'TỔNG NHẬP'!$B19)</f>
        <v>0</v>
      </c>
      <c r="O19" s="225">
        <f>SUMIFS('11.6'!$E19:$E37,'11.6'!$B19:$B37,'TỔNG NHẬP'!$B19)</f>
        <v>0</v>
      </c>
      <c r="P19" s="225">
        <f>SUMIFS('12.6'!$E19:$E37,'12.6'!$B19:$B37,'TỔNG NHẬP'!$B19)</f>
        <v>0</v>
      </c>
      <c r="Q19" s="225">
        <f>SUMIFS('13.6'!$E19:$E37,'13.6'!$B19:$B37,'TỔNG NHẬP'!$B19)</f>
        <v>0</v>
      </c>
      <c r="R19" s="225">
        <f>SUMIFS('14.6'!$E19:$E37,'14.6'!$B19:$B37,'TỔNG NHẬP'!$B19)</f>
        <v>0</v>
      </c>
      <c r="S19" s="225">
        <f>SUMIFS('15.6'!$E19:$E37,'15.6'!$B19:$B37,'TỔNG NHẬP'!$B19)</f>
        <v>0</v>
      </c>
      <c r="T19" s="225">
        <f>SUMIFS('16.6'!$E19:$E37,'16.6'!$B19:$B37,'TỔNG NHẬP'!$B19)</f>
        <v>0</v>
      </c>
      <c r="U19" s="225">
        <f>SUMIFS('17.6'!$E19:$E37,'17.6'!$B19:$B37,'TỔNG NHẬP'!$B19)</f>
        <v>0</v>
      </c>
      <c r="V19" s="225">
        <f>SUMIFS('18.6'!$E19:$E37,'18.6'!$B19:$B37,'TỔNG NHẬP'!$B19)</f>
        <v>0</v>
      </c>
      <c r="W19" s="225">
        <f>SUMIFS('19.6'!$E19:$E37,'19.6'!$B19:$B37,'TỔNG NHẬP'!$B19)</f>
        <v>10</v>
      </c>
      <c r="X19" s="225">
        <f>SUMIFS('20.6'!$E19:$E37,'20.6'!$B19:$B37,'TỔNG NHẬP'!$B19)</f>
        <v>0</v>
      </c>
      <c r="Y19" s="225">
        <f>SUMIFS('21.6'!$E19:$E37,'21.6'!$B19:$B37,'TỔNG NHẬP'!$B19)</f>
        <v>0</v>
      </c>
      <c r="Z19" s="225">
        <f>SUMIFS('22.6'!$E19:$E37,'22.6'!$B19:$B37,'TỔNG NHẬP'!$B19)</f>
        <v>64</v>
      </c>
      <c r="AA19" s="225">
        <f>SUMIFS('23.6'!$E19:$E37,'23.6'!$B19:$B37,'TỔNG NHẬP'!$B19)</f>
        <v>0</v>
      </c>
      <c r="AB19" s="225">
        <f>SUMIFS('24.6'!$E19:$E37,'24.6'!$B19:$B37,'TỔNG NHẬP'!$B19)</f>
        <v>15</v>
      </c>
      <c r="AC19" s="225">
        <f>SUMIFS('25.6'!$E19:$E37,'25.6'!$B19:$B37,'TỔNG NHẬP'!$B19)</f>
        <v>0</v>
      </c>
      <c r="AD19" s="225">
        <f>SUMIFS('26.6'!$E19:$E37,'26.6'!$B19:$B37,'TỔNG NHẬP'!$B19)</f>
        <v>40</v>
      </c>
      <c r="AE19" s="225">
        <f>SUMIFS('27.6'!$E19:$E37,'27.6'!$B19:$B37,'TỔNG NHẬP'!$B19)</f>
        <v>0</v>
      </c>
      <c r="AF19" s="225">
        <f>SUMIFS('28.6'!$E19:$E37,'28.6'!$B19:$B37,'TỔNG NHẬP'!$B19)</f>
        <v>10</v>
      </c>
      <c r="AG19" s="225">
        <f>SUMIFS('29.6'!$E19:$E37,'29.6'!$B19:$B37,'TỔNG NHẬP'!$B19)</f>
        <v>0</v>
      </c>
      <c r="AH19" s="225">
        <f>SUMIFS('30.6'!$E19:$E37,'30.6'!$B19:$B37,'TỔNG NHẬP'!$B19)</f>
        <v>0</v>
      </c>
    </row>
    <row r="20" spans="1:34" ht="18.75">
      <c r="A20" s="6"/>
      <c r="B20" s="220" t="s">
        <v>110</v>
      </c>
      <c r="C20" s="6" t="s">
        <v>111</v>
      </c>
      <c r="D20" s="9">
        <f t="shared" si="1"/>
        <v>641</v>
      </c>
      <c r="E20" s="225">
        <f>SUMIFS('1.6'!$E20:$E38,'1.6'!$B20:$B38,'TỔNG NHẬP'!$B20)</f>
        <v>0</v>
      </c>
      <c r="F20" s="225">
        <f>SUMIFS('2.6'!$E20:$E38,'2.6'!$B20:$B38,'TỔNG NHẬP'!$B20)</f>
        <v>0</v>
      </c>
      <c r="G20" s="225">
        <f>SUMIFS('3.6'!$E20:$E38,'3.6'!$B20:$B38,'TỔNG NHẬP'!$B20)</f>
        <v>0</v>
      </c>
      <c r="H20" s="225">
        <f>SUMIFS('4.6'!$E20:$E38,'4.6'!$B20:$B38,'TỔNG NHẬP'!$B20)</f>
        <v>0</v>
      </c>
      <c r="I20" s="225">
        <f>SUMIFS('5.6'!$E20:$E38,'5.6'!$B20:$B38,'TỔNG NHẬP'!$B20)</f>
        <v>0</v>
      </c>
      <c r="J20" s="225">
        <f>SUMIFS('6.6'!$E20:$E38,'6.6'!$B20:$B38,'TỔNG NHẬP'!$B20)</f>
        <v>0</v>
      </c>
      <c r="K20" s="225">
        <f>SUMIFS('7.6'!$E20:$E38,'7.6'!$B20:$B38,'TỔNG NHẬP'!$B20)</f>
        <v>0</v>
      </c>
      <c r="L20" s="225">
        <f>SUMIFS('8.6'!$E20:$E38,'8.6'!$B20:$B38,'TỔNG NHẬP'!$B20)</f>
        <v>0</v>
      </c>
      <c r="M20" s="225">
        <f>SUMIFS('9.6'!$E20:$E38,'9.6'!$B20:$B38,'TỔNG NHẬP'!$B20)</f>
        <v>0</v>
      </c>
      <c r="N20" s="225">
        <f>SUMIFS('10.6'!$E20:$E38,'10.6'!$B20:$B38,'TỔNG NHẬP'!$B20)</f>
        <v>0</v>
      </c>
      <c r="O20" s="225">
        <f>SUMIFS('11.6'!$E20:$E38,'11.6'!$B20:$B38,'TỔNG NHẬP'!$B20)</f>
        <v>0</v>
      </c>
      <c r="P20" s="225">
        <f>SUMIFS('12.6'!$E20:$E38,'12.6'!$B20:$B38,'TỔNG NHẬP'!$B20)</f>
        <v>0</v>
      </c>
      <c r="Q20" s="225">
        <f>SUMIFS('13.6'!$E20:$E38,'13.6'!$B20:$B38,'TỔNG NHẬP'!$B20)</f>
        <v>0</v>
      </c>
      <c r="R20" s="225">
        <f>SUMIFS('14.6'!$E20:$E38,'14.6'!$B20:$B38,'TỔNG NHẬP'!$B20)</f>
        <v>0</v>
      </c>
      <c r="S20" s="225">
        <f>SUMIFS('15.6'!$E20:$E38,'15.6'!$B20:$B38,'TỔNG NHẬP'!$B20)</f>
        <v>0</v>
      </c>
      <c r="T20" s="225">
        <f>SUMIFS('16.6'!$E20:$E38,'16.6'!$B20:$B38,'TỔNG NHẬP'!$B20)</f>
        <v>0</v>
      </c>
      <c r="U20" s="225">
        <f>SUMIFS('17.6'!$E20:$E38,'17.6'!$B20:$B38,'TỔNG NHẬP'!$B20)</f>
        <v>0</v>
      </c>
      <c r="V20" s="225">
        <f>SUMIFS('18.6'!$E20:$E38,'18.6'!$B20:$B38,'TỔNG NHẬP'!$B20)</f>
        <v>0</v>
      </c>
      <c r="W20" s="225">
        <f>SUMIFS('19.6'!$E20:$E38,'19.6'!$B20:$B38,'TỔNG NHẬP'!$B20)</f>
        <v>80</v>
      </c>
      <c r="X20" s="225">
        <f>SUMIFS('20.6'!$E20:$E38,'20.6'!$B20:$B38,'TỔNG NHẬP'!$B20)</f>
        <v>120</v>
      </c>
      <c r="Y20" s="225">
        <f>SUMIFS('21.6'!$E20:$E38,'21.6'!$B20:$B38,'TỔNG NHẬP'!$B20)</f>
        <v>0</v>
      </c>
      <c r="Z20" s="225">
        <f>SUMIFS('22.6'!$E20:$E38,'22.6'!$B20:$B38,'TỔNG NHẬP'!$B20)</f>
        <v>251</v>
      </c>
      <c r="AA20" s="225">
        <f>SUMIFS('23.6'!$E20:$E38,'23.6'!$B20:$B38,'TỔNG NHẬP'!$B20)</f>
        <v>50</v>
      </c>
      <c r="AB20" s="225">
        <f>SUMIFS('24.6'!$E20:$E38,'24.6'!$B20:$B38,'TỔNG NHẬP'!$B20)</f>
        <v>0</v>
      </c>
      <c r="AC20" s="225">
        <f>SUMIFS('25.6'!$E20:$E38,'25.6'!$B20:$B38,'TỔNG NHẬP'!$B20)</f>
        <v>0</v>
      </c>
      <c r="AD20" s="225">
        <f>SUMIFS('26.6'!$E20:$E38,'26.6'!$B20:$B38,'TỔNG NHẬP'!$B20)</f>
        <v>0</v>
      </c>
      <c r="AE20" s="225">
        <f>SUMIFS('27.6'!$E20:$E38,'27.6'!$B20:$B38,'TỔNG NHẬP'!$B20)</f>
        <v>40</v>
      </c>
      <c r="AF20" s="225">
        <f>SUMIFS('28.6'!$E20:$E38,'28.6'!$B20:$B38,'TỔNG NHẬP'!$B20)</f>
        <v>50</v>
      </c>
      <c r="AG20" s="225">
        <f>SUMIFS('29.6'!$E20:$E38,'29.6'!$B20:$B38,'TỔNG NHẬP'!$B20)</f>
        <v>50</v>
      </c>
      <c r="AH20" s="225">
        <f>SUMIFS('30.6'!$E20:$E38,'30.6'!$B20:$B38,'TỔNG NHẬP'!$B20)</f>
        <v>0</v>
      </c>
    </row>
    <row r="21" spans="1:34" ht="18.75">
      <c r="A21" s="6"/>
      <c r="B21" s="221" t="s">
        <v>112</v>
      </c>
      <c r="C21" s="6" t="s">
        <v>111</v>
      </c>
      <c r="D21" s="9">
        <f t="shared" si="1"/>
        <v>89</v>
      </c>
      <c r="E21" s="225">
        <f>SUMIFS('1.6'!$E21:$E39,'1.6'!$B21:$B39,'TỔNG NHẬP'!$B21)</f>
        <v>0</v>
      </c>
      <c r="F21" s="225">
        <f>SUMIFS('2.6'!$E21:$E39,'2.6'!$B21:$B39,'TỔNG NHẬP'!$B21)</f>
        <v>10</v>
      </c>
      <c r="G21" s="225">
        <f>SUMIFS('3.6'!$E21:$E39,'3.6'!$B21:$B39,'TỔNG NHẬP'!$B21)</f>
        <v>0</v>
      </c>
      <c r="H21" s="225">
        <f>SUMIFS('4.6'!$E21:$E39,'4.6'!$B21:$B39,'TỔNG NHẬP'!$B21)</f>
        <v>0</v>
      </c>
      <c r="I21" s="225">
        <f>SUMIFS('5.6'!$E21:$E39,'5.6'!$B21:$B39,'TỔNG NHẬP'!$B21)</f>
        <v>0</v>
      </c>
      <c r="J21" s="225">
        <f>SUMIFS('6.6'!$E21:$E39,'6.6'!$B21:$B39,'TỔNG NHẬP'!$B21)</f>
        <v>0</v>
      </c>
      <c r="K21" s="225">
        <f>SUMIFS('7.6'!$E21:$E39,'7.6'!$B21:$B39,'TỔNG NHẬP'!$B21)</f>
        <v>0</v>
      </c>
      <c r="L21" s="225">
        <f>SUMIFS('8.6'!$E21:$E39,'8.6'!$B21:$B39,'TỔNG NHẬP'!$B21)</f>
        <v>0</v>
      </c>
      <c r="M21" s="225">
        <f>SUMIFS('9.6'!$E21:$E39,'9.6'!$B21:$B39,'TỔNG NHẬP'!$B21)</f>
        <v>0</v>
      </c>
      <c r="N21" s="225">
        <f>SUMIFS('10.6'!$E21:$E39,'10.6'!$B21:$B39,'TỔNG NHẬP'!$B21)</f>
        <v>0</v>
      </c>
      <c r="O21" s="225">
        <f>SUMIFS('11.6'!$E21:$E39,'11.6'!$B21:$B39,'TỔNG NHẬP'!$B21)</f>
        <v>0</v>
      </c>
      <c r="P21" s="225">
        <f>SUMIFS('12.6'!$E21:$E39,'12.6'!$B21:$B39,'TỔNG NHẬP'!$B21)</f>
        <v>0</v>
      </c>
      <c r="Q21" s="225">
        <f>SUMIFS('13.6'!$E21:$E39,'13.6'!$B21:$B39,'TỔNG NHẬP'!$B21)</f>
        <v>0</v>
      </c>
      <c r="R21" s="225">
        <f>SUMIFS('14.6'!$E21:$E39,'14.6'!$B21:$B39,'TỔNG NHẬP'!$B21)</f>
        <v>0</v>
      </c>
      <c r="S21" s="225">
        <f>SUMIFS('15.6'!$E21:$E39,'15.6'!$B21:$B39,'TỔNG NHẬP'!$B21)</f>
        <v>0</v>
      </c>
      <c r="T21" s="225">
        <f>SUMIFS('16.6'!$E21:$E39,'16.6'!$B21:$B39,'TỔNG NHẬP'!$B21)</f>
        <v>0</v>
      </c>
      <c r="U21" s="225">
        <f>SUMIFS('17.6'!$E21:$E39,'17.6'!$B21:$B39,'TỔNG NHẬP'!$B21)</f>
        <v>0</v>
      </c>
      <c r="V21" s="225">
        <f>SUMIFS('18.6'!$E21:$E39,'18.6'!$B21:$B39,'TỔNG NHẬP'!$B21)</f>
        <v>0</v>
      </c>
      <c r="W21" s="225">
        <f>SUMIFS('19.6'!$E21:$E39,'19.6'!$B21:$B39,'TỔNG NHẬP'!$B21)</f>
        <v>20</v>
      </c>
      <c r="X21" s="225">
        <f>SUMIFS('20.6'!$E21:$E39,'20.6'!$B21:$B39,'TỔNG NHẬP'!$B21)</f>
        <v>0</v>
      </c>
      <c r="Y21" s="225">
        <f>SUMIFS('21.6'!$E21:$E39,'21.6'!$B21:$B39,'TỔNG NHẬP'!$B21)</f>
        <v>0</v>
      </c>
      <c r="Z21" s="225">
        <f>SUMIFS('22.6'!$E21:$E39,'22.6'!$B21:$B39,'TỔNG NHẬP'!$B21)</f>
        <v>39</v>
      </c>
      <c r="AA21" s="225">
        <f>SUMIFS('23.6'!$E21:$E39,'23.6'!$B21:$B39,'TỔNG NHẬP'!$B21)</f>
        <v>0</v>
      </c>
      <c r="AB21" s="225">
        <f>SUMIFS('24.6'!$E21:$E39,'24.6'!$B21:$B39,'TỔNG NHẬP'!$B21)</f>
        <v>0</v>
      </c>
      <c r="AC21" s="225">
        <f>SUMIFS('25.6'!$E21:$E39,'25.6'!$B21:$B39,'TỔNG NHẬP'!$B21)</f>
        <v>0</v>
      </c>
      <c r="AD21" s="225">
        <f>SUMIFS('26.6'!$E21:$E39,'26.6'!$B21:$B39,'TỔNG NHẬP'!$B21)</f>
        <v>10</v>
      </c>
      <c r="AE21" s="225">
        <f>SUMIFS('27.6'!$E21:$E39,'27.6'!$B21:$B39,'TỔNG NHẬP'!$B21)</f>
        <v>0</v>
      </c>
      <c r="AF21" s="225">
        <f>SUMIFS('28.6'!$E21:$E39,'28.6'!$B21:$B39,'TỔNG NHẬP'!$B21)</f>
        <v>10</v>
      </c>
      <c r="AG21" s="225">
        <f>SUMIFS('29.6'!$E21:$E39,'29.6'!$B21:$B39,'TỔNG NHẬP'!$B21)</f>
        <v>0</v>
      </c>
      <c r="AH21" s="225">
        <f>SUMIFS('30.6'!$E21:$E39,'30.6'!$B21:$B39,'TỔNG NHẬP'!$B21)</f>
        <v>0</v>
      </c>
    </row>
    <row r="22" spans="1:34" ht="18.75">
      <c r="A22" s="6"/>
      <c r="B22" s="20" t="s">
        <v>32</v>
      </c>
      <c r="C22" s="6"/>
      <c r="D22" s="9">
        <f t="shared" si="1"/>
        <v>0</v>
      </c>
      <c r="E22" s="225">
        <f>SUMIFS('1.6'!$E22:$E40,'1.6'!$B22:$B40,'TỔNG NHẬP'!$B22)</f>
        <v>0</v>
      </c>
      <c r="F22" s="225">
        <f>SUMIFS('2.6'!$E22:$E40,'2.6'!$B22:$B40,'TỔNG NHẬP'!$B22)</f>
        <v>0</v>
      </c>
      <c r="G22" s="225">
        <f>SUMIFS('3.6'!$E22:$E40,'3.6'!$B22:$B40,'TỔNG NHẬP'!$B22)</f>
        <v>0</v>
      </c>
      <c r="H22" s="225">
        <f>SUMIFS('4.6'!$E22:$E40,'4.6'!$B22:$B40,'TỔNG NHẬP'!$B22)</f>
        <v>0</v>
      </c>
      <c r="I22" s="225">
        <f>SUMIFS('5.6'!$E22:$E40,'5.6'!$B22:$B40,'TỔNG NHẬP'!$B22)</f>
        <v>0</v>
      </c>
      <c r="J22" s="225">
        <f>SUMIFS('6.6'!$E22:$E40,'6.6'!$B22:$B40,'TỔNG NHẬP'!$B22)</f>
        <v>0</v>
      </c>
      <c r="K22" s="225">
        <f>SUMIFS('7.6'!$E22:$E40,'7.6'!$B22:$B40,'TỔNG NHẬP'!$B22)</f>
        <v>0</v>
      </c>
      <c r="L22" s="225">
        <f>SUMIFS('8.6'!$E22:$E40,'8.6'!$B22:$B40,'TỔNG NHẬP'!$B22)</f>
        <v>0</v>
      </c>
      <c r="M22" s="225">
        <f>SUMIFS('9.6'!$E22:$E40,'9.6'!$B22:$B40,'TỔNG NHẬP'!$B22)</f>
        <v>0</v>
      </c>
      <c r="N22" s="225">
        <f>SUMIFS('10.6'!$E22:$E40,'10.6'!$B22:$B40,'TỔNG NHẬP'!$B22)</f>
        <v>0</v>
      </c>
      <c r="O22" s="225">
        <f>SUMIFS('11.6'!$E22:$E40,'11.6'!$B22:$B40,'TỔNG NHẬP'!$B22)</f>
        <v>0</v>
      </c>
      <c r="P22" s="225">
        <f>SUMIFS('12.6'!$E22:$E40,'12.6'!$B22:$B40,'TỔNG NHẬP'!$B22)</f>
        <v>0</v>
      </c>
      <c r="Q22" s="225">
        <f>SUMIFS('13.6'!$E22:$E40,'13.6'!$B22:$B40,'TỔNG NHẬP'!$B22)</f>
        <v>0</v>
      </c>
      <c r="R22" s="225">
        <f>SUMIFS('14.6'!$E22:$E40,'14.6'!$B22:$B40,'TỔNG NHẬP'!$B22)</f>
        <v>0</v>
      </c>
      <c r="S22" s="225">
        <f>SUMIFS('15.6'!$E22:$E40,'15.6'!$B22:$B40,'TỔNG NHẬP'!$B22)</f>
        <v>0</v>
      </c>
      <c r="T22" s="225">
        <f>SUMIFS('16.6'!$E22:$E40,'16.6'!$B22:$B40,'TỔNG NHẬP'!$B22)</f>
        <v>0</v>
      </c>
      <c r="U22" s="225">
        <f>SUMIFS('17.6'!$E22:$E40,'17.6'!$B22:$B40,'TỔNG NHẬP'!$B22)</f>
        <v>0</v>
      </c>
      <c r="V22" s="225">
        <f>SUMIFS('18.6'!$E22:$E40,'18.6'!$B22:$B40,'TỔNG NHẬP'!$B22)</f>
        <v>0</v>
      </c>
      <c r="W22" s="225">
        <f>SUMIFS('19.6'!$E22:$E40,'19.6'!$B22:$B40,'TỔNG NHẬP'!$B22)</f>
        <v>0</v>
      </c>
      <c r="X22" s="225">
        <f>SUMIFS('20.6'!$E22:$E40,'20.6'!$B22:$B40,'TỔNG NHẬP'!$B22)</f>
        <v>0</v>
      </c>
      <c r="Y22" s="225">
        <f>SUMIFS('21.6'!$E22:$E40,'21.6'!$B22:$B40,'TỔNG NHẬP'!$B22)</f>
        <v>0</v>
      </c>
      <c r="Z22" s="225">
        <f>SUMIFS('22.6'!$E22:$E40,'22.6'!$B22:$B40,'TỔNG NHẬP'!$B22)</f>
        <v>0</v>
      </c>
      <c r="AA22" s="225">
        <f>SUMIFS('23.6'!$E22:$E40,'23.6'!$B22:$B40,'TỔNG NHẬP'!$B22)</f>
        <v>0</v>
      </c>
      <c r="AB22" s="225">
        <f>SUMIFS('24.6'!$E22:$E40,'24.6'!$B22:$B40,'TỔNG NHẬP'!$B22)</f>
        <v>0</v>
      </c>
      <c r="AC22" s="225">
        <f>SUMIFS('25.6'!$E22:$E40,'25.6'!$B22:$B40,'TỔNG NHẬP'!$B22)</f>
        <v>0</v>
      </c>
      <c r="AD22" s="225">
        <f>SUMIFS('26.6'!$E22:$E40,'26.6'!$B22:$B40,'TỔNG NHẬP'!$B22)</f>
        <v>0</v>
      </c>
      <c r="AE22" s="225">
        <f>SUMIFS('27.6'!$E22:$E40,'27.6'!$B22:$B40,'TỔNG NHẬP'!$B22)</f>
        <v>0</v>
      </c>
      <c r="AF22" s="225">
        <f>SUMIFS('28.6'!$E22:$E40,'28.6'!$B22:$B40,'TỔNG NHẬP'!$B22)</f>
        <v>0</v>
      </c>
      <c r="AG22" s="225">
        <f>SUMIFS('29.6'!$E22:$E40,'29.6'!$B22:$B40,'TỔNG NHẬP'!$B22)</f>
        <v>0</v>
      </c>
      <c r="AH22" s="225">
        <f>SUMIFS('30.6'!$E22:$E40,'30.6'!$B22:$B40,'TỔNG NHẬP'!$B22)</f>
        <v>0</v>
      </c>
    </row>
    <row r="23" spans="1:34" ht="18.75">
      <c r="A23" s="22"/>
      <c r="B23" s="23"/>
      <c r="C23" s="218" t="s">
        <v>106</v>
      </c>
      <c r="D23" s="9">
        <f t="shared" si="1"/>
        <v>0</v>
      </c>
      <c r="E23" s="225">
        <f>SUMIFS('1.6'!$E23:$E41,'1.6'!$B23:$B41,'TỔNG NHẬP'!$B23)</f>
        <v>0</v>
      </c>
      <c r="F23" s="225">
        <f>SUMIFS('2.6'!$E23:$E41,'2.6'!$B23:$B41,'TỔNG NHẬP'!$B23)</f>
        <v>0</v>
      </c>
      <c r="G23" s="225">
        <f>SUMIFS('3.6'!$E23:$E41,'3.6'!$B23:$B41,'TỔNG NHẬP'!$B23)</f>
        <v>0</v>
      </c>
      <c r="H23" s="225">
        <f>SUMIFS('4.6'!$E23:$E41,'4.6'!$B23:$B41,'TỔNG NHẬP'!$B23)</f>
        <v>0</v>
      </c>
      <c r="I23" s="225">
        <f>SUMIFS('5.6'!$E23:$E41,'5.6'!$B23:$B41,'TỔNG NHẬP'!$B23)</f>
        <v>0</v>
      </c>
      <c r="J23" s="225">
        <f>SUMIFS('6.6'!$E23:$E41,'6.6'!$B23:$B41,'TỔNG NHẬP'!$B23)</f>
        <v>0</v>
      </c>
      <c r="K23" s="225">
        <f>SUMIFS('7.6'!$E23:$E41,'7.6'!$B23:$B41,'TỔNG NHẬP'!$B23)</f>
        <v>0</v>
      </c>
      <c r="L23" s="225">
        <f>SUMIFS('8.6'!$E23:$E41,'8.6'!$B23:$B41,'TỔNG NHẬP'!$B23)</f>
        <v>0</v>
      </c>
      <c r="M23" s="225">
        <f>SUMIFS('9.6'!$E23:$E41,'9.6'!$B23:$B41,'TỔNG NHẬP'!$B23)</f>
        <v>0</v>
      </c>
      <c r="N23" s="225">
        <f>SUMIFS('10.6'!$E23:$E41,'10.6'!$B23:$B41,'TỔNG NHẬP'!$B23)</f>
        <v>0</v>
      </c>
      <c r="O23" s="225">
        <f>SUMIFS('11.6'!$E23:$E41,'11.6'!$B23:$B41,'TỔNG NHẬP'!$B23)</f>
        <v>0</v>
      </c>
      <c r="P23" s="225">
        <f>SUMIFS('12.6'!$E23:$E41,'12.6'!$B23:$B41,'TỔNG NHẬP'!$B23)</f>
        <v>0</v>
      </c>
      <c r="Q23" s="225">
        <f>SUMIFS('13.6'!$E23:$E41,'13.6'!$B23:$B41,'TỔNG NHẬP'!$B23)</f>
        <v>0</v>
      </c>
      <c r="R23" s="225">
        <f>SUMIFS('14.6'!$E23:$E41,'14.6'!$B23:$B41,'TỔNG NHẬP'!$B23)</f>
        <v>0</v>
      </c>
      <c r="S23" s="225">
        <f>SUMIFS('15.6'!$E23:$E41,'15.6'!$B23:$B41,'TỔNG NHẬP'!$B23)</f>
        <v>0</v>
      </c>
      <c r="T23" s="225">
        <f>SUMIFS('16.6'!$E23:$E41,'16.6'!$B23:$B41,'TỔNG NHẬP'!$B23)</f>
        <v>0</v>
      </c>
      <c r="U23" s="225">
        <f>SUMIFS('17.6'!$E23:$E41,'17.6'!$B23:$B41,'TỔNG NHẬP'!$B23)</f>
        <v>0</v>
      </c>
      <c r="V23" s="225">
        <f>SUMIFS('18.6'!$E23:$E41,'18.6'!$B23:$B41,'TỔNG NHẬP'!$B23)</f>
        <v>0</v>
      </c>
      <c r="W23" s="225">
        <f>SUMIFS('19.6'!$E23:$E41,'19.6'!$B23:$B41,'TỔNG NHẬP'!$B23)</f>
        <v>0</v>
      </c>
      <c r="X23" s="225">
        <f>SUMIFS('20.6'!$E23:$E41,'20.6'!$B23:$B41,'TỔNG NHẬP'!$B23)</f>
        <v>0</v>
      </c>
      <c r="Y23" s="225">
        <f>SUMIFS('21.6'!$E23:$E41,'21.6'!$B23:$B41,'TỔNG NHẬP'!$B23)</f>
        <v>0</v>
      </c>
      <c r="Z23" s="225">
        <f>SUMIFS('22.6'!$E23:$E41,'22.6'!$B23:$B41,'TỔNG NHẬP'!$B23)</f>
        <v>0</v>
      </c>
      <c r="AA23" s="225">
        <f>SUMIFS('23.6'!$E23:$E41,'23.6'!$B23:$B41,'TỔNG NHẬP'!$B23)</f>
        <v>0</v>
      </c>
      <c r="AB23" s="225">
        <f>SUMIFS('24.6'!$E23:$E41,'24.6'!$B23:$B41,'TỔNG NHẬP'!$B23)</f>
        <v>0</v>
      </c>
      <c r="AC23" s="225">
        <f>SUMIFS('25.6'!$E23:$E41,'25.6'!$B23:$B41,'TỔNG NHẬP'!$B23)</f>
        <v>0</v>
      </c>
      <c r="AD23" s="225">
        <f>SUMIFS('26.6'!$E23:$E41,'26.6'!$B23:$B41,'TỔNG NHẬP'!$B23)</f>
        <v>0</v>
      </c>
      <c r="AE23" s="225">
        <f>SUMIFS('27.6'!$E23:$E41,'27.6'!$B23:$B41,'TỔNG NHẬP'!$B23)</f>
        <v>0</v>
      </c>
      <c r="AF23" s="225">
        <f>SUMIFS('28.6'!$E23:$E41,'28.6'!$B23:$B41,'TỔNG NHẬP'!$B23)</f>
        <v>0</v>
      </c>
      <c r="AG23" s="225">
        <f>SUMIFS('29.6'!$E23:$E41,'29.6'!$B23:$B41,'TỔNG NHẬP'!$B23)</f>
        <v>0</v>
      </c>
      <c r="AH23" s="225">
        <f>SUMIFS('30.6'!$E23:$E41,'30.6'!$B23:$B41,'TỔNG NHẬP'!$B23)</f>
        <v>0</v>
      </c>
    </row>
    <row r="24" spans="1:34" ht="18.75">
      <c r="A24" s="6">
        <v>1</v>
      </c>
      <c r="B24" s="20" t="s">
        <v>121</v>
      </c>
      <c r="C24" s="6" t="s">
        <v>111</v>
      </c>
      <c r="D24" s="9">
        <f t="shared" si="1"/>
        <v>40</v>
      </c>
      <c r="E24" s="225">
        <f>SUMIFS('1.6'!$E24:$E42,'1.6'!$B24:$B42,'TỔNG NHẬP'!$B24)</f>
        <v>4</v>
      </c>
      <c r="F24" s="225">
        <f>SUMIFS('2.6'!$E24:$E42,'2.6'!$B24:$B42,'TỔNG NHẬP'!$B24)</f>
        <v>0</v>
      </c>
      <c r="G24" s="225">
        <f>SUMIFS('3.6'!$E24:$E42,'3.6'!$B24:$B42,'TỔNG NHẬP'!$B24)</f>
        <v>0</v>
      </c>
      <c r="H24" s="225">
        <f>SUMIFS('4.6'!$E24:$E42,'4.6'!$B24:$B42,'TỔNG NHẬP'!$B24)</f>
        <v>0</v>
      </c>
      <c r="I24" s="225">
        <f>SUMIFS('5.6'!$E24:$E42,'5.6'!$B24:$B42,'TỔNG NHẬP'!$B24)</f>
        <v>0</v>
      </c>
      <c r="J24" s="225">
        <f>SUMIFS('6.6'!$E24:$E42,'6.6'!$B24:$B42,'TỔNG NHẬP'!$B24)</f>
        <v>0</v>
      </c>
      <c r="K24" s="225">
        <f>SUMIFS('7.6'!$E24:$E42,'7.6'!$B24:$B42,'TỔNG NHẬP'!$B24)</f>
        <v>0</v>
      </c>
      <c r="L24" s="225">
        <f>SUMIFS('8.6'!$E24:$E42,'8.6'!$B24:$B42,'TỔNG NHẬP'!$B24)</f>
        <v>0</v>
      </c>
      <c r="M24" s="225">
        <f>SUMIFS('9.6'!$E24:$E42,'9.6'!$B24:$B42,'TỔNG NHẬP'!$B24)</f>
        <v>0</v>
      </c>
      <c r="N24" s="225">
        <f>SUMIFS('10.6'!$E24:$E42,'10.6'!$B24:$B42,'TỔNG NHẬP'!$B24)</f>
        <v>0</v>
      </c>
      <c r="O24" s="225">
        <f>SUMIFS('11.6'!$E24:$E42,'11.6'!$B24:$B42,'TỔNG NHẬP'!$B24)</f>
        <v>0</v>
      </c>
      <c r="P24" s="225">
        <f>SUMIFS('12.6'!$E24:$E42,'12.6'!$B24:$B42,'TỔNG NHẬP'!$B24)</f>
        <v>0</v>
      </c>
      <c r="Q24" s="225">
        <f>SUMIFS('13.6'!$E24:$E42,'13.6'!$B24:$B42,'TỔNG NHẬP'!$B24)</f>
        <v>0</v>
      </c>
      <c r="R24" s="225">
        <f>SUMIFS('14.6'!$E24:$E42,'14.6'!$B24:$B42,'TỔNG NHẬP'!$B24)</f>
        <v>0</v>
      </c>
      <c r="S24" s="225">
        <f>SUMIFS('15.6'!$E24:$E42,'15.6'!$B24:$B42,'TỔNG NHẬP'!$B24)</f>
        <v>0</v>
      </c>
      <c r="T24" s="225">
        <f>SUMIFS('16.6'!$E24:$E42,'16.6'!$B24:$B42,'TỔNG NHẬP'!$B24)</f>
        <v>0</v>
      </c>
      <c r="U24" s="225">
        <f>SUMIFS('17.6'!$E24:$E42,'17.6'!$B24:$B42,'TỔNG NHẬP'!$B24)</f>
        <v>0</v>
      </c>
      <c r="V24" s="225">
        <f>SUMIFS('18.6'!$E24:$E42,'18.6'!$B24:$B42,'TỔNG NHẬP'!$B24)</f>
        <v>0</v>
      </c>
      <c r="W24" s="225">
        <f>SUMIFS('19.6'!$E24:$E42,'19.6'!$B24:$B42,'TỔNG NHẬP'!$B24)</f>
        <v>0</v>
      </c>
      <c r="X24" s="225">
        <f>SUMIFS('20.6'!$E24:$E42,'20.6'!$B24:$B42,'TỔNG NHẬP'!$B24)</f>
        <v>18</v>
      </c>
      <c r="Y24" s="225">
        <f>SUMIFS('21.6'!$E24:$E42,'21.6'!$B24:$B42,'TỔNG NHẬP'!$B24)</f>
        <v>18</v>
      </c>
      <c r="Z24" s="225">
        <f>SUMIFS('22.6'!$E24:$E42,'22.6'!$B24:$B42,'TỔNG NHẬP'!$B24)</f>
        <v>0</v>
      </c>
      <c r="AA24" s="225">
        <f>SUMIFS('23.6'!$E24:$E42,'23.6'!$B24:$B42,'TỔNG NHẬP'!$B24)</f>
        <v>0</v>
      </c>
      <c r="AB24" s="225">
        <f>SUMIFS('24.6'!$E24:$E42,'24.6'!$B24:$B42,'TỔNG NHẬP'!$B24)</f>
        <v>0</v>
      </c>
      <c r="AC24" s="225">
        <f>SUMIFS('25.6'!$E24:$E42,'25.6'!$B24:$B42,'TỔNG NHẬP'!$B24)</f>
        <v>0</v>
      </c>
      <c r="AD24" s="225">
        <f>SUMIFS('26.6'!$E24:$E42,'26.6'!$B24:$B42,'TỔNG NHẬP'!$B24)</f>
        <v>0</v>
      </c>
      <c r="AE24" s="225">
        <f>SUMIFS('27.6'!$E24:$E42,'27.6'!$B24:$B42,'TỔNG NHẬP'!$B24)</f>
        <v>0</v>
      </c>
      <c r="AF24" s="225">
        <f>SUMIFS('28.6'!$E24:$E42,'28.6'!$B24:$B42,'TỔNG NHẬP'!$B24)</f>
        <v>0</v>
      </c>
      <c r="AG24" s="225">
        <f>SUMIFS('29.6'!$E24:$E42,'29.6'!$B24:$B42,'TỔNG NHẬP'!$B24)</f>
        <v>0</v>
      </c>
      <c r="AH24" s="225">
        <f>SUMIFS('30.6'!$E24:$E42,'30.6'!$B24:$B42,'TỔNG NHẬP'!$B24)</f>
        <v>0</v>
      </c>
    </row>
    <row r="25" spans="1:34" ht="18.75">
      <c r="A25" s="6">
        <v>2</v>
      </c>
      <c r="B25" s="20" t="s">
        <v>122</v>
      </c>
      <c r="C25" s="6" t="s">
        <v>111</v>
      </c>
      <c r="D25" s="9">
        <f t="shared" si="1"/>
        <v>44</v>
      </c>
      <c r="E25" s="225">
        <f>SUMIFS('1.6'!$E25:$E43,'1.6'!$B25:$B43,'TỔNG NHẬP'!$B25)</f>
        <v>4</v>
      </c>
      <c r="F25" s="225">
        <f>SUMIFS('2.6'!$E25:$E43,'2.6'!$B25:$B43,'TỔNG NHẬP'!$B25)</f>
        <v>0</v>
      </c>
      <c r="G25" s="225">
        <f>SUMIFS('3.6'!$E25:$E43,'3.6'!$B25:$B43,'TỔNG NHẬP'!$B25)</f>
        <v>0</v>
      </c>
      <c r="H25" s="225">
        <f>SUMIFS('4.6'!$E25:$E43,'4.6'!$B25:$B43,'TỔNG NHẬP'!$B25)</f>
        <v>0</v>
      </c>
      <c r="I25" s="225">
        <f>SUMIFS('5.6'!$E25:$E43,'5.6'!$B25:$B43,'TỔNG NHẬP'!$B25)</f>
        <v>0</v>
      </c>
      <c r="J25" s="225">
        <f>SUMIFS('6.6'!$E25:$E43,'6.6'!$B25:$B43,'TỔNG NHẬP'!$B25)</f>
        <v>0</v>
      </c>
      <c r="K25" s="225">
        <f>SUMIFS('7.6'!$E25:$E43,'7.6'!$B25:$B43,'TỔNG NHẬP'!$B25)</f>
        <v>0</v>
      </c>
      <c r="L25" s="225">
        <f>SUMIFS('8.6'!$E25:$E43,'8.6'!$B25:$B43,'TỔNG NHẬP'!$B25)</f>
        <v>0</v>
      </c>
      <c r="M25" s="225">
        <f>SUMIFS('9.6'!$E25:$E43,'9.6'!$B25:$B43,'TỔNG NHẬP'!$B25)</f>
        <v>0</v>
      </c>
      <c r="N25" s="225">
        <f>SUMIFS('10.6'!$E25:$E43,'10.6'!$B25:$B43,'TỔNG NHẬP'!$B25)</f>
        <v>0</v>
      </c>
      <c r="O25" s="225">
        <f>SUMIFS('11.6'!$E25:$E43,'11.6'!$B25:$B43,'TỔNG NHẬP'!$B25)</f>
        <v>0</v>
      </c>
      <c r="P25" s="225">
        <f>SUMIFS('12.6'!$E25:$E43,'12.6'!$B25:$B43,'TỔNG NHẬP'!$B25)</f>
        <v>0</v>
      </c>
      <c r="Q25" s="225">
        <f>SUMIFS('13.6'!$E25:$E43,'13.6'!$B25:$B43,'TỔNG NHẬP'!$B25)</f>
        <v>0</v>
      </c>
      <c r="R25" s="225">
        <f>SUMIFS('14.6'!$E25:$E43,'14.6'!$B25:$B43,'TỔNG NHẬP'!$B25)</f>
        <v>0</v>
      </c>
      <c r="S25" s="225">
        <f>SUMIFS('15.6'!$E25:$E43,'15.6'!$B25:$B43,'TỔNG NHẬP'!$B25)</f>
        <v>0</v>
      </c>
      <c r="T25" s="225">
        <f>SUMIFS('16.6'!$E25:$E43,'16.6'!$B25:$B43,'TỔNG NHẬP'!$B25)</f>
        <v>0</v>
      </c>
      <c r="U25" s="225">
        <f>SUMIFS('17.6'!$E25:$E43,'17.6'!$B25:$B43,'TỔNG NHẬP'!$B25)</f>
        <v>0</v>
      </c>
      <c r="V25" s="225">
        <f>SUMIFS('18.6'!$E25:$E43,'18.6'!$B25:$B43,'TỔNG NHẬP'!$B25)</f>
        <v>0</v>
      </c>
      <c r="W25" s="225">
        <f>SUMIFS('19.6'!$E25:$E43,'19.6'!$B25:$B43,'TỔNG NHẬP'!$B25)</f>
        <v>0</v>
      </c>
      <c r="X25" s="225">
        <f>SUMIFS('20.6'!$E25:$E43,'20.6'!$B25:$B43,'TỔNG NHẬP'!$B25)</f>
        <v>20</v>
      </c>
      <c r="Y25" s="225">
        <f>SUMIFS('21.6'!$E25:$E43,'21.6'!$B25:$B43,'TỔNG NHẬP'!$B25)</f>
        <v>20</v>
      </c>
      <c r="Z25" s="225">
        <f>SUMIFS('22.6'!$E25:$E43,'22.6'!$B25:$B43,'TỔNG NHẬP'!$B25)</f>
        <v>0</v>
      </c>
      <c r="AA25" s="225">
        <f>SUMIFS('23.6'!$E25:$E43,'23.6'!$B25:$B43,'TỔNG NHẬP'!$B25)</f>
        <v>0</v>
      </c>
      <c r="AB25" s="225">
        <f>SUMIFS('24.6'!$E25:$E43,'24.6'!$B25:$B43,'TỔNG NHẬP'!$B25)</f>
        <v>0</v>
      </c>
      <c r="AC25" s="225">
        <f>SUMIFS('25.6'!$E25:$E43,'25.6'!$B25:$B43,'TỔNG NHẬP'!$B25)</f>
        <v>0</v>
      </c>
      <c r="AD25" s="225">
        <f>SUMIFS('26.6'!$E25:$E43,'26.6'!$B25:$B43,'TỔNG NHẬP'!$B25)</f>
        <v>0</v>
      </c>
      <c r="AE25" s="225">
        <f>SUMIFS('27.6'!$E25:$E43,'27.6'!$B25:$B43,'TỔNG NHẬP'!$B25)</f>
        <v>0</v>
      </c>
      <c r="AF25" s="225">
        <f>SUMIFS('28.6'!$E25:$E43,'28.6'!$B25:$B43,'TỔNG NHẬP'!$B25)</f>
        <v>0</v>
      </c>
      <c r="AG25" s="225">
        <f>SUMIFS('29.6'!$E25:$E43,'29.6'!$B25:$B43,'TỔNG NHẬP'!$B25)</f>
        <v>0</v>
      </c>
      <c r="AH25" s="225">
        <f>SUMIFS('30.6'!$E25:$E43,'30.6'!$B25:$B43,'TỔNG NHẬP'!$B25)</f>
        <v>0</v>
      </c>
    </row>
    <row r="26" spans="1:34" ht="18.75">
      <c r="A26" s="6">
        <v>3</v>
      </c>
      <c r="B26" s="20" t="s">
        <v>123</v>
      </c>
      <c r="C26" s="6" t="s">
        <v>111</v>
      </c>
      <c r="D26" s="9">
        <f t="shared" si="1"/>
        <v>44</v>
      </c>
      <c r="E26" s="225">
        <f>SUMIFS('1.6'!$E26:$E44,'1.6'!$B26:$B44,'TỔNG NHẬP'!$B26)</f>
        <v>4</v>
      </c>
      <c r="F26" s="225">
        <f>SUMIFS('2.6'!$E26:$E44,'2.6'!$B26:$B44,'TỔNG NHẬP'!$B26)</f>
        <v>0</v>
      </c>
      <c r="G26" s="225">
        <f>SUMIFS('3.6'!$E26:$E44,'3.6'!$B26:$B44,'TỔNG NHẬP'!$B26)</f>
        <v>0</v>
      </c>
      <c r="H26" s="225">
        <f>SUMIFS('4.6'!$E26:$E44,'4.6'!$B26:$B44,'TỔNG NHẬP'!$B26)</f>
        <v>0</v>
      </c>
      <c r="I26" s="225">
        <f>SUMIFS('5.6'!$E26:$E44,'5.6'!$B26:$B44,'TỔNG NHẬP'!$B26)</f>
        <v>0</v>
      </c>
      <c r="J26" s="225">
        <f>SUMIFS('6.6'!$E26:$E44,'6.6'!$B26:$B44,'TỔNG NHẬP'!$B26)</f>
        <v>0</v>
      </c>
      <c r="K26" s="225">
        <f>SUMIFS('7.6'!$E26:$E44,'7.6'!$B26:$B44,'TỔNG NHẬP'!$B26)</f>
        <v>0</v>
      </c>
      <c r="L26" s="225">
        <f>SUMIFS('8.6'!$E26:$E44,'8.6'!$B26:$B44,'TỔNG NHẬP'!$B26)</f>
        <v>0</v>
      </c>
      <c r="M26" s="225">
        <f>SUMIFS('9.6'!$E26:$E44,'9.6'!$B26:$B44,'TỔNG NHẬP'!$B26)</f>
        <v>0</v>
      </c>
      <c r="N26" s="225">
        <f>SUMIFS('10.6'!$E26:$E44,'10.6'!$B26:$B44,'TỔNG NHẬP'!$B26)</f>
        <v>0</v>
      </c>
      <c r="O26" s="225">
        <f>SUMIFS('11.6'!$E26:$E44,'11.6'!$B26:$B44,'TỔNG NHẬP'!$B26)</f>
        <v>0</v>
      </c>
      <c r="P26" s="225">
        <f>SUMIFS('12.6'!$E26:$E44,'12.6'!$B26:$B44,'TỔNG NHẬP'!$B26)</f>
        <v>0</v>
      </c>
      <c r="Q26" s="225">
        <f>SUMIFS('13.6'!$E26:$E44,'13.6'!$B26:$B44,'TỔNG NHẬP'!$B26)</f>
        <v>0</v>
      </c>
      <c r="R26" s="225">
        <f>SUMIFS('14.6'!$E26:$E44,'14.6'!$B26:$B44,'TỔNG NHẬP'!$B26)</f>
        <v>0</v>
      </c>
      <c r="S26" s="225">
        <f>SUMIFS('15.6'!$E26:$E44,'15.6'!$B26:$B44,'TỔNG NHẬP'!$B26)</f>
        <v>0</v>
      </c>
      <c r="T26" s="225">
        <f>SUMIFS('16.6'!$E26:$E44,'16.6'!$B26:$B44,'TỔNG NHẬP'!$B26)</f>
        <v>0</v>
      </c>
      <c r="U26" s="225">
        <f>SUMIFS('17.6'!$E26:$E44,'17.6'!$B26:$B44,'TỔNG NHẬP'!$B26)</f>
        <v>0</v>
      </c>
      <c r="V26" s="225">
        <f>SUMIFS('18.6'!$E26:$E44,'18.6'!$B26:$B44,'TỔNG NHẬP'!$B26)</f>
        <v>0</v>
      </c>
      <c r="W26" s="225">
        <f>SUMIFS('19.6'!$E26:$E44,'19.6'!$B26:$B44,'TỔNG NHẬP'!$B26)</f>
        <v>0</v>
      </c>
      <c r="X26" s="225">
        <f>SUMIFS('20.6'!$E26:$E44,'20.6'!$B26:$B44,'TỔNG NHẬP'!$B26)</f>
        <v>20</v>
      </c>
      <c r="Y26" s="225">
        <f>SUMIFS('21.6'!$E26:$E44,'21.6'!$B26:$B44,'TỔNG NHẬP'!$B26)</f>
        <v>20</v>
      </c>
      <c r="Z26" s="225">
        <f>SUMIFS('22.6'!$E26:$E44,'22.6'!$B26:$B44,'TỔNG NHẬP'!$B26)</f>
        <v>0</v>
      </c>
      <c r="AA26" s="225">
        <f>SUMIFS('23.6'!$E26:$E44,'23.6'!$B26:$B44,'TỔNG NHẬP'!$B26)</f>
        <v>0</v>
      </c>
      <c r="AB26" s="225">
        <f>SUMIFS('24.6'!$E26:$E44,'24.6'!$B26:$B44,'TỔNG NHẬP'!$B26)</f>
        <v>0</v>
      </c>
      <c r="AC26" s="225">
        <f>SUMIFS('25.6'!$E26:$E44,'25.6'!$B26:$B44,'TỔNG NHẬP'!$B26)</f>
        <v>0</v>
      </c>
      <c r="AD26" s="225">
        <f>SUMIFS('26.6'!$E26:$E44,'26.6'!$B26:$B44,'TỔNG NHẬP'!$B26)</f>
        <v>0</v>
      </c>
      <c r="AE26" s="225">
        <f>SUMIFS('27.6'!$E26:$E44,'27.6'!$B26:$B44,'TỔNG NHẬP'!$B26)</f>
        <v>0</v>
      </c>
      <c r="AF26" s="225">
        <f>SUMIFS('28.6'!$E26:$E44,'28.6'!$B26:$B44,'TỔNG NHẬP'!$B26)</f>
        <v>0</v>
      </c>
      <c r="AG26" s="225">
        <f>SUMIFS('29.6'!$E26:$E44,'29.6'!$B26:$B44,'TỔNG NHẬP'!$B26)</f>
        <v>0</v>
      </c>
      <c r="AH26" s="225">
        <f>SUMIFS('30.6'!$E26:$E44,'30.6'!$B26:$B44,'TỔNG NHẬP'!$B26)</f>
        <v>0</v>
      </c>
    </row>
    <row r="27" spans="1:34" ht="18.75">
      <c r="A27" s="6">
        <v>4</v>
      </c>
      <c r="B27" s="20"/>
      <c r="C27" s="6"/>
      <c r="D27" s="9">
        <f t="shared" ca="1" si="1"/>
        <v>0</v>
      </c>
      <c r="E27" s="225">
        <f>SUMIFS('1.6'!$E27:$E45,'1.6'!$B27:$B45,'TỔNG NHẬP'!$B27)</f>
        <v>0</v>
      </c>
      <c r="F27" s="225">
        <f ca="1">SUMIF('2.6'!$E27:$E45,'2.6'!$B27:$B45,'TỔNG NHẬP'!$B27)</f>
        <v>0</v>
      </c>
      <c r="G27" s="225"/>
      <c r="H27" s="225"/>
      <c r="I27" s="225"/>
      <c r="J27" s="225"/>
      <c r="K27" s="225"/>
      <c r="L27" s="225"/>
      <c r="M27" s="225"/>
      <c r="N27" s="225">
        <f>SUMIFS('10.6'!$E27:$E45,'10.6'!$B27:$B45,'TỔNG NHẬP'!$B27)</f>
        <v>0</v>
      </c>
      <c r="O27" s="225">
        <f>SUMIFS('11.6'!$E27:$E45,'11.6'!$B27:$B45,'TỔNG NHẬP'!$B27)</f>
        <v>0</v>
      </c>
      <c r="P27" s="225">
        <f>SUMIFS('12.6'!$E27:$E45,'12.6'!$B27:$B45,'TỔNG NHẬP'!$B27)</f>
        <v>0</v>
      </c>
      <c r="Q27" s="225">
        <f>SUMIFS('13.6'!$E27:$E45,'13.6'!$B27:$B45,'TỔNG NHẬP'!$B27)</f>
        <v>0</v>
      </c>
      <c r="R27" s="225">
        <f>SUMIFS('14.6'!$E27:$E45,'14.6'!$B27:$B45,'TỔNG NHẬP'!$B27)</f>
        <v>0</v>
      </c>
      <c r="S27" s="225">
        <f>SUMIFS('15.6'!$E27:$E45,'15.6'!$B27:$B45,'TỔNG NHẬP'!$B27)</f>
        <v>0</v>
      </c>
      <c r="T27" s="225">
        <f>SUMIFS('16.6'!$E27:$E45,'16.6'!$B27:$B45,'TỔNG NHẬP'!$B27)</f>
        <v>0</v>
      </c>
      <c r="U27" s="225">
        <f>SUMIFS('17.6'!$E27:$E45,'17.6'!$B27:$B45,'TỔNG NHẬP'!$B27)</f>
        <v>0</v>
      </c>
      <c r="V27" s="225">
        <f>SUMIFS('18.6'!$E27:$E45,'18.6'!$B27:$B45,'TỔNG NHẬP'!$B27)</f>
        <v>0</v>
      </c>
      <c r="W27" s="225">
        <f>SUMIFS('19.6'!$E27:$E45,'19.6'!$B27:$B45,'TỔNG NHẬP'!$B27)</f>
        <v>0</v>
      </c>
      <c r="X27" s="225">
        <f>SUMIFS('20.6'!$E27:$E45,'20.6'!$B27:$B45,'TỔNG NHẬP'!$B27)</f>
        <v>0</v>
      </c>
      <c r="Y27" s="225">
        <f>SUMIFS('21.6'!$E27:$E45,'21.6'!$B27:$B45,'TỔNG NHẬP'!$B27)</f>
        <v>0</v>
      </c>
      <c r="Z27" s="225">
        <f>SUMIFS('22.6'!$E27:$E45,'22.6'!$B27:$B45,'TỔNG NHẬP'!$B27)</f>
        <v>0</v>
      </c>
      <c r="AA27" s="225">
        <f>SUMIFS('23.6'!$E27:$E45,'23.6'!$B27:$B45,'TỔNG NHẬP'!$B27)</f>
        <v>0</v>
      </c>
      <c r="AB27" s="225">
        <f>SUMIFS('24.6'!$E27:$E45,'24.6'!$B27:$B45,'TỔNG NHẬP'!$B27)</f>
        <v>0</v>
      </c>
      <c r="AC27" s="225">
        <f>SUMIFS('25.6'!$E27:$E45,'25.6'!$B27:$B45,'TỔNG NHẬP'!$B27)</f>
        <v>0</v>
      </c>
      <c r="AD27" s="225">
        <f>SUMIFS('26.6'!$E27:$E45,'26.6'!$B27:$B45,'TỔNG NHẬP'!$B27)</f>
        <v>0</v>
      </c>
      <c r="AE27" s="225">
        <f>SUMIFS('27.6'!$E27:$E45,'27.6'!$B27:$B45,'TỔNG NHẬP'!$B27)</f>
        <v>0</v>
      </c>
      <c r="AF27" s="225">
        <f>SUMIFS('28.6'!$E27:$E45,'28.6'!$B27:$B45,'TỔNG NHẬP'!$B27)</f>
        <v>0</v>
      </c>
      <c r="AG27" s="225">
        <f>SUMIFS('29.6'!$E27:$E45,'29.6'!$B27:$B45,'TỔNG NHẬP'!$B27)</f>
        <v>0</v>
      </c>
      <c r="AH27" s="225">
        <f>SUMIFS('30.6'!$E27:$E45,'30.6'!$B27:$B45,'TỔNG NHẬP'!$B27)</f>
        <v>0</v>
      </c>
    </row>
    <row r="28" spans="1:34" ht="18.75">
      <c r="A28" s="26"/>
      <c r="B28" s="26"/>
      <c r="C28" s="6"/>
      <c r="D28" s="9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5"/>
      <c r="U28" s="226"/>
      <c r="V28" s="226"/>
      <c r="W28" s="226"/>
      <c r="X28" s="225"/>
      <c r="Y28" s="225"/>
      <c r="Z28" s="225"/>
      <c r="AA28" s="225"/>
      <c r="AB28" s="225"/>
      <c r="AC28" s="225"/>
      <c r="AD28" s="225"/>
      <c r="AE28" s="225"/>
      <c r="AF28" s="225"/>
      <c r="AG28" s="225"/>
      <c r="AH28" s="225"/>
    </row>
    <row r="29" spans="1:34" ht="15.75">
      <c r="A29" s="28"/>
      <c r="B29" s="29"/>
      <c r="C29" s="29"/>
      <c r="D29" s="27"/>
      <c r="E29" s="226"/>
      <c r="F29" s="226"/>
      <c r="G29" s="226"/>
      <c r="H29" s="226"/>
      <c r="I29" s="226"/>
      <c r="J29" s="226"/>
      <c r="K29" s="226"/>
      <c r="L29" s="226"/>
      <c r="M29" s="226"/>
      <c r="N29" s="226" t="s">
        <v>115</v>
      </c>
      <c r="O29" s="226"/>
      <c r="P29" s="226"/>
      <c r="Q29" s="226"/>
      <c r="R29" s="226"/>
      <c r="S29" s="226"/>
      <c r="T29" s="225"/>
      <c r="U29" s="226"/>
      <c r="V29" s="226"/>
      <c r="W29" s="226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</row>
    <row r="30" spans="1:34">
      <c r="E30" s="222">
        <f>E23+E28</f>
        <v>0</v>
      </c>
      <c r="F30" s="222"/>
      <c r="G30" s="222"/>
      <c r="T30" s="225"/>
    </row>
  </sheetData>
  <mergeCells count="8">
    <mergeCell ref="E6:S6"/>
    <mergeCell ref="B2:W2"/>
    <mergeCell ref="A5:C5"/>
    <mergeCell ref="E5:W5"/>
    <mergeCell ref="A6:A7"/>
    <mergeCell ref="B6:B7"/>
    <mergeCell ref="C6:C7"/>
    <mergeCell ref="D6:D7"/>
  </mergeCells>
  <pageMargins left="0.7" right="0.7" top="0.75" bottom="0.75" header="0.3" footer="0.3"/>
  <pageSetup orientation="landscape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I30"/>
  <sheetViews>
    <sheetView topLeftCell="B1" zoomScaleNormal="100" zoomScaleSheetLayoutView="100" workbookViewId="0">
      <pane xSplit="3" ySplit="7" topLeftCell="Z8" activePane="bottomRight" state="frozen"/>
      <selection activeCell="F29" sqref="F29"/>
      <selection pane="topRight" activeCell="F29" sqref="F29"/>
      <selection pane="bottomLeft" activeCell="F29" sqref="F29"/>
      <selection pane="bottomRight" activeCell="AJ25" sqref="AJ25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  <col min="35" max="35" width="0" hidden="1" customWidth="1"/>
  </cols>
  <sheetData>
    <row r="1" spans="1: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35" ht="23.25">
      <c r="A2" s="1"/>
      <c r="B2" s="291" t="s">
        <v>128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</row>
    <row r="3" spans="1:3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35" ht="18.75">
      <c r="A5" s="292" t="s">
        <v>1</v>
      </c>
      <c r="B5" s="292"/>
      <c r="C5" s="292"/>
      <c r="D5" s="217"/>
      <c r="E5" s="314" t="s">
        <v>129</v>
      </c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</row>
    <row r="6" spans="1:35" ht="15.75" customHeight="1">
      <c r="A6" s="295" t="s">
        <v>2</v>
      </c>
      <c r="B6" s="296" t="s">
        <v>3</v>
      </c>
      <c r="C6" s="297" t="s">
        <v>4</v>
      </c>
      <c r="D6" s="289" t="s">
        <v>125</v>
      </c>
      <c r="E6" s="312" t="s">
        <v>1</v>
      </c>
      <c r="F6" s="313"/>
      <c r="G6" s="313"/>
      <c r="H6" s="313"/>
      <c r="I6" s="313"/>
      <c r="J6" s="313"/>
      <c r="K6" s="313"/>
      <c r="L6" s="313"/>
      <c r="M6" s="313"/>
      <c r="N6" s="313"/>
      <c r="O6" s="313"/>
      <c r="P6" s="313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313"/>
      <c r="AD6" s="313"/>
      <c r="AE6" s="313"/>
      <c r="AF6" s="313"/>
      <c r="AG6" s="313"/>
      <c r="AH6" s="313"/>
    </row>
    <row r="7" spans="1:35" ht="15.75" customHeight="1">
      <c r="A7" s="295"/>
      <c r="B7" s="296"/>
      <c r="C7" s="298"/>
      <c r="D7" s="290"/>
      <c r="E7" s="227">
        <v>42887</v>
      </c>
      <c r="F7" s="228">
        <f>E7+1</f>
        <v>42888</v>
      </c>
      <c r="G7" s="228">
        <f t="shared" ref="G7:AI7" si="0">F7+1</f>
        <v>42889</v>
      </c>
      <c r="H7" s="228">
        <f t="shared" si="0"/>
        <v>42890</v>
      </c>
      <c r="I7" s="228">
        <f t="shared" si="0"/>
        <v>42891</v>
      </c>
      <c r="J7" s="228">
        <f t="shared" si="0"/>
        <v>42892</v>
      </c>
      <c r="K7" s="228">
        <f t="shared" si="0"/>
        <v>42893</v>
      </c>
      <c r="L7" s="228">
        <f t="shared" si="0"/>
        <v>42894</v>
      </c>
      <c r="M7" s="228">
        <f t="shared" si="0"/>
        <v>42895</v>
      </c>
      <c r="N7" s="228">
        <f t="shared" si="0"/>
        <v>42896</v>
      </c>
      <c r="O7" s="228">
        <f t="shared" si="0"/>
        <v>42897</v>
      </c>
      <c r="P7" s="228">
        <f t="shared" si="0"/>
        <v>42898</v>
      </c>
      <c r="Q7" s="228">
        <f t="shared" si="0"/>
        <v>42899</v>
      </c>
      <c r="R7" s="228">
        <f t="shared" si="0"/>
        <v>42900</v>
      </c>
      <c r="S7" s="228">
        <f t="shared" si="0"/>
        <v>42901</v>
      </c>
      <c r="T7" s="228">
        <f t="shared" si="0"/>
        <v>42902</v>
      </c>
      <c r="U7" s="228">
        <f t="shared" si="0"/>
        <v>42903</v>
      </c>
      <c r="V7" s="228">
        <f t="shared" si="0"/>
        <v>42904</v>
      </c>
      <c r="W7" s="228">
        <f t="shared" si="0"/>
        <v>42905</v>
      </c>
      <c r="X7" s="228">
        <f t="shared" si="0"/>
        <v>42906</v>
      </c>
      <c r="Y7" s="228">
        <f t="shared" si="0"/>
        <v>42907</v>
      </c>
      <c r="Z7" s="228">
        <f t="shared" si="0"/>
        <v>42908</v>
      </c>
      <c r="AA7" s="228">
        <f t="shared" si="0"/>
        <v>42909</v>
      </c>
      <c r="AB7" s="228">
        <f t="shared" si="0"/>
        <v>42910</v>
      </c>
      <c r="AC7" s="228">
        <f t="shared" si="0"/>
        <v>42911</v>
      </c>
      <c r="AD7" s="228">
        <f t="shared" si="0"/>
        <v>42912</v>
      </c>
      <c r="AE7" s="228">
        <f t="shared" si="0"/>
        <v>42913</v>
      </c>
      <c r="AF7" s="228">
        <f>AE7+1</f>
        <v>42914</v>
      </c>
      <c r="AG7" s="228">
        <f t="shared" si="0"/>
        <v>42915</v>
      </c>
      <c r="AH7" s="228">
        <f t="shared" si="0"/>
        <v>42916</v>
      </c>
      <c r="AI7" s="228">
        <f t="shared" si="0"/>
        <v>42917</v>
      </c>
    </row>
    <row r="8" spans="1:35" ht="18.75">
      <c r="A8" s="6">
        <v>1</v>
      </c>
      <c r="B8" s="7" t="s">
        <v>12</v>
      </c>
      <c r="C8" s="8" t="s">
        <v>13</v>
      </c>
      <c r="D8" s="9">
        <f>SUM(E8:AH8)</f>
        <v>7486</v>
      </c>
      <c r="E8" s="225">
        <f>SUMIFS('1.6'!$U8:$U26,'1.6'!$B8:$B26,'TỔNG XUẤT'!$B8)</f>
        <v>210</v>
      </c>
      <c r="F8" s="225">
        <f>SUMIFS('2.6'!$U8:$U26,'2.6'!$B8:$B26,'TỔNG XUẤT'!$B8)</f>
        <v>320</v>
      </c>
      <c r="G8" s="225">
        <f>SUMIFS('3.6'!$U8:$U26,'3.6'!$B8:$B26,'TỔNG XUẤT'!$B8)</f>
        <v>300</v>
      </c>
      <c r="H8" s="225">
        <f>SUMIFS('4.6'!$U8:$U26,'4.6'!$B8:$B26,'TỔNG XUẤT'!$B8)</f>
        <v>0</v>
      </c>
      <c r="I8" s="225">
        <f>SUMIFS('5.6'!$U8:$U26,'5.6'!$B8:$B26,'TỔNG XUẤT'!$B8)</f>
        <v>60</v>
      </c>
      <c r="J8" s="225">
        <f>SUMIFS('6.6'!$U8:$U26,'6.6'!$B8:$B26,'TỔNG XUẤT'!$B8)</f>
        <v>430</v>
      </c>
      <c r="K8" s="225">
        <f>SUMIFS('7.6'!$U8:$U26,'7.6'!$B8:$B26,'TỔNG XUẤT'!$B8)</f>
        <v>430</v>
      </c>
      <c r="L8" s="225">
        <f>SUMIFS('8.6'!$U8:$U26,'8.6'!$B8:$B26,'TỔNG XUẤT'!$B8)</f>
        <v>190</v>
      </c>
      <c r="M8" s="225">
        <f>SUMIFS('9.6'!$U8:$U26,'9.6'!$B8:$B26,'TỔNG XUẤT'!$B8)</f>
        <v>230</v>
      </c>
      <c r="N8" s="225">
        <f>SUMIFS('10.6'!$U8:$U26,'10.6'!$B8:$B26,'TỔNG XUẤT'!$B8)</f>
        <v>350</v>
      </c>
      <c r="O8" s="225">
        <f>SUMIFS('11.6'!$U8:$U26,'11.6'!$B8:$B26,'TỔNG XUẤT'!$B8)</f>
        <v>100</v>
      </c>
      <c r="P8" s="225">
        <f>SUMIFS('12.6'!$U8:$U26,'12.6'!$B8:$B26,'TỔNG XUẤT'!$B8)</f>
        <v>160</v>
      </c>
      <c r="Q8" s="225">
        <f>SUMIFS('13.6'!$U8:$U26,'13.6'!$B8:$B26,'TỔNG XUẤT'!$B8)</f>
        <v>410</v>
      </c>
      <c r="R8" s="225">
        <f>SUMIFS('14.6'!$U8:$U26,'14.6'!$B8:$B26,'TỔNG XUẤT'!$B8)</f>
        <v>430</v>
      </c>
      <c r="S8" s="225">
        <f>SUMIFS('15.6'!$U8:$U26,'15.6'!$B8:$B26,'TỔNG XUẤT'!$B8)</f>
        <v>365</v>
      </c>
      <c r="T8" s="225">
        <f>SUMIFS('16.6'!$U8:$U26,'16.6'!$B8:$B26,'TỔNG XUẤT'!$B8)</f>
        <v>290</v>
      </c>
      <c r="U8" s="225">
        <f>SUMIFS('17.6'!$U8:$U26,'17.6'!$B8:$B26,'TỔNG XUẤT'!$B8)</f>
        <v>300</v>
      </c>
      <c r="V8" s="225">
        <f>SUMIFS('18.6'!$U8:$U26,'18.6'!$B8:$B26,'TỔNG XUẤT'!$B8)</f>
        <v>0</v>
      </c>
      <c r="W8" s="225">
        <f>SUMIFS('19.6'!$U8:$U26,'19.6'!$B8:$B26,'TỔNG XUẤT'!$B8)</f>
        <v>60</v>
      </c>
      <c r="X8" s="225">
        <f>SUMIFS('20.6'!$U8:$U26,'20.6'!$B8:$B26,'TỔNG XUẤT'!$B8)</f>
        <v>356</v>
      </c>
      <c r="Y8" s="225">
        <f>SUMIFS('21.6'!$U8:$U26,'21.6'!$B8:$B26,'TỔNG XUẤT'!$B8)</f>
        <v>300</v>
      </c>
      <c r="Z8" s="225">
        <f>SUMIFS('22.6'!$U8:$U26,'22.6'!$B8:$B26,'TỔNG XUẤT'!$B8)</f>
        <v>225</v>
      </c>
      <c r="AA8" s="225">
        <f>SUMIFS('23.6'!$U8:$U26,'23.6'!$B8:$B26,'TỔNG XUẤT'!$B8)</f>
        <v>410</v>
      </c>
      <c r="AB8" s="225">
        <f>SUMIFS('24.6'!$U8:$U26,'24.6'!$B8:$B26,'TỔNG XUẤT'!$B8)</f>
        <v>500</v>
      </c>
      <c r="AC8" s="225">
        <f>SUMIFS('25.6'!$U8:$U26,'25.6'!$B8:$B26,'TỔNG XUẤT'!$B8)</f>
        <v>0</v>
      </c>
      <c r="AD8" s="225">
        <f>SUMIFS('26.6'!$U8:$U26,'26.6'!$B8:$B26,'TỔNG XUẤT'!$B8)</f>
        <v>230</v>
      </c>
      <c r="AE8" s="225">
        <f>SUMIFS('27.6'!$U8:$U26,'27.6'!$B8:$B26,'TỔNG XUẤT'!$B8)</f>
        <v>140</v>
      </c>
      <c r="AF8" s="225">
        <f>SUMIFS('28.6'!$U8:$U26,'28.6'!$B8:$B26,'TỔNG XUẤT'!$B8)</f>
        <v>320</v>
      </c>
      <c r="AG8" s="225">
        <f>SUMIFS('29.6'!$U8:$U26,'29.6'!$B8:$B26,'TỔNG XUẤT'!$B8)</f>
        <v>230</v>
      </c>
      <c r="AH8" s="225">
        <f>SUMIFS('30.6'!$U8:$U26,'30.6'!$B8:$B26,'TỔNG XUẤT'!$B8)</f>
        <v>140</v>
      </c>
      <c r="AI8" s="11"/>
    </row>
    <row r="9" spans="1:35" ht="18.75">
      <c r="A9" s="6">
        <v>3</v>
      </c>
      <c r="B9" s="12" t="s">
        <v>15</v>
      </c>
      <c r="C9" s="8" t="s">
        <v>13</v>
      </c>
      <c r="D9" s="9">
        <f t="shared" ref="D9:D26" si="1">SUM(E9:AH9)</f>
        <v>4410</v>
      </c>
      <c r="E9" s="225">
        <f>SUMIFS('1.6'!$U9:$U27,'1.6'!$B9:$B27,'TỔNG XUẤT'!$B9)</f>
        <v>80</v>
      </c>
      <c r="F9" s="225">
        <f>SUMIFS('2.6'!$U9:$U27,'2.6'!$B9:$B27,'TỔNG XUẤT'!$B9)</f>
        <v>140</v>
      </c>
      <c r="G9" s="225">
        <f>SUMIFS('3.6'!$U9:$U27,'3.6'!$B9:$B27,'TỔNG XUẤT'!$B9)</f>
        <v>100</v>
      </c>
      <c r="H9" s="225">
        <f>SUMIFS('4.6'!$U9:$U27,'4.6'!$B9:$B27,'TỔNG XUẤT'!$B9)</f>
        <v>0</v>
      </c>
      <c r="I9" s="225">
        <f>SUMIFS('5.6'!$U9:$U27,'5.6'!$B9:$B27,'TỔNG XUẤT'!$B9)</f>
        <v>120</v>
      </c>
      <c r="J9" s="225">
        <f>SUMIFS('6.6'!$U9:$U27,'6.6'!$B9:$B27,'TỔNG XUẤT'!$B9)</f>
        <v>210</v>
      </c>
      <c r="K9" s="225">
        <f>SUMIFS('7.6'!$U9:$U27,'7.6'!$B9:$B27,'TỔNG XUẤT'!$B9)</f>
        <v>190</v>
      </c>
      <c r="L9" s="225">
        <f>SUMIFS('8.6'!$U9:$U27,'8.6'!$B9:$B27,'TỔNG XUẤT'!$B9)</f>
        <v>100</v>
      </c>
      <c r="M9" s="225">
        <f>SUMIFS('9.6'!$U9:$U27,'9.6'!$B9:$B27,'TỔNG XUẤT'!$B9)</f>
        <v>40</v>
      </c>
      <c r="N9" s="225">
        <f>SUMIFS('10.6'!$U9:$U27,'10.6'!$B9:$B27,'TỔNG XUẤT'!$B9)</f>
        <v>100</v>
      </c>
      <c r="O9" s="225">
        <f>SUMIFS('11.6'!$U9:$U27,'11.6'!$B9:$B27,'TỔNG XUẤT'!$B9)</f>
        <v>0</v>
      </c>
      <c r="P9" s="225">
        <f>SUMIFS('12.6'!$U9:$U27,'12.6'!$B9:$B27,'TỔNG XUẤT'!$B9)</f>
        <v>50</v>
      </c>
      <c r="Q9" s="225">
        <f>SUMIFS('13.6'!$U9:$U27,'13.6'!$B9:$B27,'TỔNG XUẤT'!$B9)</f>
        <v>170</v>
      </c>
      <c r="R9" s="225">
        <f>SUMIFS('14.6'!$U9:$U27,'14.6'!$B9:$B27,'TỔNG XUẤT'!$B9)</f>
        <v>190</v>
      </c>
      <c r="S9" s="225">
        <f>SUMIFS('15.6'!$U9:$U27,'15.6'!$B9:$B27,'TỔNG XUẤT'!$B9)</f>
        <v>190</v>
      </c>
      <c r="T9" s="225">
        <f>SUMIFS('16.6'!$U9:$U27,'16.6'!$B9:$B27,'TỔNG XUẤT'!$B9)</f>
        <v>220</v>
      </c>
      <c r="U9" s="225">
        <f>SUMIFS('17.6'!$U9:$U27,'17.6'!$B9:$B27,'TỔNG XUẤT'!$B9)</f>
        <v>160</v>
      </c>
      <c r="V9" s="225">
        <f>SUMIFS('18.6'!$U9:$U27,'18.6'!$B9:$B27,'TỔNG XUẤT'!$B9)</f>
        <v>0</v>
      </c>
      <c r="W9" s="225">
        <f>SUMIFS('19.6'!$U9:$U27,'19.6'!$B9:$B27,'TỔNG XUẤT'!$B9)</f>
        <v>60</v>
      </c>
      <c r="X9" s="225">
        <f>SUMIFS('20.6'!$U9:$U27,'20.6'!$B9:$B27,'TỔNG XUẤT'!$B9)</f>
        <v>220</v>
      </c>
      <c r="Y9" s="225">
        <f>SUMIFS('21.6'!$U9:$U27,'21.6'!$B9:$B27,'TỔNG XUẤT'!$B9)</f>
        <v>190</v>
      </c>
      <c r="Z9" s="225">
        <f>SUMIFS('22.6'!$U9:$U27,'22.6'!$B9:$B27,'TỔNG XUẤT'!$B9)</f>
        <v>80</v>
      </c>
      <c r="AA9" s="225">
        <f>SUMIFS('23.6'!$U9:$U27,'23.6'!$B9:$B27,'TỔNG XUẤT'!$B9)</f>
        <v>230</v>
      </c>
      <c r="AB9" s="225">
        <f>SUMIFS('24.6'!$U9:$U27,'24.6'!$B9:$B27,'TỔNG XUẤT'!$B9)</f>
        <v>60</v>
      </c>
      <c r="AC9" s="225">
        <f>SUMIFS('25.6'!$U9:$U27,'25.6'!$B9:$B27,'TỔNG XUẤT'!$B9)</f>
        <v>50</v>
      </c>
      <c r="AD9" s="225">
        <f>SUMIFS('26.6'!$U9:$U27,'26.6'!$B9:$B27,'TỔNG XUẤT'!$B9)</f>
        <v>140</v>
      </c>
      <c r="AE9" s="225">
        <f>SUMIFS('27.6'!$U9:$U27,'27.6'!$B9:$B27,'TỔNG XUẤT'!$B9)</f>
        <v>110</v>
      </c>
      <c r="AF9" s="225">
        <f>SUMIFS('28.6'!$U9:$U27,'28.6'!$B9:$B27,'TỔNG XUẤT'!$B9)</f>
        <v>230</v>
      </c>
      <c r="AG9" s="225">
        <f>SUMIFS('29.6'!$U9:$U27,'29.6'!$B9:$B27,'TỔNG XUẤT'!$B9)</f>
        <v>870</v>
      </c>
      <c r="AH9" s="225">
        <f>SUMIFS('30.6'!$U9:$U27,'30.6'!$B9:$B27,'TỔNG XUẤT'!$B9)</f>
        <v>110</v>
      </c>
      <c r="AI9" s="11"/>
    </row>
    <row r="10" spans="1:35" ht="18.75">
      <c r="A10" s="6">
        <v>5</v>
      </c>
      <c r="B10" s="15" t="s">
        <v>18</v>
      </c>
      <c r="C10" s="6" t="s">
        <v>17</v>
      </c>
      <c r="D10" s="9">
        <f t="shared" si="1"/>
        <v>3760</v>
      </c>
      <c r="E10" s="225">
        <f>SUMIFS('1.6'!$U10:$U28,'1.6'!$B10:$B28,'TỔNG XUẤT'!$B10)</f>
        <v>70</v>
      </c>
      <c r="F10" s="225">
        <f>SUMIFS('2.6'!$U10:$U28,'2.6'!$B10:$B28,'TỔNG XUẤT'!$B10)</f>
        <v>170</v>
      </c>
      <c r="G10" s="225">
        <f>SUMIFS('3.6'!$U10:$U28,'3.6'!$B10:$B28,'TỔNG XUẤT'!$B10)</f>
        <v>100</v>
      </c>
      <c r="H10" s="225">
        <f>SUMIFS('4.6'!$U10:$U28,'4.6'!$B10:$B28,'TỔNG XUẤT'!$B10)</f>
        <v>0</v>
      </c>
      <c r="I10" s="225">
        <f>SUMIFS('5.6'!$U10:$U28,'5.6'!$B10:$B28,'TỔNG XUẤT'!$B10)</f>
        <v>120</v>
      </c>
      <c r="J10" s="225">
        <f>SUMIFS('6.6'!$U10:$U28,'6.6'!$B10:$B28,'TỔNG XUẤT'!$B10)</f>
        <v>230</v>
      </c>
      <c r="K10" s="225">
        <f>SUMIFS('7.6'!$U10:$U28,'7.6'!$B10:$B28,'TỔNG XUẤT'!$B10)</f>
        <v>150</v>
      </c>
      <c r="L10" s="225">
        <f>SUMIFS('8.6'!$U10:$U28,'8.6'!$B10:$B28,'TỔNG XUẤT'!$B10)</f>
        <v>80</v>
      </c>
      <c r="M10" s="225">
        <f>SUMIFS('9.6'!$U10:$U28,'9.6'!$B10:$B28,'TỔNG XUẤT'!$B10)</f>
        <v>60</v>
      </c>
      <c r="N10" s="225">
        <f>SUMIFS('10.6'!$U10:$U28,'10.6'!$B10:$B28,'TỔNG XUẤT'!$B10)</f>
        <v>100</v>
      </c>
      <c r="O10" s="225">
        <f>SUMIFS('11.6'!$U10:$U28,'11.6'!$B10:$B28,'TỔNG XUẤT'!$B10)</f>
        <v>0</v>
      </c>
      <c r="P10" s="225">
        <f>SUMIFS('12.6'!$U10:$U28,'12.6'!$B10:$B28,'TỔNG XUẤT'!$B10)</f>
        <v>70</v>
      </c>
      <c r="Q10" s="225">
        <f>SUMIFS('13.6'!$U10:$U28,'13.6'!$B10:$B28,'TỔNG XUẤT'!$B10)</f>
        <v>280</v>
      </c>
      <c r="R10" s="225">
        <f>SUMIFS('14.6'!$U10:$U28,'14.6'!$B10:$B28,'TỔNG XUẤT'!$B10)</f>
        <v>140</v>
      </c>
      <c r="S10" s="225">
        <f>SUMIFS('15.6'!$U10:$U28,'15.6'!$B10:$B28,'TỔNG XUẤT'!$B10)</f>
        <v>120</v>
      </c>
      <c r="T10" s="225">
        <f>SUMIFS('16.6'!$U10:$U28,'16.6'!$B10:$B28,'TỔNG XUẤT'!$B10)</f>
        <v>220</v>
      </c>
      <c r="U10" s="225">
        <f>SUMIFS('17.6'!$U10:$U28,'17.6'!$B10:$B28,'TỔNG XUẤT'!$B10)</f>
        <v>80</v>
      </c>
      <c r="V10" s="225">
        <f>SUMIFS('18.6'!$U10:$U28,'18.6'!$B10:$B28,'TỔNG XUẤT'!$B10)</f>
        <v>0</v>
      </c>
      <c r="W10" s="225">
        <f>SUMIFS('19.6'!$U10:$U28,'19.6'!$B10:$B28,'TỔNG XUẤT'!$B10)</f>
        <v>40</v>
      </c>
      <c r="X10" s="225">
        <f>SUMIFS('20.6'!$U10:$U28,'20.6'!$B10:$B28,'TỔNG XUẤT'!$B10)</f>
        <v>290</v>
      </c>
      <c r="Y10" s="225">
        <f>SUMIFS('21.6'!$U10:$U28,'21.6'!$B10:$B28,'TỔNG XUẤT'!$B10)</f>
        <v>170</v>
      </c>
      <c r="Z10" s="225">
        <f>SUMIFS('22.6'!$U10:$U28,'22.6'!$B10:$B28,'TỔNG XUẤT'!$B10)</f>
        <v>50</v>
      </c>
      <c r="AA10" s="225">
        <f>SUMIFS('23.6'!$U10:$U28,'23.6'!$B10:$B28,'TỔNG XUẤT'!$B10)</f>
        <v>230</v>
      </c>
      <c r="AB10" s="225">
        <f>SUMIFS('24.6'!$U10:$U28,'24.6'!$B10:$B28,'TỔNG XUẤT'!$B10)</f>
        <v>100</v>
      </c>
      <c r="AC10" s="225">
        <f>SUMIFS('25.6'!$U10:$U28,'25.6'!$B10:$B28,'TỔNG XUẤT'!$B10)</f>
        <v>50</v>
      </c>
      <c r="AD10" s="225">
        <f>SUMIFS('26.6'!$U10:$U28,'26.6'!$B10:$B28,'TỔNG XUẤT'!$B10)</f>
        <v>220</v>
      </c>
      <c r="AE10" s="225">
        <f>SUMIFS('27.6'!$U10:$U28,'27.6'!$B10:$B28,'TỔNG XUẤT'!$B10)</f>
        <v>110</v>
      </c>
      <c r="AF10" s="225">
        <f>SUMIFS('28.6'!$U10:$U28,'28.6'!$B10:$B28,'TỔNG XUẤT'!$B10)</f>
        <v>190</v>
      </c>
      <c r="AG10" s="225">
        <f>SUMIFS('29.6'!$U10:$U28,'29.6'!$B10:$B28,'TỔNG XUẤT'!$B10)</f>
        <v>210</v>
      </c>
      <c r="AH10" s="225">
        <f>SUMIFS('30.6'!$U10:$U28,'30.6'!$B10:$B28,'TỔNG XUẤT'!$B10)</f>
        <v>110</v>
      </c>
      <c r="AI10" s="11"/>
    </row>
    <row r="11" spans="1:35" ht="18.75">
      <c r="A11" s="6">
        <v>6</v>
      </c>
      <c r="B11" s="16" t="s">
        <v>19</v>
      </c>
      <c r="C11" s="17" t="s">
        <v>17</v>
      </c>
      <c r="D11" s="9">
        <f t="shared" si="1"/>
        <v>3540</v>
      </c>
      <c r="E11" s="225">
        <f>SUMIFS('1.6'!$U11:$U29,'1.6'!$B11:$B29,'TỔNG XUẤT'!$B11)</f>
        <v>80</v>
      </c>
      <c r="F11" s="225">
        <f>SUMIFS('2.6'!$U11:$U29,'2.6'!$B11:$B29,'TỔNG XUẤT'!$B11)</f>
        <v>170</v>
      </c>
      <c r="G11" s="225">
        <f>SUMIFS('3.6'!$U11:$U29,'3.6'!$B11:$B29,'TỔNG XUẤT'!$B11)</f>
        <v>100</v>
      </c>
      <c r="H11" s="225">
        <f>SUMIFS('4.6'!$U11:$U29,'4.6'!$B11:$B29,'TỔNG XUẤT'!$B11)</f>
        <v>0</v>
      </c>
      <c r="I11" s="225">
        <f>SUMIFS('5.6'!$U11:$U29,'5.6'!$B11:$B29,'TỔNG XUẤT'!$B11)</f>
        <v>110</v>
      </c>
      <c r="J11" s="225">
        <f>SUMIFS('6.6'!$U11:$U29,'6.6'!$B11:$B29,'TỔNG XUẤT'!$B11)</f>
        <v>230</v>
      </c>
      <c r="K11" s="225">
        <f>SUMIFS('7.6'!$U11:$U29,'7.6'!$B11:$B29,'TỔNG XUẤT'!$B11)</f>
        <v>170</v>
      </c>
      <c r="L11" s="225">
        <f>SUMIFS('8.6'!$U11:$U29,'8.6'!$B11:$B29,'TỔNG XUẤT'!$B11)</f>
        <v>100</v>
      </c>
      <c r="M11" s="225">
        <f>SUMIFS('9.6'!$U11:$U29,'9.6'!$B11:$B29,'TỔNG XUẤT'!$B11)</f>
        <v>60</v>
      </c>
      <c r="N11" s="225">
        <f>SUMIFS('10.6'!$U11:$U29,'10.6'!$B11:$B29,'TỔNG XUẤT'!$B11)</f>
        <v>150</v>
      </c>
      <c r="O11" s="225">
        <f>SUMIFS('11.6'!$U11:$U29,'11.6'!$B11:$B29,'TỔNG XUẤT'!$B11)</f>
        <v>0</v>
      </c>
      <c r="P11" s="225">
        <f>SUMIFS('12.6'!$U11:$U29,'12.6'!$B11:$B29,'TỔNG XUẤT'!$B11)</f>
        <v>40</v>
      </c>
      <c r="Q11" s="225">
        <f>SUMIFS('13.6'!$U11:$U29,'13.6'!$B11:$B29,'TỔNG XUẤT'!$B11)</f>
        <v>210</v>
      </c>
      <c r="R11" s="225">
        <f>SUMIFS('14.6'!$U11:$U29,'14.6'!$B11:$B29,'TỔNG XUẤT'!$B11)</f>
        <v>160</v>
      </c>
      <c r="S11" s="225">
        <f>SUMIFS('15.6'!$U11:$U29,'15.6'!$B11:$B29,'TỔNG XUẤT'!$B11)</f>
        <v>120</v>
      </c>
      <c r="T11" s="225">
        <f>SUMIFS('16.6'!$U11:$U29,'16.6'!$B11:$B29,'TỔNG XUẤT'!$B11)</f>
        <v>220</v>
      </c>
      <c r="U11" s="225">
        <f>SUMIFS('17.6'!$U11:$U29,'17.6'!$B11:$B29,'TỔNG XUẤT'!$B11)</f>
        <v>70</v>
      </c>
      <c r="V11" s="225">
        <f>SUMIFS('18.6'!$U11:$U29,'18.6'!$B11:$B29,'TỔNG XUẤT'!$B11)</f>
        <v>0</v>
      </c>
      <c r="W11" s="225">
        <f>SUMIFS('19.6'!$U11:$U29,'19.6'!$B11:$B29,'TỔNG XUẤT'!$B11)</f>
        <v>50</v>
      </c>
      <c r="X11" s="225">
        <f>SUMIFS('20.6'!$U11:$U29,'20.6'!$B11:$B29,'TỔNG XUẤT'!$B11)</f>
        <v>240</v>
      </c>
      <c r="Y11" s="225">
        <f>SUMIFS('21.6'!$U11:$U29,'21.6'!$B11:$B29,'TỔNG XUẤT'!$B11)</f>
        <v>140</v>
      </c>
      <c r="Z11" s="225">
        <f>SUMIFS('22.6'!$U11:$U29,'22.6'!$B11:$B29,'TỔNG XUẤT'!$B11)</f>
        <v>90</v>
      </c>
      <c r="AA11" s="225">
        <f>SUMIFS('23.6'!$U11:$U29,'23.6'!$B11:$B29,'TỔNG XUẤT'!$B11)</f>
        <v>230</v>
      </c>
      <c r="AB11" s="225">
        <f>SUMIFS('24.6'!$U11:$U29,'24.6'!$B11:$B29,'TỔNG XUẤT'!$B11)</f>
        <v>60</v>
      </c>
      <c r="AC11" s="225">
        <f>SUMIFS('25.6'!$U11:$U29,'25.6'!$B11:$B29,'TỔNG XUẤT'!$B11)</f>
        <v>50</v>
      </c>
      <c r="AD11" s="225">
        <f>SUMIFS('26.6'!$U11:$U29,'26.6'!$B11:$B29,'TỔNG XUẤT'!$B11)</f>
        <v>130</v>
      </c>
      <c r="AE11" s="225">
        <f>SUMIFS('27.6'!$U11:$U29,'27.6'!$B11:$B29,'TỔNG XUẤT'!$B11)</f>
        <v>90</v>
      </c>
      <c r="AF11" s="225">
        <f>SUMIFS('28.6'!$U11:$U29,'28.6'!$B11:$B29,'TỔNG XUẤT'!$B11)</f>
        <v>190</v>
      </c>
      <c r="AG11" s="225">
        <f>SUMIFS('29.6'!$U11:$U29,'29.6'!$B11:$B29,'TỔNG XUẤT'!$B11)</f>
        <v>170</v>
      </c>
      <c r="AH11" s="225">
        <f>SUMIFS('30.6'!$U11:$U29,'30.6'!$B11:$B29,'TỔNG XUẤT'!$B11)</f>
        <v>110</v>
      </c>
      <c r="AI11" s="11"/>
    </row>
    <row r="12" spans="1:35" ht="18.75">
      <c r="A12" s="6">
        <v>9</v>
      </c>
      <c r="B12" s="15" t="s">
        <v>23</v>
      </c>
      <c r="C12" s="8" t="s">
        <v>24</v>
      </c>
      <c r="D12" s="9">
        <f t="shared" si="1"/>
        <v>83</v>
      </c>
      <c r="E12" s="225">
        <f>SUMIFS('1.6'!$U12:$U30,'1.6'!$B12:$B30,'TỔNG XUẤT'!$B12)</f>
        <v>2</v>
      </c>
      <c r="F12" s="225">
        <f>SUMIFS('2.6'!$U12:$U30,'2.6'!$B12:$B30,'TỔNG XUẤT'!$B12)</f>
        <v>4</v>
      </c>
      <c r="G12" s="225">
        <f>SUMIFS('3.6'!$U12:$U30,'3.6'!$B12:$B30,'TỔNG XUẤT'!$B12)</f>
        <v>1</v>
      </c>
      <c r="H12" s="225">
        <f>SUMIFS('4.6'!$U12:$U30,'4.6'!$B12:$B30,'TỔNG XUẤT'!$B12)</f>
        <v>1</v>
      </c>
      <c r="I12" s="225">
        <f>SUMIFS('5.6'!$U12:$U30,'5.6'!$B12:$B30,'TỔNG XUẤT'!$B12)</f>
        <v>2</v>
      </c>
      <c r="J12" s="225">
        <f>SUMIFS('6.6'!$U12:$U30,'6.6'!$B12:$B30,'TỔNG XUẤT'!$B12)</f>
        <v>3</v>
      </c>
      <c r="K12" s="225">
        <f>SUMIFS('7.6'!$U12:$U30,'7.6'!$B12:$B30,'TỔNG XUẤT'!$B12)</f>
        <v>3</v>
      </c>
      <c r="L12" s="225">
        <f>SUMIFS('8.6'!$U12:$U30,'8.6'!$B12:$B30,'TỔNG XUẤT'!$B12)</f>
        <v>2</v>
      </c>
      <c r="M12" s="225">
        <f>SUMIFS('9.6'!$U12:$U30,'9.6'!$B12:$B30,'TỔNG XUẤT'!$B12)</f>
        <v>6</v>
      </c>
      <c r="N12" s="225">
        <f>SUMIFS('10.6'!$U12:$U30,'10.6'!$B12:$B30,'TỔNG XUẤT'!$B12)</f>
        <v>0</v>
      </c>
      <c r="O12" s="225">
        <f>SUMIFS('11.6'!$U12:$U30,'11.6'!$B12:$B30,'TỔNG XUẤT'!$B12)</f>
        <v>1</v>
      </c>
      <c r="P12" s="225">
        <f>SUMIFS('12.6'!$U12:$U30,'12.6'!$B12:$B30,'TỔNG XUẤT'!$B12)</f>
        <v>1</v>
      </c>
      <c r="Q12" s="225">
        <f>SUMIFS('13.6'!$U12:$U30,'13.6'!$B12:$B30,'TỔNG XUẤT'!$B12)</f>
        <v>5</v>
      </c>
      <c r="R12" s="225">
        <f>SUMIFS('14.6'!$U12:$U30,'14.6'!$B12:$B30,'TỔNG XUẤT'!$B12)</f>
        <v>4</v>
      </c>
      <c r="S12" s="225">
        <f>SUMIFS('15.6'!$U12:$U30,'15.6'!$B12:$B30,'TỔNG XUẤT'!$B12)</f>
        <v>1</v>
      </c>
      <c r="T12" s="225">
        <f>SUMIFS('16.6'!$U12:$U30,'16.6'!$B12:$B30,'TỔNG XUẤT'!$B12)</f>
        <v>4</v>
      </c>
      <c r="U12" s="225">
        <f>SUMIFS('17.6'!$U12:$U30,'17.6'!$B12:$B30,'TỔNG XUẤT'!$B12)</f>
        <v>4</v>
      </c>
      <c r="V12" s="225">
        <f>SUMIFS('18.6'!$U12:$U30,'18.6'!$B12:$B30,'TỔNG XUẤT'!$B12)</f>
        <v>0</v>
      </c>
      <c r="W12" s="225">
        <f>SUMIFS('19.6'!$U12:$U30,'19.6'!$B12:$B30,'TỔNG XUẤT'!$B12)</f>
        <v>4</v>
      </c>
      <c r="X12" s="225">
        <f>SUMIFS('20.6'!$U12:$U30,'20.6'!$B12:$B30,'TỔNG XUẤT'!$B12)</f>
        <v>4</v>
      </c>
      <c r="Y12" s="225">
        <f>SUMIFS('21.6'!$U12:$U30,'21.6'!$B12:$B30,'TỔNG XUẤT'!$B12)</f>
        <v>4</v>
      </c>
      <c r="Z12" s="225">
        <f>SUMIFS('22.6'!$U12:$U30,'22.6'!$B12:$B30,'TỔNG XUẤT'!$B12)</f>
        <v>2</v>
      </c>
      <c r="AA12" s="225">
        <f>SUMIFS('23.6'!$U12:$U30,'23.6'!$B12:$B30,'TỔNG XUẤT'!$B12)</f>
        <v>4</v>
      </c>
      <c r="AB12" s="225">
        <f>SUMIFS('24.6'!$U12:$U30,'24.6'!$B12:$B30,'TỔNG XUẤT'!$B12)</f>
        <v>2</v>
      </c>
      <c r="AC12" s="225">
        <f>SUMIFS('25.6'!$U12:$U30,'25.6'!$B12:$B30,'TỔNG XUẤT'!$B12)</f>
        <v>0</v>
      </c>
      <c r="AD12" s="225">
        <f>SUMIFS('26.6'!$U12:$U30,'26.6'!$B12:$B30,'TỔNG XUẤT'!$B12)</f>
        <v>4</v>
      </c>
      <c r="AE12" s="225">
        <f>SUMIFS('27.6'!$U12:$U30,'27.6'!$B12:$B30,'TỔNG XUẤT'!$B12)</f>
        <v>5</v>
      </c>
      <c r="AF12" s="225">
        <f>SUMIFS('28.6'!$U12:$U30,'28.6'!$B12:$B30,'TỔNG XUẤT'!$B12)</f>
        <v>4</v>
      </c>
      <c r="AG12" s="225">
        <f>SUMIFS('29.6'!$U12:$U30,'29.6'!$B12:$B30,'TỔNG XUẤT'!$B12)</f>
        <v>3</v>
      </c>
      <c r="AH12" s="225">
        <f>SUMIFS('30.6'!$U12:$U30,'30.6'!$B12:$B30,'TỔNG XUẤT'!$B12)</f>
        <v>3</v>
      </c>
      <c r="AI12" s="11"/>
    </row>
    <row r="13" spans="1:35" ht="18.75">
      <c r="A13" s="6">
        <v>10</v>
      </c>
      <c r="B13" s="223" t="s">
        <v>16</v>
      </c>
      <c r="C13" s="6" t="s">
        <v>13</v>
      </c>
      <c r="D13" s="9">
        <f t="shared" si="1"/>
        <v>120930</v>
      </c>
      <c r="E13" s="225">
        <f>SUMIFS('1.6'!$U13:$U31,'1.6'!$B13:$B31,'TỔNG XUẤT'!$B13)</f>
        <v>4300</v>
      </c>
      <c r="F13" s="225">
        <f>SUMIFS('2.6'!$U13:$U31,'2.6'!$B13:$B31,'TỔNG XUẤT'!$B13)</f>
        <v>4500</v>
      </c>
      <c r="G13" s="225">
        <f>SUMIFS('3.6'!$U13:$U31,'3.6'!$B13:$B31,'TỔNG XUẤT'!$B13)</f>
        <v>5700</v>
      </c>
      <c r="H13" s="225">
        <f>SUMIFS('4.6'!$U13:$U31,'4.6'!$B13:$B31,'TỔNG XUẤT'!$B13)</f>
        <v>3150</v>
      </c>
      <c r="I13" s="225">
        <f>SUMIFS('5.6'!$U13:$U31,'5.6'!$B13:$B31,'TỔNG XUẤT'!$B13)</f>
        <v>3300</v>
      </c>
      <c r="J13" s="225">
        <f>SUMIFS('6.6'!$U13:$U31,'6.6'!$B13:$B31,'TỔNG XUẤT'!$B13)</f>
        <v>3300</v>
      </c>
      <c r="K13" s="225">
        <f>SUMIFS('7.6'!$U13:$U31,'7.6'!$B13:$B31,'TỔNG XUẤT'!$B13)</f>
        <v>3700</v>
      </c>
      <c r="L13" s="225">
        <f>SUMIFS('8.6'!$U13:$U31,'8.6'!$B13:$B31,'TỔNG XUẤT'!$B13)</f>
        <v>4300</v>
      </c>
      <c r="M13" s="225">
        <f>SUMIFS('9.6'!$U13:$U31,'9.6'!$B13:$B31,'TỔNG XUẤT'!$B13)</f>
        <v>3500</v>
      </c>
      <c r="N13" s="225">
        <f>SUMIFS('10.6'!$U13:$U31,'10.6'!$B13:$B31,'TỔNG XUẤT'!$B13)</f>
        <v>6800</v>
      </c>
      <c r="O13" s="225">
        <f>SUMIFS('11.6'!$U13:$U31,'11.6'!$B13:$B31,'TỔNG XUẤT'!$B13)</f>
        <v>4700</v>
      </c>
      <c r="P13" s="225">
        <f>SUMIFS('12.6'!$U13:$U31,'12.6'!$B13:$B31,'TỔNG XUẤT'!$B13)</f>
        <v>3700</v>
      </c>
      <c r="Q13" s="225">
        <f>SUMIFS('13.6'!$U13:$U31,'13.6'!$B13:$B31,'TỔNG XUẤT'!$B13)</f>
        <v>3100</v>
      </c>
      <c r="R13" s="225">
        <f>SUMIFS('14.6'!$U13:$U31,'14.6'!$B13:$B31,'TỔNG XUẤT'!$B13)</f>
        <v>2700</v>
      </c>
      <c r="S13" s="225">
        <f>SUMIFS('15.6'!$U13:$U31,'15.6'!$B13:$B31,'TỔNG XUẤT'!$B13)</f>
        <v>3900</v>
      </c>
      <c r="T13" s="225">
        <f>SUMIFS('16.6'!$U13:$U31,'16.6'!$B13:$B31,'TỔNG XUẤT'!$B13)</f>
        <v>3300</v>
      </c>
      <c r="U13" s="225">
        <f>SUMIFS('17.6'!$U13:$U31,'17.6'!$B13:$B31,'TỔNG XUẤT'!$B13)</f>
        <v>7000</v>
      </c>
      <c r="V13" s="225">
        <f>SUMIFS('18.6'!$U13:$U31,'18.6'!$B13:$B31,'TỔNG XUẤT'!$B13)</f>
        <v>5400</v>
      </c>
      <c r="W13" s="225">
        <f>SUMIFS('19.6'!$U13:$U31,'19.6'!$B13:$B31,'TỔNG XUẤT'!$B13)</f>
        <v>3200</v>
      </c>
      <c r="X13" s="225">
        <f>SUMIFS('20.6'!$U13:$U31,'20.6'!$B13:$B31,'TỔNG XUẤT'!$B13)</f>
        <v>3500</v>
      </c>
      <c r="Y13" s="225">
        <f>SUMIFS('21.6'!$U13:$U31,'21.6'!$B13:$B31,'TỔNG XUẤT'!$B13)</f>
        <v>3700</v>
      </c>
      <c r="Z13" s="225">
        <f>SUMIFS('22.6'!$U13:$U31,'22.6'!$B13:$B31,'TỔNG XUẤT'!$B13)</f>
        <v>4700</v>
      </c>
      <c r="AA13" s="225">
        <f>SUMIFS('23.6'!$U13:$U31,'23.6'!$B13:$B31,'TỔNG XUẤT'!$B13)</f>
        <v>4100</v>
      </c>
      <c r="AB13" s="225">
        <f>SUMIFS('24.6'!$U13:$U31,'24.6'!$B13:$B31,'TỔNG XUẤT'!$B13)</f>
        <v>2900</v>
      </c>
      <c r="AC13" s="225">
        <f>SUMIFS('25.6'!$U13:$U31,'25.6'!$B13:$B31,'TỔNG XUẤT'!$B13)</f>
        <v>2980</v>
      </c>
      <c r="AD13" s="225">
        <f>SUMIFS('26.6'!$U13:$U31,'26.6'!$B13:$B31,'TỔNG XUẤT'!$B13)</f>
        <v>3300</v>
      </c>
      <c r="AE13" s="225">
        <f>SUMIFS('27.6'!$U13:$U31,'27.6'!$B13:$B31,'TỔNG XUẤT'!$B13)</f>
        <v>3900</v>
      </c>
      <c r="AF13" s="225">
        <f>SUMIFS('28.6'!$U13:$U31,'28.6'!$B13:$B31,'TỔNG XUẤT'!$B13)</f>
        <v>4100</v>
      </c>
      <c r="AG13" s="225">
        <f>SUMIFS('29.6'!$U13:$U31,'29.6'!$B13:$B31,'TỔNG XUẤT'!$B13)</f>
        <v>3200</v>
      </c>
      <c r="AH13" s="225">
        <f>SUMIFS('30.6'!$U13:$U31,'30.6'!$B13:$B31,'TỔNG XUẤT'!$B13)</f>
        <v>5000</v>
      </c>
      <c r="AI13" s="11"/>
    </row>
    <row r="14" spans="1:35" ht="18.75">
      <c r="A14" s="6">
        <v>11</v>
      </c>
      <c r="B14" s="12" t="s">
        <v>26</v>
      </c>
      <c r="C14" s="6" t="s">
        <v>27</v>
      </c>
      <c r="D14" s="9">
        <f t="shared" si="1"/>
        <v>12</v>
      </c>
      <c r="E14" s="225">
        <f>SUMIFS('1.6'!$U14:$U32,'1.6'!$B14:$B32,'TỔNG XUẤT'!$B14)</f>
        <v>0</v>
      </c>
      <c r="F14" s="225">
        <f>SUMIFS('2.6'!$U14:$U32,'2.6'!$B14:$B32,'TỔNG XUẤT'!$B14)</f>
        <v>0</v>
      </c>
      <c r="G14" s="225">
        <f>SUMIFS('3.6'!$U14:$U32,'3.6'!$B14:$B32,'TỔNG XUẤT'!$B14)</f>
        <v>1</v>
      </c>
      <c r="H14" s="225">
        <f>SUMIFS('4.6'!$U14:$U32,'4.6'!$B14:$B32,'TỔNG XUẤT'!$B14)</f>
        <v>0</v>
      </c>
      <c r="I14" s="225">
        <f>SUMIFS('5.6'!$U14:$U32,'5.6'!$B14:$B32,'TỔNG XUẤT'!$B14)</f>
        <v>0</v>
      </c>
      <c r="J14" s="225">
        <f>SUMIFS('6.6'!$U14:$U32,'6.6'!$B14:$B32,'TỔNG XUẤT'!$B14)</f>
        <v>0</v>
      </c>
      <c r="K14" s="225">
        <f>SUMIFS('7.6'!$U14:$U32,'7.6'!$B14:$B32,'TỔNG XUẤT'!$B14)</f>
        <v>1</v>
      </c>
      <c r="L14" s="225">
        <f>SUMIFS('8.6'!$U14:$U32,'8.6'!$B14:$B32,'TỔNG XUẤT'!$B14)</f>
        <v>1</v>
      </c>
      <c r="M14" s="225">
        <f>SUMIFS('9.6'!$U14:$U32,'9.6'!$B14:$B32,'TỔNG XUẤT'!$B14)</f>
        <v>1</v>
      </c>
      <c r="N14" s="225">
        <f>SUMIFS('10.6'!$U14:$U32,'10.6'!$B14:$B32,'TỔNG XUẤT'!$B14)</f>
        <v>1</v>
      </c>
      <c r="O14" s="225">
        <f>SUMIFS('11.6'!$U14:$U32,'11.6'!$B14:$B32,'TỔNG XUẤT'!$B14)</f>
        <v>0</v>
      </c>
      <c r="P14" s="225">
        <f>SUMIFS('12.6'!$U14:$U32,'12.6'!$B14:$B32,'TỔNG XUẤT'!$B14)</f>
        <v>0</v>
      </c>
      <c r="Q14" s="225">
        <f>SUMIFS('13.6'!$U14:$U32,'13.6'!$B14:$B32,'TỔNG XUẤT'!$B14)</f>
        <v>1</v>
      </c>
      <c r="R14" s="225">
        <f>SUMIFS('14.6'!$U14:$U32,'14.6'!$B14:$B32,'TỔNG XUẤT'!$B14)</f>
        <v>0</v>
      </c>
      <c r="S14" s="225">
        <f>SUMIFS('15.6'!$U14:$U32,'15.6'!$B14:$B32,'TỔNG XUẤT'!$B14)</f>
        <v>0</v>
      </c>
      <c r="T14" s="225">
        <f>SUMIFS('16.6'!$U14:$U32,'16.6'!$B14:$B32,'TỔNG XUẤT'!$B14)</f>
        <v>0</v>
      </c>
      <c r="U14" s="225">
        <f>SUMIFS('17.6'!$U14:$U32,'17.6'!$B14:$B32,'TỔNG XUẤT'!$B14)</f>
        <v>1</v>
      </c>
      <c r="V14" s="225">
        <f>SUMIFS('18.6'!$U14:$U32,'18.6'!$B14:$B32,'TỔNG XUẤT'!$B14)</f>
        <v>0</v>
      </c>
      <c r="W14" s="225">
        <f>SUMIFS('19.6'!$U14:$U32,'19.6'!$B14:$B32,'TỔNG XUẤT'!$B14)</f>
        <v>0</v>
      </c>
      <c r="X14" s="225">
        <f>SUMIFS('20.6'!$U14:$U32,'20.6'!$B14:$B32,'TỔNG XUẤT'!$B14)</f>
        <v>0</v>
      </c>
      <c r="Y14" s="225">
        <f>SUMIFS('21.6'!$U14:$U32,'21.6'!$B14:$B32,'TỔNG XUẤT'!$B14)</f>
        <v>1</v>
      </c>
      <c r="Z14" s="225">
        <f>SUMIFS('22.6'!$U14:$U32,'22.6'!$B14:$B32,'TỔNG XUẤT'!$B14)</f>
        <v>1</v>
      </c>
      <c r="AA14" s="225">
        <f>SUMIFS('23.6'!$U14:$U32,'23.6'!$B14:$B32,'TỔNG XUẤT'!$B14)</f>
        <v>0</v>
      </c>
      <c r="AB14" s="225">
        <f>SUMIFS('24.6'!$U14:$U32,'24.6'!$B14:$B32,'TỔNG XUẤT'!$B14)</f>
        <v>0</v>
      </c>
      <c r="AC14" s="225">
        <f>SUMIFS('25.6'!$U14:$U32,'25.6'!$B14:$B32,'TỔNG XUẤT'!$B14)</f>
        <v>0</v>
      </c>
      <c r="AD14" s="225">
        <f>SUMIFS('26.6'!$U14:$U32,'26.6'!$B14:$B32,'TỔNG XUẤT'!$B14)</f>
        <v>0</v>
      </c>
      <c r="AE14" s="225">
        <f>SUMIFS('27.6'!$U14:$U32,'27.6'!$B14:$B32,'TỔNG XUẤT'!$B14)</f>
        <v>0</v>
      </c>
      <c r="AF14" s="225">
        <f>SUMIFS('28.6'!$U14:$U32,'28.6'!$B14:$B32,'TỔNG XUẤT'!$B14)</f>
        <v>1</v>
      </c>
      <c r="AG14" s="225">
        <f>SUMIFS('29.6'!$U14:$U32,'29.6'!$B14:$B32,'TỔNG XUẤT'!$B14)</f>
        <v>1</v>
      </c>
      <c r="AH14" s="225">
        <f>SUMIFS('30.6'!$U14:$U32,'30.6'!$B14:$B32,'TỔNG XUẤT'!$B14)</f>
        <v>1</v>
      </c>
      <c r="AI14" s="11"/>
    </row>
    <row r="15" spans="1:35" ht="18.75">
      <c r="A15" s="6"/>
      <c r="B15" s="12" t="s">
        <v>113</v>
      </c>
      <c r="C15" s="6" t="s">
        <v>27</v>
      </c>
      <c r="D15" s="9">
        <f t="shared" si="1"/>
        <v>12</v>
      </c>
      <c r="E15" s="225">
        <f>SUMIFS('1.6'!$U15:$U33,'1.6'!$B15:$B33,'TỔNG XUẤT'!$B15)</f>
        <v>0</v>
      </c>
      <c r="F15" s="225">
        <f>SUMIFS('2.6'!$U15:$U33,'2.6'!$B15:$B33,'TỔNG XUẤT'!$B15)</f>
        <v>0</v>
      </c>
      <c r="G15" s="225">
        <f>SUMIFS('3.6'!$U15:$U33,'3.6'!$B15:$B33,'TỔNG XUẤT'!$B15)</f>
        <v>0</v>
      </c>
      <c r="H15" s="225">
        <f>SUMIFS('4.6'!$U15:$U33,'4.6'!$B15:$B33,'TỔNG XUẤT'!$B15)</f>
        <v>1</v>
      </c>
      <c r="I15" s="225">
        <f>SUMIFS('5.6'!$U15:$U33,'5.6'!$B15:$B33,'TỔNG XUẤT'!$B15)</f>
        <v>0</v>
      </c>
      <c r="J15" s="225">
        <f>SUMIFS('6.6'!$U15:$U33,'6.6'!$B15:$B33,'TỔNG XUẤT'!$B15)</f>
        <v>0</v>
      </c>
      <c r="K15" s="225">
        <f>SUMIFS('7.6'!$U15:$U33,'7.6'!$B15:$B33,'TỔNG XUẤT'!$B15)</f>
        <v>1</v>
      </c>
      <c r="L15" s="225">
        <f>SUMIFS('8.6'!$U15:$U33,'8.6'!$B15:$B33,'TỔNG XUẤT'!$B15)</f>
        <v>0</v>
      </c>
      <c r="M15" s="225">
        <f>SUMIFS('9.6'!$U15:$U33,'9.6'!$B15:$B33,'TỔNG XUẤT'!$B15)</f>
        <v>0</v>
      </c>
      <c r="N15" s="225">
        <f>SUMIFS('10.6'!$U15:$U33,'10.6'!$B15:$B33,'TỔNG XUẤT'!$B15)</f>
        <v>0</v>
      </c>
      <c r="O15" s="225">
        <f>SUMIFS('11.6'!$U15:$U33,'11.6'!$B15:$B33,'TỔNG XUẤT'!$B15)</f>
        <v>0</v>
      </c>
      <c r="P15" s="225">
        <f>SUMIFS('12.6'!$U15:$U33,'12.6'!$B15:$B33,'TỔNG XUẤT'!$B15)</f>
        <v>0</v>
      </c>
      <c r="Q15" s="225">
        <f>SUMIFS('13.6'!$U15:$U33,'13.6'!$B15:$B33,'TỔNG XUẤT'!$B15)</f>
        <v>1</v>
      </c>
      <c r="R15" s="225">
        <f>SUMIFS('14.6'!$U15:$U33,'14.6'!$B15:$B33,'TỔNG XUẤT'!$B15)</f>
        <v>1</v>
      </c>
      <c r="S15" s="225">
        <f>SUMIFS('15.6'!$U15:$U33,'15.6'!$B15:$B33,'TỔNG XUẤT'!$B15)</f>
        <v>0</v>
      </c>
      <c r="T15" s="225">
        <f>SUMIFS('16.6'!$U15:$U33,'16.6'!$B15:$B33,'TỔNG XUẤT'!$B15)</f>
        <v>1</v>
      </c>
      <c r="U15" s="225">
        <f>SUMIFS('17.6'!$U15:$U33,'17.6'!$B15:$B33,'TỔNG XUẤT'!$B15)</f>
        <v>0</v>
      </c>
      <c r="V15" s="225">
        <f>SUMIFS('18.6'!$U15:$U33,'18.6'!$B15:$B33,'TỔNG XUẤT'!$B15)</f>
        <v>0</v>
      </c>
      <c r="W15" s="225">
        <f>SUMIFS('19.6'!$U15:$U33,'19.6'!$B15:$B33,'TỔNG XUẤT'!$B15)</f>
        <v>0</v>
      </c>
      <c r="X15" s="225">
        <f>SUMIFS('20.6'!$U15:$U33,'20.6'!$B15:$B33,'TỔNG XUẤT'!$B15)</f>
        <v>0</v>
      </c>
      <c r="Y15" s="225">
        <f>SUMIFS('21.6'!$U15:$U33,'21.6'!$B15:$B33,'TỔNG XUẤT'!$B15)</f>
        <v>2</v>
      </c>
      <c r="Z15" s="225">
        <f>SUMIFS('22.6'!$U15:$U33,'22.6'!$B15:$B33,'TỔNG XUẤT'!$B15)</f>
        <v>1</v>
      </c>
      <c r="AA15" s="225">
        <f>SUMIFS('23.6'!$U15:$U33,'23.6'!$B15:$B33,'TỔNG XUẤT'!$B15)</f>
        <v>1</v>
      </c>
      <c r="AB15" s="225">
        <f>SUMIFS('24.6'!$U15:$U33,'24.6'!$B15:$B33,'TỔNG XUẤT'!$B15)</f>
        <v>0</v>
      </c>
      <c r="AC15" s="225">
        <f>SUMIFS('25.6'!$U15:$U33,'25.6'!$B15:$B33,'TỔNG XUẤT'!$B15)</f>
        <v>0</v>
      </c>
      <c r="AD15" s="225">
        <f>SUMIFS('26.6'!$U15:$U33,'26.6'!$B15:$B33,'TỔNG XUẤT'!$B15)</f>
        <v>0</v>
      </c>
      <c r="AE15" s="225">
        <f>SUMIFS('27.6'!$U15:$U33,'27.6'!$B15:$B33,'TỔNG XUẤT'!$B15)</f>
        <v>0</v>
      </c>
      <c r="AF15" s="225">
        <f>SUMIFS('28.6'!$U15:$U33,'28.6'!$B15:$B33,'TỔNG XUẤT'!$B15)</f>
        <v>1</v>
      </c>
      <c r="AG15" s="225">
        <f>SUMIFS('29.6'!$U15:$U33,'29.6'!$B15:$B33,'TỔNG XUẤT'!$B15)</f>
        <v>2</v>
      </c>
      <c r="AH15" s="225">
        <f>SUMIFS('30.6'!$U15:$U33,'30.6'!$B15:$B33,'TỔNG XUẤT'!$B15)</f>
        <v>0</v>
      </c>
      <c r="AI15" s="11"/>
    </row>
    <row r="16" spans="1:35" ht="18.75">
      <c r="A16" s="6">
        <v>12</v>
      </c>
      <c r="B16" s="12" t="s">
        <v>28</v>
      </c>
      <c r="C16" s="6" t="s">
        <v>27</v>
      </c>
      <c r="D16" s="9">
        <f t="shared" si="1"/>
        <v>14</v>
      </c>
      <c r="E16" s="225">
        <f>SUMIFS('1.6'!$U16:$U34,'1.6'!$B16:$B34,'TỔNG XUẤT'!$B16)</f>
        <v>1</v>
      </c>
      <c r="F16" s="225">
        <f>SUMIFS('2.6'!$U16:$U34,'2.6'!$B16:$B34,'TỔNG XUẤT'!$B16)</f>
        <v>0</v>
      </c>
      <c r="G16" s="225">
        <f>SUMIFS('3.6'!$U16:$U34,'3.6'!$B16:$B34,'TỔNG XUẤT'!$B16)</f>
        <v>2</v>
      </c>
      <c r="H16" s="225">
        <f>SUMIFS('4.6'!$U16:$U34,'4.6'!$B16:$B34,'TỔNG XUẤT'!$B16)</f>
        <v>0</v>
      </c>
      <c r="I16" s="225">
        <f>SUMIFS('5.6'!$U16:$U34,'5.6'!$B16:$B34,'TỔNG XUẤT'!$B16)</f>
        <v>0</v>
      </c>
      <c r="J16" s="225">
        <f>SUMIFS('6.6'!$U16:$U34,'6.6'!$B16:$B34,'TỔNG XUẤT'!$B16)</f>
        <v>1</v>
      </c>
      <c r="K16" s="225">
        <f>SUMIFS('7.6'!$U16:$U34,'7.6'!$B16:$B34,'TỔNG XUẤT'!$B16)</f>
        <v>0</v>
      </c>
      <c r="L16" s="225">
        <f>SUMIFS('8.6'!$U16:$U34,'8.6'!$B16:$B34,'TỔNG XUẤT'!$B16)</f>
        <v>1</v>
      </c>
      <c r="M16" s="225">
        <f>SUMIFS('9.6'!$U16:$U34,'9.6'!$B16:$B34,'TỔNG XUẤT'!$B16)</f>
        <v>0</v>
      </c>
      <c r="N16" s="225">
        <f>SUMIFS('10.6'!$U16:$U34,'10.6'!$B16:$B34,'TỔNG XUẤT'!$B16)</f>
        <v>1</v>
      </c>
      <c r="O16" s="225">
        <f>SUMIFS('11.6'!$U16:$U34,'11.6'!$B16:$B34,'TỔNG XUẤT'!$B16)</f>
        <v>0</v>
      </c>
      <c r="P16" s="225">
        <f>SUMIFS('12.6'!$U16:$U34,'12.6'!$B16:$B34,'TỔNG XUẤT'!$B16)</f>
        <v>0</v>
      </c>
      <c r="Q16" s="225">
        <f>SUMIFS('13.6'!$U16:$U34,'13.6'!$B16:$B34,'TỔNG XUẤT'!$B16)</f>
        <v>1</v>
      </c>
      <c r="R16" s="225">
        <f>SUMIFS('14.6'!$U16:$U34,'14.6'!$B16:$B34,'TỔNG XUẤT'!$B16)</f>
        <v>0</v>
      </c>
      <c r="S16" s="225">
        <f>SUMIFS('15.6'!$U16:$U34,'15.6'!$B16:$B34,'TỔNG XUẤT'!$B16)</f>
        <v>1</v>
      </c>
      <c r="T16" s="225">
        <f>SUMIFS('16.6'!$U16:$U34,'16.6'!$B16:$B34,'TỔNG XUẤT'!$B16)</f>
        <v>0</v>
      </c>
      <c r="U16" s="225">
        <f>SUMIFS('17.6'!$U16:$U34,'17.6'!$B16:$B34,'TỔNG XUẤT'!$B16)</f>
        <v>1</v>
      </c>
      <c r="V16" s="225">
        <f>SUMIFS('18.6'!$U16:$U34,'18.6'!$B16:$B34,'TỔNG XUẤT'!$B16)</f>
        <v>0</v>
      </c>
      <c r="W16" s="225">
        <f>SUMIFS('19.6'!$U16:$U34,'19.6'!$B16:$B34,'TỔNG XUẤT'!$B16)</f>
        <v>0</v>
      </c>
      <c r="X16" s="225">
        <f>SUMIFS('20.6'!$U16:$U34,'20.6'!$B16:$B34,'TỔNG XUẤT'!$B16)</f>
        <v>1</v>
      </c>
      <c r="Y16" s="225">
        <f>SUMIFS('21.6'!$U16:$U34,'21.6'!$B16:$B34,'TỔNG XUẤT'!$B16)</f>
        <v>0</v>
      </c>
      <c r="Z16" s="225">
        <f>SUMIFS('22.6'!$U16:$U34,'22.6'!$B16:$B34,'TỔNG XUẤT'!$B16)</f>
        <v>1</v>
      </c>
      <c r="AA16" s="225">
        <f>SUMIFS('23.6'!$U16:$U34,'23.6'!$B16:$B34,'TỔNG XUẤT'!$B16)</f>
        <v>0</v>
      </c>
      <c r="AB16" s="225">
        <f>SUMIFS('24.6'!$U16:$U34,'24.6'!$B16:$B34,'TỔNG XUẤT'!$B16)</f>
        <v>0</v>
      </c>
      <c r="AC16" s="225">
        <f>SUMIFS('25.6'!$U16:$U34,'25.6'!$B16:$B34,'TỔNG XUẤT'!$B16)</f>
        <v>0</v>
      </c>
      <c r="AD16" s="225">
        <f>SUMIFS('26.6'!$U16:$U34,'26.6'!$B16:$B34,'TỔNG XUẤT'!$B16)</f>
        <v>0</v>
      </c>
      <c r="AE16" s="225">
        <f>SUMIFS('27.6'!$U16:$U34,'27.6'!$B16:$B34,'TỔNG XUẤT'!$B16)</f>
        <v>1</v>
      </c>
      <c r="AF16" s="225">
        <f>SUMIFS('28.6'!$U16:$U34,'28.6'!$B16:$B34,'TỔNG XUẤT'!$B16)</f>
        <v>1</v>
      </c>
      <c r="AG16" s="225">
        <f>SUMIFS('29.6'!$U16:$U34,'29.6'!$B16:$B34,'TỔNG XUẤT'!$B16)</f>
        <v>1</v>
      </c>
      <c r="AH16" s="225">
        <f>SUMIFS('30.6'!$U16:$U34,'30.6'!$B16:$B34,'TỔNG XUẤT'!$B16)</f>
        <v>0</v>
      </c>
      <c r="AI16" s="11"/>
    </row>
    <row r="17" spans="1:35" ht="18.75">
      <c r="A17" s="6">
        <v>13</v>
      </c>
      <c r="B17" s="220" t="s">
        <v>107</v>
      </c>
      <c r="C17" s="6" t="s">
        <v>111</v>
      </c>
      <c r="D17" s="9">
        <f t="shared" si="1"/>
        <v>191</v>
      </c>
      <c r="E17" s="225">
        <f>SUMIFS('1.6'!$U17:$U35,'1.6'!$B17:$B35,'TỔNG XUẤT'!$B17)</f>
        <v>0</v>
      </c>
      <c r="F17" s="225">
        <f>SUMIFS('2.6'!$U17:$U35,'2.6'!$B17:$B35,'TỔNG XUẤT'!$B17)</f>
        <v>0</v>
      </c>
      <c r="G17" s="225">
        <f>SUMIFS('3.6'!$U17:$U35,'3.6'!$B17:$B35,'TỔNG XUẤT'!$B17)</f>
        <v>0</v>
      </c>
      <c r="H17" s="225">
        <f>SUMIFS('4.6'!$U17:$U35,'4.6'!$B17:$B35,'TỔNG XUẤT'!$B17)</f>
        <v>0</v>
      </c>
      <c r="I17" s="225">
        <f>SUMIFS('5.6'!$U17:$U35,'5.6'!$B17:$B35,'TỔNG XUẤT'!$B17)</f>
        <v>0</v>
      </c>
      <c r="J17" s="225">
        <f>SUMIFS('6.6'!$U17:$U35,'6.6'!$B17:$B35,'TỔNG XUẤT'!$B17)</f>
        <v>4</v>
      </c>
      <c r="K17" s="225">
        <f>SUMIFS('7.6'!$U17:$U35,'7.6'!$B17:$B35,'TỔNG XUẤT'!$B17)</f>
        <v>0</v>
      </c>
      <c r="L17" s="225">
        <f>SUMIFS('8.6'!$U17:$U35,'8.6'!$B17:$B35,'TỔNG XUẤT'!$B17)</f>
        <v>0</v>
      </c>
      <c r="M17" s="225">
        <f>SUMIFS('9.6'!$U17:$U35,'9.6'!$B17:$B35,'TỔNG XUẤT'!$B17)</f>
        <v>0</v>
      </c>
      <c r="N17" s="225">
        <f>SUMIFS('10.6'!$U17:$U35,'10.6'!$B17:$B35,'TỔNG XUẤT'!$B17)</f>
        <v>0</v>
      </c>
      <c r="O17" s="225">
        <f>SUMIFS('11.6'!$U17:$U35,'11.6'!$B17:$B35,'TỔNG XUẤT'!$B17)</f>
        <v>0</v>
      </c>
      <c r="P17" s="225">
        <f>SUMIFS('12.6'!$U17:$U35,'12.6'!$B17:$B35,'TỔNG XUẤT'!$B17)</f>
        <v>0</v>
      </c>
      <c r="Q17" s="225">
        <f>SUMIFS('13.6'!$U17:$U35,'13.6'!$B17:$B35,'TỔNG XUẤT'!$B17)</f>
        <v>0</v>
      </c>
      <c r="R17" s="225">
        <f>SUMIFS('14.6'!$U17:$U35,'14.6'!$B17:$B35,'TỔNG XUẤT'!$B17)</f>
        <v>0</v>
      </c>
      <c r="S17" s="225">
        <f>SUMIFS('15.6'!$U17:$U35,'15.6'!$B17:$B35,'TỔNG XUẤT'!$B17)</f>
        <v>44</v>
      </c>
      <c r="T17" s="225">
        <f>SUMIFS('16.6'!$U17:$U35,'16.6'!$B17:$B35,'TỔNG XUẤT'!$B17)</f>
        <v>0</v>
      </c>
      <c r="U17" s="225">
        <f>SUMIFS('17.6'!$U17:$U35,'17.6'!$B17:$B35,'TỔNG XUẤT'!$B17)</f>
        <v>0</v>
      </c>
      <c r="V17" s="225">
        <f>SUMIFS('18.6'!$U17:$U35,'18.6'!$B17:$B35,'TỔNG XUẤT'!$B17)</f>
        <v>0</v>
      </c>
      <c r="W17" s="225">
        <f>SUMIFS('19.6'!$U17:$U35,'19.6'!$B17:$B35,'TỔNG XUẤT'!$B17)</f>
        <v>0</v>
      </c>
      <c r="X17" s="225">
        <f>SUMIFS('20.6'!$U17:$U35,'20.6'!$B17:$B35,'TỔNG XUẤT'!$B17)</f>
        <v>7</v>
      </c>
      <c r="Y17" s="225">
        <f>SUMIFS('21.6'!$U17:$U35,'21.6'!$B17:$B35,'TỔNG XUẤT'!$B17)</f>
        <v>0</v>
      </c>
      <c r="Z17" s="225">
        <f>SUMIFS('22.6'!$U17:$U35,'22.6'!$B17:$B35,'TỔNG XUẤT'!$B17)</f>
        <v>4</v>
      </c>
      <c r="AA17" s="225">
        <f>SUMIFS('23.6'!$U17:$U35,'23.6'!$B17:$B35,'TỔNG XUẤT'!$B17)</f>
        <v>0</v>
      </c>
      <c r="AB17" s="225">
        <f>SUMIFS('24.6'!$U17:$U35,'24.6'!$B17:$B35,'TỔNG XUẤT'!$B17)</f>
        <v>0</v>
      </c>
      <c r="AC17" s="225">
        <f>SUMIFS('25.6'!$U17:$U35,'25.6'!$B17:$B35,'TỔNG XUẤT'!$B17)</f>
        <v>55</v>
      </c>
      <c r="AD17" s="225">
        <f>SUMIFS('26.6'!$U17:$U35,'26.6'!$B17:$B35,'TỔNG XUẤT'!$B17)</f>
        <v>27</v>
      </c>
      <c r="AE17" s="225">
        <f>SUMIFS('27.6'!$U17:$U35,'27.6'!$B17:$B35,'TỔNG XUẤT'!$B17)</f>
        <v>40</v>
      </c>
      <c r="AF17" s="225">
        <f>SUMIFS('28.6'!$U17:$U35,'28.6'!$B17:$B35,'TỔNG XUẤT'!$B17)</f>
        <v>10</v>
      </c>
      <c r="AG17" s="225">
        <f>SUMIFS('29.6'!$U17:$U35,'29.6'!$B17:$B35,'TỔNG XUẤT'!$B17)</f>
        <v>0</v>
      </c>
      <c r="AH17" s="225">
        <f>SUMIFS('30.6'!$U17:$U35,'30.6'!$B17:$B35,'TỔNG XUẤT'!$B17)</f>
        <v>0</v>
      </c>
      <c r="AI17" s="11"/>
    </row>
    <row r="18" spans="1:35" ht="18.75" customHeight="1">
      <c r="A18" s="6">
        <v>14</v>
      </c>
      <c r="B18" s="220" t="s">
        <v>108</v>
      </c>
      <c r="C18" s="6" t="s">
        <v>111</v>
      </c>
      <c r="D18" s="9">
        <f t="shared" si="1"/>
        <v>124</v>
      </c>
      <c r="E18" s="225">
        <f>SUMIFS('1.6'!$U18:$U36,'1.6'!$B18:$B36,'TỔNG XUẤT'!$B18)</f>
        <v>0</v>
      </c>
      <c r="F18" s="225">
        <f>SUMIFS('2.6'!$U18:$U36,'2.6'!$B18:$B36,'TỔNG XUẤT'!$B18)</f>
        <v>0</v>
      </c>
      <c r="G18" s="225">
        <f>SUMIFS('3.6'!$U18:$U36,'3.6'!$B18:$B36,'TỔNG XUẤT'!$B18)</f>
        <v>10</v>
      </c>
      <c r="H18" s="225">
        <f>SUMIFS('4.6'!$U18:$U36,'4.6'!$B18:$B36,'TỔNG XUẤT'!$B18)</f>
        <v>0</v>
      </c>
      <c r="I18" s="225">
        <f>SUMIFS('5.6'!$U18:$U36,'5.6'!$B18:$B36,'TỔNG XUẤT'!$B18)</f>
        <v>0</v>
      </c>
      <c r="J18" s="225">
        <f>SUMIFS('6.6'!$U18:$U36,'6.6'!$B18:$B36,'TỔNG XUẤT'!$B18)</f>
        <v>0</v>
      </c>
      <c r="K18" s="225">
        <f>SUMIFS('7.6'!$U18:$U36,'7.6'!$B18:$B36,'TỔNG XUẤT'!$B18)</f>
        <v>0</v>
      </c>
      <c r="L18" s="225">
        <f>SUMIFS('8.6'!$U18:$U36,'8.6'!$B18:$B36,'TỔNG XUẤT'!$B18)</f>
        <v>0</v>
      </c>
      <c r="M18" s="225">
        <f>SUMIFS('9.6'!$U18:$U36,'9.6'!$B18:$B36,'TỔNG XUẤT'!$B18)</f>
        <v>0</v>
      </c>
      <c r="N18" s="225">
        <f>SUMIFS('10.6'!$U18:$U36,'10.6'!$B18:$B36,'TỔNG XUẤT'!$B18)</f>
        <v>0</v>
      </c>
      <c r="O18" s="225">
        <f>SUMIFS('11.6'!$U18:$U36,'11.6'!$B18:$B36,'TỔNG XUẤT'!$B18)</f>
        <v>0</v>
      </c>
      <c r="P18" s="225">
        <f>SUMIFS('12.6'!$U18:$U36,'12.6'!$B18:$B36,'TỔNG XUẤT'!$B18)</f>
        <v>0</v>
      </c>
      <c r="Q18" s="225">
        <f>SUMIFS('13.6'!$U18:$U36,'13.6'!$B18:$B36,'TỔNG XUẤT'!$B18)</f>
        <v>0</v>
      </c>
      <c r="R18" s="225">
        <f>SUMIFS('14.6'!$U18:$U36,'14.6'!$B18:$B36,'TỔNG XUẤT'!$B18)</f>
        <v>0</v>
      </c>
      <c r="S18" s="225">
        <f>SUMIFS('15.6'!$U18:$U36,'15.6'!$B18:$B36,'TỔNG XUẤT'!$B18)</f>
        <v>23</v>
      </c>
      <c r="T18" s="225">
        <f>SUMIFS('16.6'!$U18:$U36,'16.6'!$B18:$B36,'TỔNG XUẤT'!$B18)</f>
        <v>0</v>
      </c>
      <c r="U18" s="225">
        <f>SUMIFS('17.6'!$U18:$U36,'17.6'!$B18:$B36,'TỔNG XUẤT'!$B18)</f>
        <v>0</v>
      </c>
      <c r="V18" s="225">
        <f>SUMIFS('18.6'!$U18:$U36,'18.6'!$B18:$B36,'TỔNG XUẤT'!$B18)</f>
        <v>0</v>
      </c>
      <c r="W18" s="225">
        <f>SUMIFS('19.6'!$U18:$U36,'19.6'!$B18:$B36,'TỔNG XUẤT'!$B18)</f>
        <v>15</v>
      </c>
      <c r="X18" s="225">
        <f>SUMIFS('20.6'!$U18:$U36,'20.6'!$B18:$B36,'TỔNG XUẤT'!$B18)</f>
        <v>1</v>
      </c>
      <c r="Y18" s="225">
        <f>SUMIFS('21.6'!$U18:$U36,'21.6'!$B18:$B36,'TỔNG XUẤT'!$B18)</f>
        <v>0</v>
      </c>
      <c r="Z18" s="225">
        <f>SUMIFS('22.6'!$U18:$U36,'22.6'!$B18:$B36,'TỔNG XUẤT'!$B18)</f>
        <v>3</v>
      </c>
      <c r="AA18" s="225">
        <f>SUMIFS('23.6'!$U18:$U36,'23.6'!$B18:$B36,'TỔNG XUẤT'!$B18)</f>
        <v>0</v>
      </c>
      <c r="AB18" s="225">
        <f>SUMIFS('24.6'!$U18:$U36,'24.6'!$B18:$B36,'TỔNG XUẤT'!$B18)</f>
        <v>0</v>
      </c>
      <c r="AC18" s="225">
        <f>SUMIFS('25.6'!$U18:$U36,'25.6'!$B18:$B36,'TỔNG XUẤT'!$B18)</f>
        <v>30</v>
      </c>
      <c r="AD18" s="225">
        <f>SUMIFS('26.6'!$U18:$U36,'26.6'!$B18:$B36,'TỔNG XUẤT'!$B18)</f>
        <v>12</v>
      </c>
      <c r="AE18" s="225">
        <f>SUMIFS('27.6'!$U18:$U36,'27.6'!$B18:$B36,'TỔNG XUẤT'!$B18)</f>
        <v>10</v>
      </c>
      <c r="AF18" s="225">
        <f>SUMIFS('28.6'!$U18:$U36,'28.6'!$B18:$B36,'TỔNG XUẤT'!$B18)</f>
        <v>10</v>
      </c>
      <c r="AG18" s="225">
        <f>SUMIFS('29.6'!$U18:$U36,'29.6'!$B18:$B36,'TỔNG XUẤT'!$B18)</f>
        <v>0</v>
      </c>
      <c r="AH18" s="225">
        <f>SUMIFS('30.6'!$U18:$U36,'30.6'!$B18:$B36,'TỔNG XUẤT'!$B18)</f>
        <v>10</v>
      </c>
      <c r="AI18" s="11"/>
    </row>
    <row r="19" spans="1:35" ht="18.75" customHeight="1">
      <c r="A19" s="6">
        <v>15</v>
      </c>
      <c r="B19" s="220" t="s">
        <v>109</v>
      </c>
      <c r="C19" s="6" t="s">
        <v>111</v>
      </c>
      <c r="D19" s="9">
        <f t="shared" si="1"/>
        <v>198</v>
      </c>
      <c r="E19" s="225">
        <f>SUMIFS('1.6'!$U19:$U37,'1.6'!$B19:$B37,'TỔNG XUẤT'!$B19)</f>
        <v>0</v>
      </c>
      <c r="F19" s="225">
        <f>SUMIFS('2.6'!$U19:$U37,'2.6'!$B19:$B37,'TỔNG XUẤT'!$B19)</f>
        <v>0</v>
      </c>
      <c r="G19" s="225">
        <f>SUMIFS('3.6'!$U19:$U37,'3.6'!$B19:$B37,'TỔNG XUẤT'!$B19)</f>
        <v>15</v>
      </c>
      <c r="H19" s="225">
        <f>SUMIFS('4.6'!$U19:$U37,'4.6'!$B19:$B37,'TỔNG XUẤT'!$B19)</f>
        <v>0</v>
      </c>
      <c r="I19" s="225">
        <f>SUMIFS('5.6'!$U19:$U37,'5.6'!$B19:$B37,'TỔNG XUẤT'!$B19)</f>
        <v>0</v>
      </c>
      <c r="J19" s="225">
        <f>SUMIFS('6.6'!$U19:$U37,'6.6'!$B19:$B37,'TỔNG XUẤT'!$B19)</f>
        <v>0</v>
      </c>
      <c r="K19" s="225">
        <f>SUMIFS('7.6'!$U19:$U37,'7.6'!$B19:$B37,'TỔNG XUẤT'!$B19)</f>
        <v>0</v>
      </c>
      <c r="L19" s="225">
        <f>SUMIFS('8.6'!$U19:$U37,'8.6'!$B19:$B37,'TỔNG XUẤT'!$B19)</f>
        <v>0</v>
      </c>
      <c r="M19" s="225">
        <f>SUMIFS('9.6'!$U19:$U37,'9.6'!$B19:$B37,'TỔNG XUẤT'!$B19)</f>
        <v>0</v>
      </c>
      <c r="N19" s="225">
        <f>SUMIFS('10.6'!$U19:$U37,'10.6'!$B19:$B37,'TỔNG XUẤT'!$B19)</f>
        <v>0</v>
      </c>
      <c r="O19" s="225">
        <f>SUMIFS('11.6'!$U19:$U37,'11.6'!$B19:$B37,'TỔNG XUẤT'!$B19)</f>
        <v>0</v>
      </c>
      <c r="P19" s="225">
        <f>SUMIFS('12.6'!$U19:$U37,'12.6'!$B19:$B37,'TỔNG XUẤT'!$B19)</f>
        <v>0</v>
      </c>
      <c r="Q19" s="225">
        <f>SUMIFS('13.6'!$U19:$U37,'13.6'!$B19:$B37,'TỔNG XUẤT'!$B19)</f>
        <v>0</v>
      </c>
      <c r="R19" s="225">
        <f>SUMIFS('14.6'!$U19:$U37,'14.6'!$B19:$B37,'TỔNG XUẤT'!$B19)</f>
        <v>0</v>
      </c>
      <c r="S19" s="225">
        <f>SUMIFS('15.6'!$U19:$U37,'15.6'!$B19:$B37,'TỔNG XUẤT'!$B19)</f>
        <v>43</v>
      </c>
      <c r="T19" s="225">
        <f>SUMIFS('16.6'!$U19:$U37,'16.6'!$B19:$B37,'TỔNG XUẤT'!$B19)</f>
        <v>0</v>
      </c>
      <c r="U19" s="225">
        <f>SUMIFS('17.6'!$U19:$U37,'17.6'!$B19:$B37,'TỔNG XUẤT'!$B19)</f>
        <v>0</v>
      </c>
      <c r="V19" s="225">
        <f>SUMIFS('18.6'!$U19:$U37,'18.6'!$B19:$B37,'TỔNG XUẤT'!$B19)</f>
        <v>0</v>
      </c>
      <c r="W19" s="225">
        <f>SUMIFS('19.6'!$U19:$U37,'19.6'!$B19:$B37,'TỔNG XUẤT'!$B19)</f>
        <v>10</v>
      </c>
      <c r="X19" s="225">
        <f>SUMIFS('20.6'!$U19:$U37,'20.6'!$B19:$B37,'TỔNG XUẤT'!$B19)</f>
        <v>1</v>
      </c>
      <c r="Y19" s="225">
        <f>SUMIFS('21.6'!$U19:$U37,'21.6'!$B19:$B37,'TỔNG XUẤT'!$B19)</f>
        <v>0</v>
      </c>
      <c r="Z19" s="225">
        <f>SUMIFS('22.6'!$U19:$U37,'22.6'!$B19:$B37,'TỔNG XUẤT'!$B19)</f>
        <v>3</v>
      </c>
      <c r="AA19" s="225">
        <f>SUMIFS('23.6'!$U19:$U37,'23.6'!$B19:$B37,'TỔNG XUẤT'!$B19)</f>
        <v>0</v>
      </c>
      <c r="AB19" s="225">
        <f>SUMIFS('24.6'!$U19:$U37,'24.6'!$B19:$B37,'TỔNG XUẤT'!$B19)</f>
        <v>10</v>
      </c>
      <c r="AC19" s="225">
        <f>SUMIFS('25.6'!$U19:$U37,'25.6'!$B19:$B37,'TỔNG XUẤT'!$B19)</f>
        <v>51</v>
      </c>
      <c r="AD19" s="225">
        <f>SUMIFS('26.6'!$U19:$U37,'26.6'!$B19:$B37,'TỔNG XUẤT'!$B19)</f>
        <v>15</v>
      </c>
      <c r="AE19" s="225">
        <f>SUMIFS('27.6'!$U19:$U37,'27.6'!$B19:$B37,'TỔNG XUẤT'!$B19)</f>
        <v>40</v>
      </c>
      <c r="AF19" s="225">
        <f>SUMIFS('28.6'!$U19:$U37,'28.6'!$B19:$B37,'TỔNG XUẤT'!$B19)</f>
        <v>10</v>
      </c>
      <c r="AG19" s="225">
        <f>SUMIFS('29.6'!$U19:$U37,'29.6'!$B19:$B37,'TỔNG XUẤT'!$B19)</f>
        <v>0</v>
      </c>
      <c r="AH19" s="225">
        <f>SUMIFS('30.6'!$U19:$U37,'30.6'!$B19:$B37,'TỔNG XUẤT'!$B19)</f>
        <v>0</v>
      </c>
      <c r="AI19" s="11"/>
    </row>
    <row r="20" spans="1:35" ht="18.75">
      <c r="A20" s="6"/>
      <c r="B20" s="220" t="s">
        <v>110</v>
      </c>
      <c r="C20" s="6" t="s">
        <v>111</v>
      </c>
      <c r="D20" s="9">
        <f t="shared" si="1"/>
        <v>640</v>
      </c>
      <c r="E20" s="225">
        <f>SUMIFS('1.6'!$U20:$U38,'1.6'!$B20:$B38,'TỔNG XUẤT'!$B20)</f>
        <v>0</v>
      </c>
      <c r="F20" s="225">
        <f>SUMIFS('2.6'!$U20:$U38,'2.6'!$B20:$B38,'TỔNG XUẤT'!$B20)</f>
        <v>0</v>
      </c>
      <c r="G20" s="225">
        <f>SUMIFS('3.6'!$U20:$U38,'3.6'!$B20:$B38,'TỔNG XUẤT'!$B20)</f>
        <v>0</v>
      </c>
      <c r="H20" s="225">
        <f>SUMIFS('4.6'!$U20:$U38,'4.6'!$B20:$B38,'TỔNG XUẤT'!$B20)</f>
        <v>0</v>
      </c>
      <c r="I20" s="225">
        <f>SUMIFS('5.6'!$U20:$U38,'5.6'!$B20:$B38,'TỔNG XUẤT'!$B20)</f>
        <v>0</v>
      </c>
      <c r="J20" s="225">
        <f>SUMIFS('6.6'!$U20:$U38,'6.6'!$B20:$B38,'TỔNG XUẤT'!$B20)</f>
        <v>0</v>
      </c>
      <c r="K20" s="225">
        <f>SUMIFS('7.6'!$U20:$U38,'7.6'!$B20:$B38,'TỔNG XUẤT'!$B20)</f>
        <v>0</v>
      </c>
      <c r="L20" s="225">
        <f>SUMIFS('8.6'!$U20:$U38,'8.6'!$B20:$B38,'TỔNG XUẤT'!$B20)</f>
        <v>0</v>
      </c>
      <c r="M20" s="225">
        <f>SUMIFS('9.6'!$U20:$U38,'9.6'!$B20:$B38,'TỔNG XUẤT'!$B20)</f>
        <v>0</v>
      </c>
      <c r="N20" s="225">
        <f>SUMIFS('10.6'!$U20:$U38,'10.6'!$B20:$B38,'TỔNG XUẤT'!$B20)</f>
        <v>0</v>
      </c>
      <c r="O20" s="225">
        <f>SUMIFS('11.6'!$U20:$U38,'11.6'!$B20:$B38,'TỔNG XUẤT'!$B20)</f>
        <v>0</v>
      </c>
      <c r="P20" s="225">
        <f>SUMIFS('12.6'!$U20:$U38,'12.6'!$B20:$B38,'TỔNG XUẤT'!$B20)</f>
        <v>0</v>
      </c>
      <c r="Q20" s="225">
        <f>SUMIFS('13.6'!$U20:$U38,'13.6'!$B20:$B38,'TỔNG XUẤT'!$B20)</f>
        <v>0</v>
      </c>
      <c r="R20" s="225">
        <f>SUMIFS('14.6'!$U20:$U38,'14.6'!$B20:$B38,'TỔNG XUẤT'!$B20)</f>
        <v>0</v>
      </c>
      <c r="S20" s="225">
        <f>SUMIFS('15.6'!$U20:$U38,'15.6'!$B20:$B38,'TỔNG XUẤT'!$B20)</f>
        <v>20</v>
      </c>
      <c r="T20" s="225">
        <f>SUMIFS('16.6'!$U20:$U38,'16.6'!$B20:$B38,'TỔNG XUẤT'!$B20)</f>
        <v>0</v>
      </c>
      <c r="U20" s="225">
        <f>SUMIFS('17.6'!$U20:$U38,'17.6'!$B20:$B38,'TỔNG XUẤT'!$B20)</f>
        <v>0</v>
      </c>
      <c r="V20" s="225">
        <f>SUMIFS('18.6'!$U20:$U38,'18.6'!$B20:$B38,'TỔNG XUẤT'!$B20)</f>
        <v>0</v>
      </c>
      <c r="W20" s="225">
        <f>SUMIFS('19.6'!$U20:$U38,'19.6'!$B20:$B38,'TỔNG XUẤT'!$B20)</f>
        <v>20</v>
      </c>
      <c r="X20" s="225">
        <f>SUMIFS('20.6'!$U20:$U38,'20.6'!$B20:$B38,'TỔNG XUẤT'!$B20)</f>
        <v>96</v>
      </c>
      <c r="Y20" s="225">
        <f>SUMIFS('21.6'!$U20:$U38,'21.6'!$B20:$B38,'TỔNG XUẤT'!$B20)</f>
        <v>99</v>
      </c>
      <c r="Z20" s="225">
        <f>SUMIFS('22.6'!$U20:$U38,'22.6'!$B20:$B38,'TỔNG XUẤT'!$B20)</f>
        <v>25</v>
      </c>
      <c r="AA20" s="225">
        <f>SUMIFS('23.6'!$U20:$U38,'23.6'!$B20:$B38,'TỔNG XUẤT'!$B20)</f>
        <v>36</v>
      </c>
      <c r="AB20" s="225">
        <f>SUMIFS('24.6'!$U20:$U38,'24.6'!$B20:$B38,'TỔNG XUẤT'!$B20)</f>
        <v>55</v>
      </c>
      <c r="AC20" s="225">
        <f>SUMIFS('25.6'!$U20:$U38,'25.6'!$B20:$B38,'TỔNG XUẤT'!$B20)</f>
        <v>5</v>
      </c>
      <c r="AD20" s="225">
        <f>SUMIFS('26.6'!$U20:$U38,'26.6'!$B20:$B38,'TỔNG XUẤT'!$B20)</f>
        <v>95</v>
      </c>
      <c r="AE20" s="225">
        <f>SUMIFS('27.6'!$U20:$U38,'27.6'!$B20:$B38,'TỔNG XUẤT'!$B20)</f>
        <v>20</v>
      </c>
      <c r="AF20" s="225">
        <f>SUMIFS('28.6'!$U20:$U38,'28.6'!$B20:$B38,'TỔNG XUẤT'!$B20)</f>
        <v>61</v>
      </c>
      <c r="AG20" s="225">
        <f>SUMIFS('29.6'!$U20:$U38,'29.6'!$B20:$B38,'TỔNG XUẤT'!$B20)</f>
        <v>55</v>
      </c>
      <c r="AH20" s="225">
        <f>SUMIFS('30.6'!$U20:$U38,'30.6'!$B20:$B38,'TỔNG XUẤT'!$B20)</f>
        <v>53</v>
      </c>
      <c r="AI20" s="11"/>
    </row>
    <row r="21" spans="1:35" ht="18.75">
      <c r="A21" s="6"/>
      <c r="B21" s="221" t="s">
        <v>112</v>
      </c>
      <c r="C21" s="6" t="s">
        <v>111</v>
      </c>
      <c r="D21" s="9">
        <f t="shared" si="1"/>
        <v>113</v>
      </c>
      <c r="E21" s="225">
        <f>SUMIFS('1.6'!$U21:$U39,'1.6'!$B21:$B39,'TỔNG XUẤT'!$B21)</f>
        <v>0</v>
      </c>
      <c r="F21" s="225">
        <f>SUMIFS('2.6'!$U21:$U39,'2.6'!$B21:$B39,'TỔNG XUẤT'!$B21)</f>
        <v>0</v>
      </c>
      <c r="G21" s="225">
        <f>SUMIFS('3.6'!$U21:$U39,'3.6'!$B21:$B39,'TỔNG XUẤT'!$B21)</f>
        <v>10</v>
      </c>
      <c r="H21" s="225">
        <f>SUMIFS('4.6'!$U21:$U39,'4.6'!$B21:$B39,'TỔNG XUẤT'!$B21)</f>
        <v>0</v>
      </c>
      <c r="I21" s="225">
        <f>SUMIFS('5.6'!$U21:$U39,'5.6'!$B21:$B39,'TỔNG XUẤT'!$B21)</f>
        <v>0</v>
      </c>
      <c r="J21" s="225">
        <f>SUMIFS('6.6'!$U21:$U39,'6.6'!$B21:$B39,'TỔNG XUẤT'!$B21)</f>
        <v>0</v>
      </c>
      <c r="K21" s="225">
        <f>SUMIFS('7.6'!$U21:$U39,'7.6'!$B21:$B39,'TỔNG XUẤT'!$B21)</f>
        <v>0</v>
      </c>
      <c r="L21" s="225">
        <f>SUMIFS('8.6'!$U21:$U39,'8.6'!$B21:$B39,'TỔNG XUẤT'!$B21)</f>
        <v>0</v>
      </c>
      <c r="M21" s="225">
        <f>SUMIFS('9.6'!$U21:$U39,'9.6'!$B21:$B39,'TỔNG XUẤT'!$B21)</f>
        <v>0</v>
      </c>
      <c r="N21" s="225">
        <f>SUMIFS('10.6'!$U21:$U39,'10.6'!$B21:$B39,'TỔNG XUẤT'!$B21)</f>
        <v>0</v>
      </c>
      <c r="O21" s="225">
        <f>SUMIFS('11.6'!$U21:$U39,'11.6'!$B21:$B39,'TỔNG XUẤT'!$B21)</f>
        <v>0</v>
      </c>
      <c r="P21" s="225">
        <f>SUMIFS('12.6'!$U21:$U39,'12.6'!$B21:$B39,'TỔNG XUẤT'!$B21)</f>
        <v>0</v>
      </c>
      <c r="Q21" s="225">
        <f>SUMIFS('13.6'!$U21:$U39,'13.6'!$B21:$B39,'TỔNG XUẤT'!$B21)</f>
        <v>0</v>
      </c>
      <c r="R21" s="225">
        <f>SUMIFS('14.6'!$U21:$U39,'14.6'!$B21:$B39,'TỔNG XUẤT'!$B21)</f>
        <v>0</v>
      </c>
      <c r="S21" s="225">
        <f>SUMIFS('15.6'!$U21:$U39,'15.6'!$B21:$B39,'TỔNG XUẤT'!$B21)</f>
        <v>23</v>
      </c>
      <c r="T21" s="225">
        <f>SUMIFS('16.6'!$U21:$U39,'16.6'!$B21:$B39,'TỔNG XUẤT'!$B21)</f>
        <v>0</v>
      </c>
      <c r="U21" s="225">
        <f>SUMIFS('17.6'!$U21:$U39,'17.6'!$B21:$B39,'TỔNG XUẤT'!$B21)</f>
        <v>0</v>
      </c>
      <c r="V21" s="225">
        <f>SUMIFS('18.6'!$U21:$U39,'18.6'!$B21:$B39,'TỔNG XUẤT'!$B21)</f>
        <v>0</v>
      </c>
      <c r="W21" s="225">
        <f>SUMIFS('19.6'!$U21:$U39,'19.6'!$B21:$B39,'TỔNG XUẤT'!$B21)</f>
        <v>20</v>
      </c>
      <c r="X21" s="225">
        <f>SUMIFS('20.6'!$U21:$U39,'20.6'!$B21:$B39,'TỔNG XUẤT'!$B21)</f>
        <v>1</v>
      </c>
      <c r="Y21" s="225">
        <f>SUMIFS('21.6'!$U21:$U39,'21.6'!$B21:$B39,'TỔNG XUẤT'!$B21)</f>
        <v>0</v>
      </c>
      <c r="Z21" s="225">
        <f>SUMIFS('22.6'!$U21:$U39,'22.6'!$B21:$B39,'TỔNG XUẤT'!$B21)</f>
        <v>3</v>
      </c>
      <c r="AA21" s="225">
        <f>SUMIFS('23.6'!$U21:$U39,'23.6'!$B21:$B39,'TỔNG XUẤT'!$B21)</f>
        <v>0</v>
      </c>
      <c r="AB21" s="225">
        <f>SUMIFS('24.6'!$U21:$U39,'24.6'!$B21:$B39,'TỔNG XUẤT'!$B21)</f>
        <v>6</v>
      </c>
      <c r="AC21" s="225">
        <f>SUMIFS('25.6'!$U21:$U39,'25.6'!$B21:$B39,'TỔNG XUẤT'!$B21)</f>
        <v>30</v>
      </c>
      <c r="AD21" s="225">
        <f>SUMIFS('26.6'!$U21:$U39,'26.6'!$B21:$B39,'TỔNG XUẤT'!$B21)</f>
        <v>0</v>
      </c>
      <c r="AE21" s="225">
        <f>SUMIFS('27.6'!$U21:$U39,'27.6'!$B21:$B39,'TỔNG XUẤT'!$B21)</f>
        <v>10</v>
      </c>
      <c r="AF21" s="225">
        <f>SUMIFS('28.6'!$U21:$U39,'28.6'!$B21:$B39,'TỔNG XUẤT'!$B21)</f>
        <v>10</v>
      </c>
      <c r="AG21" s="225">
        <f>SUMIFS('29.6'!$U21:$U39,'29.6'!$B21:$B39,'TỔNG XUẤT'!$B21)</f>
        <v>0</v>
      </c>
      <c r="AH21" s="225">
        <f>SUMIFS('30.6'!$U21:$U39,'30.6'!$B21:$B39,'TỔNG XUẤT'!$B21)</f>
        <v>0</v>
      </c>
      <c r="AI21" s="11"/>
    </row>
    <row r="22" spans="1:35" ht="18.75">
      <c r="A22" s="6"/>
      <c r="B22" s="20" t="s">
        <v>32</v>
      </c>
      <c r="C22" s="6"/>
      <c r="D22" s="9">
        <f t="shared" si="1"/>
        <v>0</v>
      </c>
      <c r="E22" s="225">
        <f>SUMIFS('1.6'!$U22:$U40,'1.6'!$B22:$B40,'TỔNG XUẤT'!$B22)</f>
        <v>0</v>
      </c>
      <c r="F22" s="225">
        <f>SUMIFS('2.6'!$U22:$U40,'2.6'!$B22:$B40,'TỔNG XUẤT'!$B22)</f>
        <v>0</v>
      </c>
      <c r="G22" s="225">
        <f>SUMIFS('3.6'!$U22:$U40,'3.6'!$B22:$B40,'TỔNG XUẤT'!$B22)</f>
        <v>0</v>
      </c>
      <c r="H22" s="225">
        <f>SUMIFS('4.6'!$U22:$U40,'4.6'!$B22:$B40,'TỔNG XUẤT'!$B22)</f>
        <v>0</v>
      </c>
      <c r="I22" s="225">
        <f>SUMIFS('5.6'!$U22:$U40,'5.6'!$B22:$B40,'TỔNG XUẤT'!$B22)</f>
        <v>0</v>
      </c>
      <c r="J22" s="225">
        <f>SUMIFS('6.6'!$U22:$U40,'6.6'!$B22:$B40,'TỔNG XUẤT'!$B22)</f>
        <v>0</v>
      </c>
      <c r="K22" s="225">
        <f>SUMIFS('7.6'!$U22:$U40,'7.6'!$B22:$B40,'TỔNG XUẤT'!$B22)</f>
        <v>0</v>
      </c>
      <c r="L22" s="225">
        <f>SUMIFS('8.6'!$U22:$U40,'8.6'!$B22:$B40,'TỔNG XUẤT'!$B22)</f>
        <v>0</v>
      </c>
      <c r="M22" s="225">
        <f>SUMIFS('9.6'!$U22:$U40,'9.6'!$B22:$B40,'TỔNG XUẤT'!$B22)</f>
        <v>0</v>
      </c>
      <c r="N22" s="225">
        <f>SUMIFS('10.6'!$U22:$U40,'10.6'!$B22:$B40,'TỔNG XUẤT'!$B22)</f>
        <v>0</v>
      </c>
      <c r="O22" s="225">
        <f>SUMIFS('11.6'!$U22:$U40,'11.6'!$B22:$B40,'TỔNG XUẤT'!$B22)</f>
        <v>0</v>
      </c>
      <c r="P22" s="225">
        <f>SUMIFS('12.6'!$U22:$U40,'12.6'!$B22:$B40,'TỔNG XUẤT'!$B22)</f>
        <v>0</v>
      </c>
      <c r="Q22" s="225">
        <f>SUMIFS('13.6'!$U22:$U40,'13.6'!$B22:$B40,'TỔNG XUẤT'!$B22)</f>
        <v>0</v>
      </c>
      <c r="R22" s="225">
        <f>SUMIFS('14.6'!$U22:$U40,'14.6'!$B22:$B40,'TỔNG XUẤT'!$B22)</f>
        <v>0</v>
      </c>
      <c r="S22" s="225">
        <f>SUMIFS('15.6'!$U22:$U40,'15.6'!$B22:$B40,'TỔNG XUẤT'!$B22)</f>
        <v>0</v>
      </c>
      <c r="T22" s="225">
        <f>SUMIFS('16.6'!$U22:$U40,'16.6'!$B22:$B40,'TỔNG XUẤT'!$B22)</f>
        <v>0</v>
      </c>
      <c r="U22" s="225">
        <f>SUMIFS('17.6'!$U22:$U40,'17.6'!$B22:$B40,'TỔNG XUẤT'!$B22)</f>
        <v>0</v>
      </c>
      <c r="V22" s="225">
        <f>SUMIFS('18.6'!$U22:$U40,'18.6'!$B22:$B40,'TỔNG XUẤT'!$B22)</f>
        <v>0</v>
      </c>
      <c r="W22" s="225">
        <f>SUMIFS('19.6'!$U22:$U40,'19.6'!$B22:$B40,'TỔNG XUẤT'!$B22)</f>
        <v>0</v>
      </c>
      <c r="X22" s="225">
        <f>SUMIFS('20.6'!$U22:$U40,'20.6'!$B22:$B40,'TỔNG XUẤT'!$B22)</f>
        <v>0</v>
      </c>
      <c r="Y22" s="225">
        <f>SUMIFS('21.6'!$U22:$U40,'21.6'!$B22:$B40,'TỔNG XUẤT'!$B22)</f>
        <v>0</v>
      </c>
      <c r="Z22" s="225">
        <f>SUMIFS('22.6'!$U22:$U40,'22.6'!$B22:$B40,'TỔNG XUẤT'!$B22)</f>
        <v>0</v>
      </c>
      <c r="AA22" s="225">
        <f>SUMIFS('23.6'!$U22:$U40,'23.6'!$B22:$B40,'TỔNG XUẤT'!$B22)</f>
        <v>0</v>
      </c>
      <c r="AB22" s="225">
        <f>SUMIFS('24.6'!$U22:$U40,'24.6'!$B22:$B40,'TỔNG XUẤT'!$B22)</f>
        <v>0</v>
      </c>
      <c r="AC22" s="225">
        <f>SUMIFS('25.6'!$U22:$U40,'25.6'!$B22:$B40,'TỔNG XUẤT'!$B22)</f>
        <v>0</v>
      </c>
      <c r="AD22" s="225">
        <f>SUMIFS('26.6'!$U22:$U40,'26.6'!$B22:$B40,'TỔNG XUẤT'!$B22)</f>
        <v>0</v>
      </c>
      <c r="AE22" s="225">
        <f>SUMIFS('27.6'!$U22:$U40,'27.6'!$B22:$B40,'TỔNG XUẤT'!$B22)</f>
        <v>0</v>
      </c>
      <c r="AF22" s="225">
        <f>SUMIFS('28.6'!$U22:$U40,'28.6'!$B22:$B40,'TỔNG XUẤT'!$B22)</f>
        <v>0</v>
      </c>
      <c r="AG22" s="225">
        <f>SUMIFS('29.6'!$U22:$U40,'29.6'!$B22:$B40,'TỔNG XUẤT'!$B22)</f>
        <v>0</v>
      </c>
      <c r="AH22" s="225">
        <f>SUMIFS('30.6'!$U22:$U40,'30.6'!$B22:$B40,'TỔNG XUẤT'!$B22)</f>
        <v>0</v>
      </c>
      <c r="AI22" s="11"/>
    </row>
    <row r="23" spans="1:35" ht="18.75">
      <c r="A23" s="22"/>
      <c r="B23" s="23"/>
      <c r="C23" s="218" t="s">
        <v>106</v>
      </c>
      <c r="D23" s="9">
        <f>SUM(E23:AH23)</f>
        <v>0</v>
      </c>
      <c r="E23" s="225">
        <f>SUMIFS('1.6'!$U23:$U41,'1.6'!$B23:$B41,'TỔNG XUẤT'!$B23)</f>
        <v>0</v>
      </c>
      <c r="F23" s="225">
        <f>SUMIFS('2.6'!$U23:$U41,'2.6'!$B23:$B41,'TỔNG XUẤT'!$B23)</f>
        <v>0</v>
      </c>
      <c r="G23" s="225">
        <f>SUMIFS('3.6'!$U23:$U41,'3.6'!$B23:$B41,'TỔNG XUẤT'!$B23)</f>
        <v>0</v>
      </c>
      <c r="H23" s="225">
        <f>SUMIFS('4.6'!$U23:$U41,'4.6'!$B23:$B41,'TỔNG XUẤT'!$B23)</f>
        <v>0</v>
      </c>
      <c r="I23" s="225">
        <f>SUMIFS('5.6'!$U23:$U41,'5.6'!$B23:$B41,'TỔNG XUẤT'!$B23)</f>
        <v>0</v>
      </c>
      <c r="J23" s="225">
        <f>SUMIFS('6.6'!$U23:$U41,'6.6'!$B23:$B41,'TỔNG XUẤT'!$B23)</f>
        <v>0</v>
      </c>
      <c r="K23" s="225">
        <f>SUMIFS('7.6'!$U23:$U41,'7.6'!$B23:$B41,'TỔNG XUẤT'!$B23)</f>
        <v>0</v>
      </c>
      <c r="L23" s="225">
        <f>SUMIFS('8.6'!$U23:$U41,'8.6'!$B23:$B41,'TỔNG XUẤT'!$B23)</f>
        <v>0</v>
      </c>
      <c r="M23" s="225">
        <f>SUMIFS('9.6'!$U23:$U41,'9.6'!$B23:$B41,'TỔNG XUẤT'!$B23)</f>
        <v>0</v>
      </c>
      <c r="N23" s="225">
        <f>SUMIFS('10.6'!$U23:$U41,'10.6'!$B23:$B41,'TỔNG XUẤT'!$B23)</f>
        <v>0</v>
      </c>
      <c r="O23" s="225">
        <f>SUMIFS('11.6'!$U23:$U41,'11.6'!$B23:$B41,'TỔNG XUẤT'!$B23)</f>
        <v>0</v>
      </c>
      <c r="P23" s="225">
        <f>SUMIFS('12.6'!$U23:$U41,'12.6'!$B23:$B41,'TỔNG XUẤT'!$B23)</f>
        <v>0</v>
      </c>
      <c r="Q23" s="225">
        <f>SUMIFS('13.6'!$U23:$U41,'13.6'!$B23:$B41,'TỔNG XUẤT'!$B23)</f>
        <v>0</v>
      </c>
      <c r="R23" s="225">
        <f>SUMIFS('14.6'!$U23:$U41,'14.6'!$B23:$B41,'TỔNG XUẤT'!$B23)</f>
        <v>0</v>
      </c>
      <c r="S23" s="225">
        <f>SUMIFS('15.6'!$U23:$U41,'15.6'!$B23:$B41,'TỔNG XUẤT'!$B23)</f>
        <v>0</v>
      </c>
      <c r="T23" s="225">
        <f>SUMIFS('16.6'!$U23:$U41,'16.6'!$B23:$B41,'TỔNG XUẤT'!$B23)</f>
        <v>0</v>
      </c>
      <c r="U23" s="225">
        <f>SUMIFS('17.6'!$U23:$U41,'17.6'!$B23:$B41,'TỔNG XUẤT'!$B23)</f>
        <v>0</v>
      </c>
      <c r="V23" s="225">
        <f>SUMIFS('18.6'!$U23:$U41,'18.6'!$B23:$B41,'TỔNG XUẤT'!$B23)</f>
        <v>0</v>
      </c>
      <c r="W23" s="225">
        <f>SUMIFS('19.6'!$U23:$U41,'19.6'!$B23:$B41,'TỔNG XUẤT'!$B23)</f>
        <v>0</v>
      </c>
      <c r="X23" s="225">
        <f>SUMIFS('20.6'!$U23:$U41,'20.6'!$B23:$B41,'TỔNG XUẤT'!$B23)</f>
        <v>0</v>
      </c>
      <c r="Y23" s="225">
        <f>SUMIFS('21.6'!$U23:$U41,'21.6'!$B23:$B41,'TỔNG XUẤT'!$B23)</f>
        <v>0</v>
      </c>
      <c r="Z23" s="225">
        <f>SUMIFS('22.6'!$U23:$U41,'22.6'!$B23:$B41,'TỔNG XUẤT'!$B23)</f>
        <v>0</v>
      </c>
      <c r="AA23" s="225">
        <f>SUMIFS('23.6'!$U23:$U41,'23.6'!$B23:$B41,'TỔNG XUẤT'!$B23)</f>
        <v>0</v>
      </c>
      <c r="AB23" s="225">
        <f>SUMIFS('24.6'!$U23:$U41,'24.6'!$B23:$B41,'TỔNG XUẤT'!$B23)</f>
        <v>0</v>
      </c>
      <c r="AC23" s="225">
        <f>SUMIFS('25.6'!$U23:$U41,'25.6'!$B23:$B41,'TỔNG XUẤT'!$B23)</f>
        <v>0</v>
      </c>
      <c r="AD23" s="225">
        <f>SUMIFS('26.6'!$U23:$U41,'26.6'!$B23:$B41,'TỔNG XUẤT'!$B23)</f>
        <v>0</v>
      </c>
      <c r="AE23" s="225">
        <f>SUMIFS('27.6'!$U23:$U41,'27.6'!$B23:$B41,'TỔNG XUẤT'!$B23)</f>
        <v>0</v>
      </c>
      <c r="AF23" s="225">
        <f>SUMIFS('28.6'!$U23:$U41,'28.6'!$B23:$B41,'TỔNG XUẤT'!$B23)</f>
        <v>0</v>
      </c>
      <c r="AG23" s="225">
        <f>SUMIFS('29.6'!$U23:$U41,'29.6'!$B23:$B41,'TỔNG XUẤT'!$B23)</f>
        <v>0</v>
      </c>
      <c r="AH23" s="225">
        <f>SUMIFS('30.6'!$U23:$U41,'30.6'!$B23:$B41,'TỔNG XUẤT'!$B23)</f>
        <v>0</v>
      </c>
      <c r="AI23" s="11"/>
    </row>
    <row r="24" spans="1:35" ht="18.75">
      <c r="A24" s="6">
        <v>1</v>
      </c>
      <c r="B24" s="20" t="s">
        <v>121</v>
      </c>
      <c r="C24" s="6" t="s">
        <v>111</v>
      </c>
      <c r="D24" s="9">
        <f t="shared" si="1"/>
        <v>40</v>
      </c>
      <c r="E24" s="225">
        <f>SUMIFS('1.6'!$U24:$U42,'1.6'!$B24:$B42,'TỔNG XUẤT'!$B24)</f>
        <v>2</v>
      </c>
      <c r="F24" s="225">
        <f>SUMIFS('2.6'!$U24:$U42,'2.6'!$B24:$B42,'TỔNG XUẤT'!$B24)</f>
        <v>0</v>
      </c>
      <c r="G24" s="225">
        <f>SUMIFS('3.6'!$U24:$U42,'3.6'!$B24:$B42,'TỔNG XUẤT'!$B24)</f>
        <v>2</v>
      </c>
      <c r="H24" s="225">
        <f>SUMIFS('4.6'!$U24:$U42,'4.6'!$B24:$B42,'TỔNG XUẤT'!$B24)</f>
        <v>0</v>
      </c>
      <c r="I24" s="225">
        <f>SUMIFS('5.6'!$U24:$U42,'5.6'!$B24:$B42,'TỔNG XUẤT'!$B24)</f>
        <v>0</v>
      </c>
      <c r="J24" s="225">
        <f>SUMIFS('6.6'!$U24:$U42,'6.6'!$B24:$B42,'TỔNG XUẤT'!$B24)</f>
        <v>0</v>
      </c>
      <c r="K24" s="225">
        <f>SUMIFS('7.6'!$U24:$U42,'7.6'!$B24:$B42,'TỔNG XUẤT'!$B24)</f>
        <v>0</v>
      </c>
      <c r="L24" s="225">
        <f>SUMIFS('8.6'!$U24:$U42,'8.6'!$B24:$B42,'TỔNG XUẤT'!$B24)</f>
        <v>0</v>
      </c>
      <c r="M24" s="225">
        <f>SUMIFS('9.6'!$U24:$U42,'9.6'!$B24:$B42,'TỔNG XUẤT'!$B24)</f>
        <v>0</v>
      </c>
      <c r="N24" s="225">
        <f>SUMIFS('10.6'!$U24:$U42,'10.6'!$B24:$B42,'TỔNG XUẤT'!$B24)</f>
        <v>0</v>
      </c>
      <c r="O24" s="225">
        <f>SUMIFS('11.6'!$U24:$U42,'11.6'!$B24:$B42,'TỔNG XUẤT'!$B24)</f>
        <v>0</v>
      </c>
      <c r="P24" s="225">
        <f>SUMIFS('12.6'!$U24:$U42,'12.6'!$B24:$B42,'TỔNG XUẤT'!$B24)</f>
        <v>0</v>
      </c>
      <c r="Q24" s="225">
        <f>SUMIFS('13.6'!$U24:$U42,'13.6'!$B24:$B42,'TỔNG XUẤT'!$B24)</f>
        <v>0</v>
      </c>
      <c r="R24" s="225">
        <f>SUMIFS('14.6'!$U24:$U42,'14.6'!$B24:$B42,'TỔNG XUẤT'!$B24)</f>
        <v>0</v>
      </c>
      <c r="S24" s="225">
        <f>SUMIFS('15.6'!$U24:$U42,'15.6'!$B24:$B42,'TỔNG XUẤT'!$B24)</f>
        <v>0</v>
      </c>
      <c r="T24" s="225">
        <f>SUMIFS('16.6'!$U24:$U42,'16.6'!$B24:$B42,'TỔNG XUẤT'!$B24)</f>
        <v>0</v>
      </c>
      <c r="U24" s="225">
        <f>SUMIFS('17.6'!$U24:$U42,'17.6'!$B24:$B42,'TỔNG XUẤT'!$B24)</f>
        <v>0</v>
      </c>
      <c r="V24" s="225">
        <f>SUMIFS('18.6'!$U24:$U42,'18.6'!$B24:$B42,'TỔNG XUẤT'!$B24)</f>
        <v>0</v>
      </c>
      <c r="W24" s="225">
        <f>SUMIFS('19.6'!$U24:$U42,'19.6'!$B24:$B42,'TỔNG XUẤT'!$B24)</f>
        <v>0</v>
      </c>
      <c r="X24" s="225">
        <f>SUMIFS('20.6'!$U24:$U42,'20.6'!$B24:$B42,'TỔNG XUẤT'!$B24)</f>
        <v>0</v>
      </c>
      <c r="Y24" s="225">
        <f>SUMIFS('21.6'!$U24:$U42,'21.6'!$B24:$B42,'TỔNG XUẤT'!$B24)</f>
        <v>18</v>
      </c>
      <c r="Z24" s="225">
        <f>SUMIFS('22.6'!$U24:$U42,'22.6'!$B24:$B42,'TỔNG XUẤT'!$B24)</f>
        <v>7</v>
      </c>
      <c r="AA24" s="225">
        <f>SUMIFS('23.6'!$U24:$U42,'23.6'!$B24:$B42,'TỔNG XUẤT'!$B24)</f>
        <v>0</v>
      </c>
      <c r="AB24" s="225">
        <f>SUMIFS('24.6'!$U24:$U42,'24.6'!$B24:$B42,'TỔNG XUẤT'!$B24)</f>
        <v>0</v>
      </c>
      <c r="AC24" s="225">
        <f>SUMIFS('25.6'!$U24:$U42,'25.6'!$B24:$B42,'TỔNG XUẤT'!$B24)</f>
        <v>0</v>
      </c>
      <c r="AD24" s="225">
        <f>SUMIFS('26.6'!$U24:$U42,'26.6'!$B24:$B42,'TỔNG XUẤT'!$B24)</f>
        <v>0</v>
      </c>
      <c r="AE24" s="225">
        <f>SUMIFS('27.6'!$U24:$U42,'27.6'!$B24:$B42,'TỔNG XUẤT'!$B24)</f>
        <v>4</v>
      </c>
      <c r="AF24" s="225">
        <f>SUMIFS('28.6'!$U24:$U42,'28.6'!$B24:$B42,'TỔNG XUẤT'!$B24)</f>
        <v>5</v>
      </c>
      <c r="AG24" s="225">
        <f>SUMIFS('29.6'!$U24:$U42,'29.6'!$B24:$B42,'TỔNG XUẤT'!$B24)</f>
        <v>2</v>
      </c>
      <c r="AH24" s="225">
        <f>SUMIFS('30.6'!$U24:$U42,'30.6'!$B24:$B42,'TỔNG XUẤT'!$B24)</f>
        <v>0</v>
      </c>
      <c r="AI24" s="11"/>
    </row>
    <row r="25" spans="1:35" ht="18.75">
      <c r="A25" s="6">
        <v>2</v>
      </c>
      <c r="B25" s="20" t="s">
        <v>122</v>
      </c>
      <c r="C25" s="6" t="s">
        <v>111</v>
      </c>
      <c r="D25" s="9">
        <f t="shared" si="1"/>
        <v>42</v>
      </c>
      <c r="E25" s="225">
        <f>SUMIFS('1.6'!$U25:$U43,'1.6'!$B25:$B43,'TỔNG XUẤT'!$B25)</f>
        <v>2</v>
      </c>
      <c r="F25" s="225">
        <f>SUMIFS('2.6'!$U25:$U43,'2.6'!$B25:$B43,'TỔNG XUẤT'!$B25)</f>
        <v>0</v>
      </c>
      <c r="G25" s="225">
        <f>SUMIFS('3.6'!$U25:$U43,'3.6'!$B25:$B43,'TỔNG XUẤT'!$B25)</f>
        <v>2</v>
      </c>
      <c r="H25" s="225">
        <f>SUMIFS('4.6'!$U25:$U43,'4.6'!$B25:$B43,'TỔNG XUẤT'!$B25)</f>
        <v>0</v>
      </c>
      <c r="I25" s="225">
        <f>SUMIFS('5.6'!$U25:$U43,'5.6'!$B25:$B43,'TỔNG XUẤT'!$B25)</f>
        <v>0</v>
      </c>
      <c r="J25" s="225">
        <f>SUMIFS('6.6'!$U25:$U43,'6.6'!$B25:$B43,'TỔNG XUẤT'!$B25)</f>
        <v>0</v>
      </c>
      <c r="K25" s="225">
        <f>SUMIFS('7.6'!$U25:$U43,'7.6'!$B25:$B43,'TỔNG XUẤT'!$B25)</f>
        <v>0</v>
      </c>
      <c r="L25" s="225">
        <f>SUMIFS('8.6'!$U25:$U43,'8.6'!$B25:$B43,'TỔNG XUẤT'!$B25)</f>
        <v>0</v>
      </c>
      <c r="M25" s="225">
        <f>SUMIFS('9.6'!$U25:$U43,'9.6'!$B25:$B43,'TỔNG XUẤT'!$B25)</f>
        <v>0</v>
      </c>
      <c r="N25" s="225">
        <f>SUMIFS('10.6'!$U25:$U43,'10.6'!$B25:$B43,'TỔNG XUẤT'!$B25)</f>
        <v>0</v>
      </c>
      <c r="O25" s="225">
        <f>SUMIFS('11.6'!$U25:$U43,'11.6'!$B25:$B43,'TỔNG XUẤT'!$B25)</f>
        <v>0</v>
      </c>
      <c r="P25" s="225">
        <f>SUMIFS('12.6'!$U25:$U43,'12.6'!$B25:$B43,'TỔNG XUẤT'!$B25)</f>
        <v>0</v>
      </c>
      <c r="Q25" s="225">
        <f>SUMIFS('13.6'!$U25:$U43,'13.6'!$B25:$B43,'TỔNG XUẤT'!$B25)</f>
        <v>0</v>
      </c>
      <c r="R25" s="225">
        <f>SUMIFS('14.6'!$U25:$U43,'14.6'!$B25:$B43,'TỔNG XUẤT'!$B25)</f>
        <v>0</v>
      </c>
      <c r="S25" s="225">
        <f>SUMIFS('15.6'!$U25:$U43,'15.6'!$B25:$B43,'TỔNG XUẤT'!$B25)</f>
        <v>0</v>
      </c>
      <c r="T25" s="225">
        <f>SUMIFS('16.6'!$U25:$U43,'16.6'!$B25:$B43,'TỔNG XUẤT'!$B25)</f>
        <v>0</v>
      </c>
      <c r="U25" s="225">
        <f>SUMIFS('17.6'!$U25:$U43,'17.6'!$B25:$B43,'TỔNG XUẤT'!$B25)</f>
        <v>0</v>
      </c>
      <c r="V25" s="225">
        <f>SUMIFS('18.6'!$U25:$U43,'18.6'!$B25:$B43,'TỔNG XUẤT'!$B25)</f>
        <v>0</v>
      </c>
      <c r="W25" s="225">
        <f>SUMIFS('19.6'!$U25:$U43,'19.6'!$B25:$B43,'TỔNG XUẤT'!$B25)</f>
        <v>0</v>
      </c>
      <c r="X25" s="225">
        <f>SUMIFS('20.6'!$U25:$U43,'20.6'!$B25:$B43,'TỔNG XUẤT'!$B25)</f>
        <v>0</v>
      </c>
      <c r="Y25" s="225">
        <f>SUMIFS('21.6'!$U25:$U43,'21.6'!$B25:$B43,'TỔNG XUẤT'!$B25)</f>
        <v>20</v>
      </c>
      <c r="Z25" s="225">
        <f>SUMIFS('22.6'!$U25:$U43,'22.6'!$B25:$B43,'TỔNG XUẤT'!$B25)</f>
        <v>7</v>
      </c>
      <c r="AA25" s="225">
        <f>SUMIFS('23.6'!$U25:$U43,'23.6'!$B25:$B43,'TỔNG XUẤT'!$B25)</f>
        <v>0</v>
      </c>
      <c r="AB25" s="225">
        <f>SUMIFS('24.6'!$U25:$U43,'24.6'!$B25:$B43,'TỔNG XUẤT'!$B25)</f>
        <v>0</v>
      </c>
      <c r="AC25" s="225">
        <f>SUMIFS('25.6'!$U25:$U43,'25.6'!$B25:$B43,'TỔNG XUẤT'!$B25)</f>
        <v>0</v>
      </c>
      <c r="AD25" s="225">
        <f>SUMIFS('26.6'!$U25:$U43,'26.6'!$B25:$B43,'TỔNG XUẤT'!$B25)</f>
        <v>0</v>
      </c>
      <c r="AE25" s="225">
        <f>SUMIFS('27.6'!$U25:$U43,'27.6'!$B25:$B43,'TỔNG XUẤT'!$B25)</f>
        <v>4</v>
      </c>
      <c r="AF25" s="225">
        <f>SUMIFS('28.6'!$U25:$U43,'28.6'!$B25:$B43,'TỔNG XUẤT'!$B25)</f>
        <v>5</v>
      </c>
      <c r="AG25" s="225">
        <f>SUMIFS('29.6'!$U25:$U43,'29.6'!$B25:$B43,'TỔNG XUẤT'!$B25)</f>
        <v>2</v>
      </c>
      <c r="AH25" s="225">
        <f>SUMIFS('30.6'!$U25:$U43,'30.6'!$B25:$B43,'TỔNG XUẤT'!$B25)</f>
        <v>0</v>
      </c>
      <c r="AI25" s="11"/>
    </row>
    <row r="26" spans="1:35" ht="18.75">
      <c r="A26" s="6">
        <v>3</v>
      </c>
      <c r="B26" s="20" t="s">
        <v>123</v>
      </c>
      <c r="C26" s="6" t="s">
        <v>111</v>
      </c>
      <c r="D26" s="9">
        <f t="shared" si="1"/>
        <v>42</v>
      </c>
      <c r="E26" s="225">
        <f>SUMIFS('1.6'!$U26:$U44,'1.6'!$B26:$B44,'TỔNG XUẤT'!$B26)</f>
        <v>2</v>
      </c>
      <c r="F26" s="225">
        <f>SUMIFS('2.6'!$U26:$U44,'2.6'!$B26:$B44,'TỔNG XUẤT'!$B26)</f>
        <v>0</v>
      </c>
      <c r="G26" s="225">
        <f>SUMIFS('3.6'!$U26:$U44,'3.6'!$B26:$B44,'TỔNG XUẤT'!$B26)</f>
        <v>2</v>
      </c>
      <c r="H26" s="225">
        <f>SUMIFS('4.6'!$U26:$U44,'4.6'!$B26:$B44,'TỔNG XUẤT'!$B26)</f>
        <v>0</v>
      </c>
      <c r="I26" s="225">
        <f>SUMIFS('5.6'!$U26:$U44,'5.6'!$B26:$B44,'TỔNG XUẤT'!$B26)</f>
        <v>0</v>
      </c>
      <c r="J26" s="225">
        <f>SUMIFS('6.6'!$U26:$U44,'6.6'!$B26:$B44,'TỔNG XUẤT'!$B26)</f>
        <v>0</v>
      </c>
      <c r="K26" s="225">
        <f>SUMIFS('7.6'!$U26:$U44,'7.6'!$B26:$B44,'TỔNG XUẤT'!$B26)</f>
        <v>0</v>
      </c>
      <c r="L26" s="225">
        <f>SUMIFS('8.6'!$U26:$U44,'8.6'!$B26:$B44,'TỔNG XUẤT'!$B26)</f>
        <v>0</v>
      </c>
      <c r="M26" s="225">
        <f>SUMIFS('9.6'!$U26:$U44,'9.6'!$B26:$B44,'TỔNG XUẤT'!$B26)</f>
        <v>0</v>
      </c>
      <c r="N26" s="225">
        <f>SUMIFS('10.6'!$U26:$U44,'10.6'!$B26:$B44,'TỔNG XUẤT'!$B26)</f>
        <v>0</v>
      </c>
      <c r="O26" s="225">
        <f>SUMIFS('11.6'!$U26:$U44,'11.6'!$B26:$B44,'TỔNG XUẤT'!$B26)</f>
        <v>0</v>
      </c>
      <c r="P26" s="225">
        <f>SUMIFS('12.6'!$U26:$U44,'12.6'!$B26:$B44,'TỔNG XUẤT'!$B26)</f>
        <v>0</v>
      </c>
      <c r="Q26" s="225">
        <f>SUMIFS('13.6'!$U26:$U44,'13.6'!$B26:$B44,'TỔNG XUẤT'!$B26)</f>
        <v>0</v>
      </c>
      <c r="R26" s="225">
        <f>SUMIFS('14.6'!$U26:$U44,'14.6'!$B26:$B44,'TỔNG XUẤT'!$B26)</f>
        <v>0</v>
      </c>
      <c r="S26" s="225">
        <f>SUMIFS('15.6'!$U26:$U44,'15.6'!$B26:$B44,'TỔNG XUẤT'!$B26)</f>
        <v>0</v>
      </c>
      <c r="T26" s="225">
        <f>SUMIFS('16.6'!$U26:$U44,'16.6'!$B26:$B44,'TỔNG XUẤT'!$B26)</f>
        <v>0</v>
      </c>
      <c r="U26" s="225">
        <f>SUMIFS('17.6'!$U26:$U44,'17.6'!$B26:$B44,'TỔNG XUẤT'!$B26)</f>
        <v>0</v>
      </c>
      <c r="V26" s="225">
        <f>SUMIFS('18.6'!$U26:$U44,'18.6'!$B26:$B44,'TỔNG XUẤT'!$B26)</f>
        <v>0</v>
      </c>
      <c r="W26" s="225">
        <f>SUMIFS('19.6'!$U26:$U44,'19.6'!$B26:$B44,'TỔNG XUẤT'!$B26)</f>
        <v>0</v>
      </c>
      <c r="X26" s="225">
        <f>SUMIFS('20.6'!$U26:$U44,'20.6'!$B26:$B44,'TỔNG XUẤT'!$B26)</f>
        <v>0</v>
      </c>
      <c r="Y26" s="225">
        <f>SUMIFS('21.6'!$U26:$U44,'21.6'!$B26:$B44,'TỔNG XUẤT'!$B26)</f>
        <v>20</v>
      </c>
      <c r="Z26" s="225">
        <f>SUMIFS('22.6'!$U26:$U44,'22.6'!$B26:$B44,'TỔNG XUẤT'!$B26)</f>
        <v>7</v>
      </c>
      <c r="AA26" s="225">
        <f>SUMIFS('23.6'!$U26:$U44,'23.6'!$B26:$B44,'TỔNG XUẤT'!$B26)</f>
        <v>0</v>
      </c>
      <c r="AB26" s="225">
        <f>SUMIFS('24.6'!$U26:$U44,'24.6'!$B26:$B44,'TỔNG XUẤT'!$B26)</f>
        <v>0</v>
      </c>
      <c r="AC26" s="225">
        <f>SUMIFS('25.6'!$U26:$U44,'25.6'!$B26:$B44,'TỔNG XUẤT'!$B26)</f>
        <v>0</v>
      </c>
      <c r="AD26" s="225">
        <f>SUMIFS('26.6'!$U26:$U44,'26.6'!$B26:$B44,'TỔNG XUẤT'!$B26)</f>
        <v>0</v>
      </c>
      <c r="AE26" s="225">
        <f>SUMIFS('27.6'!$U26:$U44,'27.6'!$B26:$B44,'TỔNG XUẤT'!$B26)</f>
        <v>4</v>
      </c>
      <c r="AF26" s="225">
        <f>SUMIFS('28.6'!$U26:$U44,'28.6'!$B26:$B44,'TỔNG XUẤT'!$B26)</f>
        <v>5</v>
      </c>
      <c r="AG26" s="225">
        <f>SUMIFS('29.6'!$U26:$U44,'29.6'!$B26:$B44,'TỔNG XUẤT'!$B26)</f>
        <v>2</v>
      </c>
      <c r="AH26" s="225">
        <f>SUMIFS('30.6'!$U26:$U44,'30.6'!$B26:$B44,'TỔNG XUẤT'!$B26)</f>
        <v>0</v>
      </c>
      <c r="AI26" s="11"/>
    </row>
    <row r="27" spans="1:35" ht="18.75">
      <c r="A27" s="6">
        <v>4</v>
      </c>
      <c r="B27" s="20"/>
      <c r="C27" s="6"/>
      <c r="D27" s="9">
        <v>0</v>
      </c>
      <c r="E27" s="225">
        <f>SUMIFS('1.6'!$U27:$U45,'1.6'!$B27:$B45,'TỔNG XUẤT'!$B27)</f>
        <v>0</v>
      </c>
      <c r="F27" s="225">
        <f>SUMIFS('2.6'!$U27:$U45,'2.6'!$B27:$B45,'TỔNG XUẤT'!$B27)</f>
        <v>0</v>
      </c>
      <c r="G27" s="225">
        <f>SUMIFS('3.6'!$U27:$U45,'3.6'!$B27:$B45,'TỔNG XUẤT'!$B27)</f>
        <v>0</v>
      </c>
      <c r="H27" s="225">
        <f>SUMIFS('4.6'!$U27:$U45,'4.6'!$B27:$B45,'TỔNG XUẤT'!$B27)</f>
        <v>0</v>
      </c>
      <c r="I27" s="225">
        <f>SUMIFS('5.6'!$U27:$U45,'5.6'!$B27:$B45,'TỔNG XUẤT'!$B27)</f>
        <v>0</v>
      </c>
      <c r="J27" s="225">
        <f>SUMIFS('6.6'!$U27:$U45,'6.6'!$B27:$B45,'TỔNG XUẤT'!$B27)</f>
        <v>0</v>
      </c>
      <c r="K27" s="225">
        <f>SUMIFS('7.6'!$U27:$U45,'7.6'!$B27:$B45,'TỔNG XUẤT'!$B27)</f>
        <v>0</v>
      </c>
      <c r="L27" s="225">
        <f>SUMIFS('8.6'!$U27:$U45,'8.6'!$B27:$B45,'TỔNG XUẤT'!$B27)</f>
        <v>0</v>
      </c>
      <c r="M27" s="225">
        <f>SUMIFS('9.6'!$U27:$U45,'9.6'!$B27:$B45,'TỔNG XUẤT'!$B27)</f>
        <v>0</v>
      </c>
      <c r="N27" s="225">
        <f>SUMIFS('10.6'!$U27:$U45,'10.6'!$B27:$B45,'TỔNG XUẤT'!$B27)</f>
        <v>0</v>
      </c>
      <c r="O27" s="225">
        <f>SUMIFS('11.6'!$U27:$U45,'11.6'!$B27:$B45,'TỔNG XUẤT'!$B27)</f>
        <v>0</v>
      </c>
      <c r="P27" s="225">
        <f>SUMIFS('12.6'!$U27:$U45,'12.6'!$B27:$B45,'TỔNG XUẤT'!$B27)</f>
        <v>0</v>
      </c>
      <c r="Q27" s="225">
        <f>SUMIFS('13.6'!$U27:$U45,'13.6'!$B27:$B45,'TỔNG XUẤT'!$B27)</f>
        <v>0</v>
      </c>
      <c r="R27" s="225">
        <f>SUMIFS('14.6'!$U27:$U45,'14.6'!$B27:$B45,'TỔNG XUẤT'!$B27)</f>
        <v>0</v>
      </c>
      <c r="S27" s="225">
        <f>SUMIFS('15.6'!$U27:$U45,'15.6'!$B27:$B45,'TỔNG XUẤT'!$B27)</f>
        <v>0</v>
      </c>
      <c r="T27" s="225">
        <f>SUMIFS('16.6'!$U27:$U45,'16.6'!$B27:$B45,'TỔNG XUẤT'!$B27)</f>
        <v>0</v>
      </c>
      <c r="U27" s="225">
        <f>SUMIFS('17.6'!$U27:$U45,'17.6'!$B27:$B45,'TỔNG XUẤT'!$B27)</f>
        <v>0</v>
      </c>
      <c r="V27" s="225">
        <f>SUMIFS('18.6'!$U27:$U45,'18.6'!$B27:$B45,'TỔNG XUẤT'!$B27)</f>
        <v>0</v>
      </c>
      <c r="W27" s="225">
        <f>SUMIFS('19.6'!$U27:$U45,'19.6'!$B27:$B45,'TỔNG XUẤT'!$B27)</f>
        <v>0</v>
      </c>
      <c r="X27" s="225">
        <f>SUMIFS('20.6'!$U27:$U45,'20.6'!$B27:$B45,'TỔNG XUẤT'!$B27)</f>
        <v>0</v>
      </c>
      <c r="Y27" s="225">
        <f>SUMIFS('21.6'!$U27:$U45,'21.6'!$B27:$B45,'TỔNG XUẤT'!$B27)</f>
        <v>0</v>
      </c>
      <c r="Z27" s="225">
        <f>SUMIFS('22.6'!$U27:$U45,'22.6'!$B27:$B45,'TỔNG XUẤT'!$B27)</f>
        <v>0</v>
      </c>
      <c r="AA27" s="225">
        <f>SUMIFS('23.6'!$U27:$U45,'23.6'!$B27:$B45,'TỔNG XUẤT'!$B27)</f>
        <v>0</v>
      </c>
      <c r="AB27" s="225">
        <f>SUMIFS('24.6'!$U27:$U45,'24.6'!$B27:$B45,'TỔNG XUẤT'!$B27)</f>
        <v>0</v>
      </c>
      <c r="AC27" s="225">
        <f>SUMIFS('25.6'!$U27:$U45,'25.6'!$B27:$B45,'TỔNG XUẤT'!$B27)</f>
        <v>0</v>
      </c>
      <c r="AD27" s="225">
        <f>SUMIFS('26.6'!$U27:$U45,'26.6'!$B27:$B45,'TỔNG XUẤT'!$B27)</f>
        <v>0</v>
      </c>
      <c r="AE27" s="225">
        <f>SUMIFS('27.6'!$U27:$U45,'27.6'!$B27:$B45,'TỔNG XUẤT'!$B27)</f>
        <v>0</v>
      </c>
      <c r="AF27" s="225">
        <f>SUMIFS('28.6'!$U27:$U45,'28.6'!$B27:$B45,'TỔNG XUẤT'!$B27)</f>
        <v>0</v>
      </c>
      <c r="AG27" s="225">
        <f>SUMIFS('29.6'!$U27:$U45,'29.6'!$B27:$B45,'TỔNG XUẤT'!$B27)</f>
        <v>0</v>
      </c>
      <c r="AH27" s="225">
        <f>SUMIFS('30.6'!$U27:$U45,'30.6'!$B27:$B45,'TỔNG XUẤT'!$B27)</f>
        <v>0</v>
      </c>
      <c r="AI27" s="11"/>
    </row>
    <row r="28" spans="1:35" ht="18.75">
      <c r="A28" s="26"/>
      <c r="B28" s="26"/>
      <c r="C28" s="6"/>
      <c r="D28" s="9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5"/>
      <c r="U28" s="226"/>
      <c r="V28" s="226"/>
      <c r="W28" s="226"/>
      <c r="X28" s="225"/>
      <c r="Y28" s="225"/>
      <c r="Z28" s="225"/>
      <c r="AA28" s="225"/>
      <c r="AB28" s="225"/>
      <c r="AC28" s="225"/>
      <c r="AD28" s="225"/>
      <c r="AE28" s="225"/>
      <c r="AF28" s="225"/>
      <c r="AG28" s="225"/>
      <c r="AH28" s="225"/>
      <c r="AI28" s="11"/>
    </row>
    <row r="29" spans="1:35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25"/>
      <c r="U29" s="9"/>
      <c r="V29" s="27"/>
      <c r="W29" s="9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E30" s="222">
        <f>E23+E28</f>
        <v>0</v>
      </c>
      <c r="F30" s="222"/>
      <c r="G30" s="222"/>
      <c r="T30" s="225">
        <f t="shared" ref="T30" si="2">SUM(F30:S30)</f>
        <v>0</v>
      </c>
    </row>
  </sheetData>
  <mergeCells count="8">
    <mergeCell ref="E6:AH6"/>
    <mergeCell ref="E5:AH5"/>
    <mergeCell ref="B2:W2"/>
    <mergeCell ref="A5:C5"/>
    <mergeCell ref="A6:A7"/>
    <mergeCell ref="B6:B7"/>
    <mergeCell ref="C6:C7"/>
    <mergeCell ref="D6:D7"/>
  </mergeCells>
  <pageMargins left="0.7" right="0.7" top="0.75" bottom="0.75" header="0.3" footer="0.3"/>
  <pageSetup orientation="landscape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0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DATE(2015,4,27)</f>
        <v>42121</v>
      </c>
      <c r="E5" s="293">
        <f>D5+1</f>
        <v>42122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50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54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VLOOKUP($B8,'2704'!$B8:$M22,11,0)</f>
        <v>165</v>
      </c>
      <c r="E8" s="10">
        <f>105+109+94</f>
        <v>308</v>
      </c>
      <c r="F8" s="11">
        <v>11</v>
      </c>
      <c r="G8" s="11">
        <v>100</v>
      </c>
      <c r="H8" s="11"/>
      <c r="I8" s="11"/>
      <c r="J8" s="11"/>
      <c r="K8" s="9">
        <f>D8+E8-SUM(F8:J8)</f>
        <v>362</v>
      </c>
      <c r="L8" s="9">
        <f>54+308</f>
        <v>362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VLOOKUP($B9,'2704'!$B9:$M23,11,0)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VLOOKUP($B10,'2704'!$B10:$M24,11,0)</f>
        <v>28</v>
      </c>
      <c r="E10" s="10">
        <v>209</v>
      </c>
      <c r="F10" s="11"/>
      <c r="G10" s="11">
        <v>40</v>
      </c>
      <c r="H10" s="11"/>
      <c r="I10" s="11"/>
      <c r="J10" s="11"/>
      <c r="K10" s="9">
        <f t="shared" si="1"/>
        <v>197</v>
      </c>
      <c r="L10" s="9">
        <v>197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VLOOKUP($B11,'2704'!$B11:$M25,11,0)</f>
        <v>323</v>
      </c>
      <c r="E11" s="10"/>
      <c r="F11" s="11"/>
      <c r="G11" s="11">
        <v>200</v>
      </c>
      <c r="H11" s="11"/>
      <c r="I11" s="11"/>
      <c r="J11" s="11"/>
      <c r="K11" s="9">
        <f t="shared" si="1"/>
        <v>123</v>
      </c>
      <c r="L11" s="9">
        <v>123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VLOOKUP($B12,'2704'!$B12:$M26,11,0)</f>
        <v>125</v>
      </c>
      <c r="E12" s="14">
        <f>120+124</f>
        <v>244</v>
      </c>
      <c r="F12" s="11">
        <v>11</v>
      </c>
      <c r="G12" s="11">
        <v>60</v>
      </c>
      <c r="H12" s="11"/>
      <c r="I12" s="11"/>
      <c r="J12" s="11"/>
      <c r="K12" s="9">
        <f t="shared" si="1"/>
        <v>298</v>
      </c>
      <c r="L12" s="9">
        <f>54+244</f>
        <v>298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VLOOKUP($B13,'2704'!$B13:$M27,11,0)</f>
        <v>158</v>
      </c>
      <c r="E13" s="14">
        <v>151</v>
      </c>
      <c r="F13" s="11">
        <v>10</v>
      </c>
      <c r="G13" s="11">
        <v>66</v>
      </c>
      <c r="H13" s="11"/>
      <c r="I13" s="11"/>
      <c r="J13" s="11"/>
      <c r="K13" s="9">
        <f t="shared" si="1"/>
        <v>233</v>
      </c>
      <c r="L13" s="9">
        <f>82+151</f>
        <v>233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VLOOKUP($B14,'2704'!$B14:$M28,11,0)</f>
        <v>1</v>
      </c>
      <c r="E14" s="14"/>
      <c r="F14" s="11"/>
      <c r="G14" s="11"/>
      <c r="H14" s="11"/>
      <c r="I14" s="11"/>
      <c r="J14" s="11"/>
      <c r="K14" s="9">
        <f t="shared" si="1"/>
        <v>1</v>
      </c>
      <c r="L14" s="9">
        <v>1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VLOOKUP($B15,'2704'!$B15:$M29,11,0)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VLOOKUP($B16,'2704'!$B16:$M30,11,0)</f>
        <v>6</v>
      </c>
      <c r="E16" s="14">
        <v>4</v>
      </c>
      <c r="F16" s="11">
        <v>1</v>
      </c>
      <c r="G16" s="11">
        <v>2</v>
      </c>
      <c r="H16" s="11"/>
      <c r="I16" s="11"/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VLOOKUP($B17,'2704'!$B17:$M31,11,0)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VLOOKUP($B18,'2704'!$B18:$M32,11,0)</f>
        <v>2</v>
      </c>
      <c r="E18" s="14"/>
      <c r="F18" s="11"/>
      <c r="G18" s="11">
        <v>1</v>
      </c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VLOOKUP($B19,'2704'!$B19:$M33,11,0)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VLOOKUP($B20,'2704'!$B20:$M34,11,0)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VLOOKUP($B21,'2704'!$B21:$M35,11,0)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VLOOKUP($B22,'2704'!$B22:$M36,11,0)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VLOOKUP($B24,'2504'!$B24:$M38,11,0)</f>
        <v>712</v>
      </c>
      <c r="E24" s="9">
        <f t="shared" ref="E24:K24" si="3">SUM(E8:E22)</f>
        <v>916</v>
      </c>
      <c r="F24" s="9"/>
      <c r="G24" s="9"/>
      <c r="H24" s="9"/>
      <c r="I24" s="9"/>
      <c r="J24" s="9"/>
      <c r="K24" s="9">
        <f t="shared" si="3"/>
        <v>1223</v>
      </c>
      <c r="L24" s="9"/>
      <c r="M24" s="9">
        <f>L24-K24</f>
        <v>-1223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VLOOKUP($B26,'2704'!$B26:$M29,11,0)</f>
        <v>228</v>
      </c>
      <c r="E26" s="10">
        <v>74</v>
      </c>
      <c r="F26" s="9">
        <v>74</v>
      </c>
      <c r="G26" s="11"/>
      <c r="H26" s="9"/>
      <c r="I26" s="9"/>
      <c r="J26" s="9"/>
      <c r="K26" s="9">
        <f t="shared" ref="K26" si="4">D26+E26-F26</f>
        <v>228</v>
      </c>
      <c r="L26" s="9">
        <v>228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VLOOKUP($B27,'2704'!$B27:$M30,11,0)</f>
        <v>60</v>
      </c>
      <c r="E27" s="9">
        <v>55</v>
      </c>
      <c r="F27" s="9">
        <v>20</v>
      </c>
      <c r="G27" s="11"/>
      <c r="H27" s="9"/>
      <c r="I27" s="9"/>
      <c r="J27" s="9"/>
      <c r="K27" s="9">
        <f>D27+E27-F27</f>
        <v>95</v>
      </c>
      <c r="L27" s="9">
        <v>95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VLOOKUP($B28,'2704'!$B28:$M31,11,0)</f>
        <v>432</v>
      </c>
      <c r="E28" s="9"/>
      <c r="F28" s="9">
        <v>130</v>
      </c>
      <c r="G28" s="11"/>
      <c r="H28" s="9"/>
      <c r="I28" s="9"/>
      <c r="J28" s="9"/>
      <c r="K28" s="9">
        <f>D28+E28-F28</f>
        <v>302</v>
      </c>
      <c r="L28" s="9">
        <v>302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VLOOKUP($B29,'2704'!$B29:$M32,11,0)</f>
        <v>91</v>
      </c>
      <c r="E29" s="9">
        <v>89</v>
      </c>
      <c r="F29" s="9"/>
      <c r="G29" s="11"/>
      <c r="H29" s="9"/>
      <c r="I29" s="9"/>
      <c r="J29" s="9"/>
      <c r="K29" s="9">
        <f>D29+E29-F29</f>
        <v>180</v>
      </c>
      <c r="L29" s="9">
        <v>180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5" max="5" width="12" customWidth="1"/>
    <col min="6" max="6" width="9.42578125" customWidth="1"/>
    <col min="7" max="7" width="10.7109375" customWidth="1"/>
    <col min="8" max="8" width="15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DATE(2015,4,28)</f>
        <v>42122</v>
      </c>
      <c r="E5" s="293">
        <f>D5+1</f>
        <v>42123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51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52</v>
      </c>
      <c r="H7" s="5" t="s">
        <v>55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VLOOKUP($B8,'2804'!$B8:$M22,11,0)</f>
        <v>362</v>
      </c>
      <c r="E8" s="10">
        <f>90+90+54</f>
        <v>234</v>
      </c>
      <c r="F8" s="11">
        <v>50</v>
      </c>
      <c r="G8" s="11">
        <v>200</v>
      </c>
      <c r="H8" s="11">
        <v>78</v>
      </c>
      <c r="I8" s="11"/>
      <c r="J8" s="11"/>
      <c r="K8" s="9">
        <f>D8+E8-SUM(F8:J8)</f>
        <v>268</v>
      </c>
      <c r="L8" s="9">
        <v>268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VLOOKUP($B9,'2804'!$B9:$M23,11,0)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VLOOKUP($B10,'2804'!$B10:$M24,11,0)</f>
        <v>197</v>
      </c>
      <c r="E10" s="10">
        <v>53</v>
      </c>
      <c r="F10" s="11"/>
      <c r="G10" s="11">
        <v>200</v>
      </c>
      <c r="H10" s="11">
        <v>50</v>
      </c>
      <c r="I10" s="11"/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VLOOKUP($B11,'2804'!$B11:$M25,11,0)</f>
        <v>123</v>
      </c>
      <c r="E11" s="10">
        <v>450</v>
      </c>
      <c r="F11" s="11"/>
      <c r="G11" s="11"/>
      <c r="H11" s="11">
        <v>123</v>
      </c>
      <c r="I11" s="11"/>
      <c r="J11" s="11"/>
      <c r="K11" s="9">
        <f t="shared" si="1"/>
        <v>450</v>
      </c>
      <c r="L11" s="9">
        <v>450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VLOOKUP($B12,'2804'!$B12:$M26,11,0)</f>
        <v>298</v>
      </c>
      <c r="E12" s="14">
        <v>119</v>
      </c>
      <c r="F12" s="11"/>
      <c r="G12" s="11">
        <v>140</v>
      </c>
      <c r="H12" s="11">
        <v>158</v>
      </c>
      <c r="I12" s="11"/>
      <c r="J12" s="11"/>
      <c r="K12" s="9">
        <f t="shared" si="1"/>
        <v>119</v>
      </c>
      <c r="L12" s="9">
        <v>119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VLOOKUP($B13,'2804'!$B13:$M27,11,0)</f>
        <v>233</v>
      </c>
      <c r="E13" s="14">
        <v>151</v>
      </c>
      <c r="F13" s="11"/>
      <c r="G13" s="11">
        <v>120</v>
      </c>
      <c r="H13" s="11">
        <v>114</v>
      </c>
      <c r="I13" s="11"/>
      <c r="J13" s="11"/>
      <c r="K13" s="9">
        <f t="shared" si="1"/>
        <v>150</v>
      </c>
      <c r="L13" s="9">
        <v>150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VLOOKUP($B14,'2804'!$B14:$M28,11,0)</f>
        <v>1</v>
      </c>
      <c r="E14" s="14"/>
      <c r="F14" s="11"/>
      <c r="G14" s="11"/>
      <c r="H14" s="11">
        <v>1</v>
      </c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VLOOKUP($B15,'2804'!$B15:$M29,11,0)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VLOOKUP($B16,'2804'!$B16:$M30,11,0)</f>
        <v>7</v>
      </c>
      <c r="E16" s="14">
        <v>4</v>
      </c>
      <c r="F16" s="11"/>
      <c r="G16" s="11">
        <v>4</v>
      </c>
      <c r="H16" s="11">
        <v>3</v>
      </c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VLOOKUP($B17,'2804'!$B17:$M31,11,0)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VLOOKUP($B18,'2804'!$B18:$M32,11,0)</f>
        <v>1</v>
      </c>
      <c r="E18" s="14"/>
      <c r="F18" s="11"/>
      <c r="G18" s="11">
        <v>1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VLOOKUP($B19,'2804'!$B19:$M33,11,0)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VLOOKUP($B20,'2804'!$B20:$M34,11,0)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VLOOKUP($B21,'2804'!$B21:$M35,11,0)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VLOOKUP($B22,'2804'!$B22:$M36,11,0)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VLOOKUP($B24,'2504'!$B24:$M38,11,0)</f>
        <v>712</v>
      </c>
      <c r="E24" s="9">
        <f t="shared" ref="E24:K24" si="3">SUM(E8:E22)</f>
        <v>1013</v>
      </c>
      <c r="F24" s="9"/>
      <c r="G24" s="9"/>
      <c r="H24" s="9"/>
      <c r="I24" s="9"/>
      <c r="J24" s="9"/>
      <c r="K24" s="9">
        <f t="shared" si="3"/>
        <v>994</v>
      </c>
      <c r="L24" s="9"/>
      <c r="M24" s="9">
        <f>L24-K24</f>
        <v>-994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VLOOKUP($B26,'2804'!$B26:$M29,11,0)</f>
        <v>228</v>
      </c>
      <c r="E26" s="10">
        <v>149</v>
      </c>
      <c r="F26" s="9">
        <v>130</v>
      </c>
      <c r="G26" s="11"/>
      <c r="H26" s="9"/>
      <c r="I26" s="9"/>
      <c r="J26" s="9"/>
      <c r="K26" s="9">
        <f t="shared" ref="K26" si="4">D26+E26-F26</f>
        <v>247</v>
      </c>
      <c r="L26" s="9">
        <v>247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VLOOKUP($B27,'2804'!$B27:$M30,11,0)</f>
        <v>95</v>
      </c>
      <c r="E27" s="9">
        <v>60</v>
      </c>
      <c r="F27" s="9">
        <v>40</v>
      </c>
      <c r="G27" s="11"/>
      <c r="H27" s="9"/>
      <c r="I27" s="9"/>
      <c r="J27" s="9"/>
      <c r="K27" s="9">
        <f>D27+E27-F27</f>
        <v>115</v>
      </c>
      <c r="L27" s="9">
        <v>115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VLOOKUP($B28,'2804'!$B28:$M31,11,0)</f>
        <v>302</v>
      </c>
      <c r="E28" s="9">
        <v>215</v>
      </c>
      <c r="F28" s="9">
        <v>152</v>
      </c>
      <c r="G28" s="11"/>
      <c r="H28" s="9"/>
      <c r="I28" s="9"/>
      <c r="J28" s="9"/>
      <c r="K28" s="9">
        <f>D28+E28-F28</f>
        <v>365</v>
      </c>
      <c r="L28" s="9">
        <v>365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VLOOKUP($B29,'2804'!$B29:$M32,11,0)</f>
        <v>180</v>
      </c>
      <c r="E29" s="9"/>
      <c r="F29" s="9">
        <v>85</v>
      </c>
      <c r="G29" s="11"/>
      <c r="H29" s="9"/>
      <c r="I29" s="9"/>
      <c r="J29" s="9"/>
      <c r="K29" s="9">
        <f>D29+E29-F29</f>
        <v>95</v>
      </c>
      <c r="L29" s="9">
        <v>95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20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0" max="10" width="10.85546875" customWidth="1"/>
    <col min="11" max="11" width="11.5703125" customWidth="1"/>
    <col min="12" max="12" width="11.140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</row>
    <row r="3" spans="1:12" ht="20.25">
      <c r="A3" s="1"/>
      <c r="B3" s="1"/>
      <c r="C3" s="1"/>
      <c r="D3" s="1"/>
      <c r="E3" s="2"/>
      <c r="F3" s="3"/>
      <c r="G3" s="3"/>
      <c r="H3" s="3"/>
      <c r="I3" s="3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.75">
      <c r="A5" s="292" t="s">
        <v>1</v>
      </c>
      <c r="B5" s="292"/>
      <c r="C5" s="292"/>
      <c r="D5" s="4">
        <f>DATE(2015,4,2)</f>
        <v>42096</v>
      </c>
      <c r="E5" s="293">
        <f>D5+1</f>
        <v>42097</v>
      </c>
      <c r="F5" s="294"/>
      <c r="G5" s="294"/>
      <c r="H5" s="294"/>
      <c r="I5" s="294"/>
      <c r="J5" s="294"/>
      <c r="K5" s="294"/>
      <c r="L5" s="294"/>
    </row>
    <row r="6" spans="1:12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302" t="s">
        <v>8</v>
      </c>
      <c r="K6" s="289" t="s">
        <v>9</v>
      </c>
      <c r="L6" s="289" t="s">
        <v>10</v>
      </c>
    </row>
    <row r="7" spans="1:12">
      <c r="A7" s="295"/>
      <c r="B7" s="296"/>
      <c r="C7" s="298"/>
      <c r="D7" s="290"/>
      <c r="E7" s="290"/>
      <c r="F7" s="5" t="s">
        <v>11</v>
      </c>
      <c r="G7" s="5" t="s">
        <v>42</v>
      </c>
      <c r="H7" s="5"/>
      <c r="I7" s="5"/>
      <c r="J7" s="302"/>
      <c r="K7" s="290"/>
      <c r="L7" s="290"/>
    </row>
    <row r="8" spans="1:12" ht="18.75">
      <c r="A8" s="6">
        <v>1</v>
      </c>
      <c r="B8" s="7" t="s">
        <v>12</v>
      </c>
      <c r="C8" s="8" t="s">
        <v>13</v>
      </c>
      <c r="D8" s="9">
        <f>VLOOKUP($B8,'0204'!$B8:$K22,10,0)</f>
        <v>165</v>
      </c>
      <c r="E8" s="10">
        <v>231</v>
      </c>
      <c r="F8" s="11">
        <v>46</v>
      </c>
      <c r="G8" s="11">
        <v>50</v>
      </c>
      <c r="H8" s="11"/>
      <c r="I8" s="11"/>
      <c r="J8" s="9">
        <f t="shared" ref="J8:J19" si="0">D8+E8-SUM(F8:I8)</f>
        <v>300</v>
      </c>
      <c r="K8" s="9">
        <f>250+50</f>
        <v>300</v>
      </c>
      <c r="L8" s="9">
        <f t="shared" ref="L8:L19" si="1">K8-J8</f>
        <v>0</v>
      </c>
    </row>
    <row r="9" spans="1:12" ht="18.75">
      <c r="A9" s="6">
        <v>2</v>
      </c>
      <c r="B9" s="12" t="s">
        <v>14</v>
      </c>
      <c r="C9" s="13" t="s">
        <v>13</v>
      </c>
      <c r="D9" s="9">
        <f>VLOOKUP($B9,'0204'!$B9:$K23,10,0)</f>
        <v>88</v>
      </c>
      <c r="E9" s="14">
        <v>80</v>
      </c>
      <c r="F9" s="11"/>
      <c r="G9" s="11">
        <v>80</v>
      </c>
      <c r="H9" s="11"/>
      <c r="I9" s="11"/>
      <c r="J9" s="9">
        <f t="shared" si="0"/>
        <v>88</v>
      </c>
      <c r="K9" s="9">
        <v>88</v>
      </c>
      <c r="L9" s="9">
        <f t="shared" si="1"/>
        <v>0</v>
      </c>
    </row>
    <row r="10" spans="1:12" ht="18.75">
      <c r="A10" s="6">
        <v>3</v>
      </c>
      <c r="B10" s="12" t="s">
        <v>15</v>
      </c>
      <c r="C10" s="8" t="s">
        <v>13</v>
      </c>
      <c r="D10" s="9">
        <f>VLOOKUP($B10,'0204'!$B10:$K24,10,0)</f>
        <v>120</v>
      </c>
      <c r="E10" s="10">
        <v>77</v>
      </c>
      <c r="F10" s="11">
        <v>6</v>
      </c>
      <c r="G10" s="11">
        <v>100</v>
      </c>
      <c r="H10" s="11"/>
      <c r="I10" s="11"/>
      <c r="J10" s="9">
        <f t="shared" si="0"/>
        <v>91</v>
      </c>
      <c r="K10" s="9">
        <f>14+77</f>
        <v>91</v>
      </c>
      <c r="L10" s="9">
        <f t="shared" si="1"/>
        <v>0</v>
      </c>
    </row>
    <row r="11" spans="1:12" ht="18.75">
      <c r="A11" s="6">
        <v>4</v>
      </c>
      <c r="B11" s="15" t="s">
        <v>16</v>
      </c>
      <c r="C11" s="6" t="s">
        <v>17</v>
      </c>
      <c r="D11" s="9">
        <f>VLOOKUP($B11,'0204'!$B11:$K25,10,0)</f>
        <v>282</v>
      </c>
      <c r="E11" s="10"/>
      <c r="F11" s="11"/>
      <c r="G11" s="11">
        <v>200</v>
      </c>
      <c r="H11" s="11"/>
      <c r="I11" s="11"/>
      <c r="J11" s="9">
        <f t="shared" si="0"/>
        <v>82</v>
      </c>
      <c r="K11" s="9">
        <v>80</v>
      </c>
      <c r="L11" s="9">
        <f t="shared" si="1"/>
        <v>-2</v>
      </c>
    </row>
    <row r="12" spans="1:12" ht="18.75">
      <c r="A12" s="6">
        <v>5</v>
      </c>
      <c r="B12" s="15" t="s">
        <v>18</v>
      </c>
      <c r="C12" s="6" t="s">
        <v>17</v>
      </c>
      <c r="D12" s="9">
        <f>VLOOKUP($B12,'0204'!$B12:$K26,10,0)</f>
        <v>130</v>
      </c>
      <c r="E12" s="14">
        <v>167</v>
      </c>
      <c r="F12" s="11">
        <v>20</v>
      </c>
      <c r="G12" s="11">
        <v>99</v>
      </c>
      <c r="H12" s="11"/>
      <c r="I12" s="11"/>
      <c r="J12" s="9">
        <f t="shared" si="0"/>
        <v>178</v>
      </c>
      <c r="K12" s="9">
        <v>178</v>
      </c>
      <c r="L12" s="9">
        <f t="shared" si="1"/>
        <v>0</v>
      </c>
    </row>
    <row r="13" spans="1:12" ht="18.75">
      <c r="A13" s="6">
        <v>6</v>
      </c>
      <c r="B13" s="16" t="s">
        <v>19</v>
      </c>
      <c r="C13" s="17" t="s">
        <v>17</v>
      </c>
      <c r="D13" s="9">
        <f>VLOOKUP($B13,'0204'!$B13:$K27,10,0)</f>
        <v>96</v>
      </c>
      <c r="E13" s="14">
        <v>76</v>
      </c>
      <c r="F13" s="11">
        <v>10</v>
      </c>
      <c r="G13" s="11">
        <v>76</v>
      </c>
      <c r="H13" s="11"/>
      <c r="I13" s="11"/>
      <c r="J13" s="9">
        <f t="shared" si="0"/>
        <v>86</v>
      </c>
      <c r="K13" s="9">
        <v>86</v>
      </c>
      <c r="L13" s="9">
        <f t="shared" si="1"/>
        <v>0</v>
      </c>
    </row>
    <row r="14" spans="1:12" ht="18.75">
      <c r="A14" s="6">
        <v>7</v>
      </c>
      <c r="B14" s="12" t="s">
        <v>20</v>
      </c>
      <c r="C14" s="6" t="s">
        <v>21</v>
      </c>
      <c r="D14" s="9">
        <f>VLOOKUP($B14,'0204'!$B14:$K28,10,0)</f>
        <v>0</v>
      </c>
      <c r="E14" s="14">
        <v>2</v>
      </c>
      <c r="F14" s="11"/>
      <c r="G14" s="11"/>
      <c r="H14" s="11"/>
      <c r="I14" s="11"/>
      <c r="J14" s="9">
        <f t="shared" si="0"/>
        <v>2</v>
      </c>
      <c r="K14" s="9">
        <v>2</v>
      </c>
      <c r="L14" s="9">
        <f t="shared" si="1"/>
        <v>0</v>
      </c>
    </row>
    <row r="15" spans="1:12" ht="18.75">
      <c r="A15" s="6">
        <v>8</v>
      </c>
      <c r="B15" s="12" t="s">
        <v>22</v>
      </c>
      <c r="C15" s="18" t="s">
        <v>21</v>
      </c>
      <c r="D15" s="9">
        <f>VLOOKUP($B15,'0204'!$B15:$K29,10,0)</f>
        <v>2</v>
      </c>
      <c r="E15" s="14"/>
      <c r="F15" s="11"/>
      <c r="G15" s="11"/>
      <c r="H15" s="11"/>
      <c r="I15" s="11"/>
      <c r="J15" s="9">
        <f t="shared" si="0"/>
        <v>2</v>
      </c>
      <c r="K15" s="9">
        <v>2</v>
      </c>
      <c r="L15" s="9">
        <f t="shared" si="1"/>
        <v>0</v>
      </c>
    </row>
    <row r="16" spans="1:12" ht="18.75">
      <c r="A16" s="6">
        <v>9</v>
      </c>
      <c r="B16" s="15" t="s">
        <v>23</v>
      </c>
      <c r="C16" s="8" t="s">
        <v>24</v>
      </c>
      <c r="D16" s="9">
        <f>VLOOKUP($B16,'0204'!$B16:$K30,10,0)</f>
        <v>3</v>
      </c>
      <c r="E16" s="14"/>
      <c r="F16" s="11"/>
      <c r="G16" s="11">
        <v>2</v>
      </c>
      <c r="H16" s="11"/>
      <c r="I16" s="11"/>
      <c r="J16" s="9">
        <f t="shared" si="0"/>
        <v>1</v>
      </c>
      <c r="K16" s="9">
        <v>1</v>
      </c>
      <c r="L16" s="9">
        <f t="shared" si="1"/>
        <v>0</v>
      </c>
    </row>
    <row r="17" spans="1:12" ht="18.75">
      <c r="A17" s="6">
        <v>10</v>
      </c>
      <c r="B17" s="19" t="s">
        <v>25</v>
      </c>
      <c r="C17" s="6" t="s">
        <v>21</v>
      </c>
      <c r="D17" s="9">
        <f>VLOOKUP($B17,'0204'!$B17:$K31,10,0)</f>
        <v>2</v>
      </c>
      <c r="E17" s="14"/>
      <c r="F17" s="11"/>
      <c r="G17" s="11">
        <v>1</v>
      </c>
      <c r="H17" s="11"/>
      <c r="I17" s="11"/>
      <c r="J17" s="9">
        <f t="shared" si="0"/>
        <v>1</v>
      </c>
      <c r="K17" s="9">
        <v>1</v>
      </c>
      <c r="L17" s="9">
        <f t="shared" si="1"/>
        <v>0</v>
      </c>
    </row>
    <row r="18" spans="1:12" ht="18.75">
      <c r="A18" s="6">
        <v>11</v>
      </c>
      <c r="B18" s="12" t="s">
        <v>26</v>
      </c>
      <c r="C18" s="6" t="s">
        <v>27</v>
      </c>
      <c r="D18" s="9">
        <f>VLOOKUP($B18,'0204'!$B18:$K32,10,0)</f>
        <v>0</v>
      </c>
      <c r="E18" s="14"/>
      <c r="F18" s="11"/>
      <c r="G18" s="11"/>
      <c r="H18" s="11"/>
      <c r="I18" s="11"/>
      <c r="J18" s="9">
        <f t="shared" si="0"/>
        <v>0</v>
      </c>
      <c r="K18" s="9"/>
      <c r="L18" s="9">
        <f t="shared" si="1"/>
        <v>0</v>
      </c>
    </row>
    <row r="19" spans="1:12" ht="18.75">
      <c r="A19" s="6">
        <v>12</v>
      </c>
      <c r="B19" s="12" t="s">
        <v>28</v>
      </c>
      <c r="C19" s="6" t="s">
        <v>27</v>
      </c>
      <c r="D19" s="9">
        <f>VLOOKUP($B19,'0204'!$B19:$K33,10,0)</f>
        <v>1</v>
      </c>
      <c r="E19" s="14">
        <v>3</v>
      </c>
      <c r="F19" s="11"/>
      <c r="G19" s="11">
        <v>1</v>
      </c>
      <c r="H19" s="11"/>
      <c r="I19" s="11"/>
      <c r="J19" s="9">
        <f t="shared" si="0"/>
        <v>3</v>
      </c>
      <c r="K19" s="9">
        <v>3</v>
      </c>
      <c r="L19" s="9">
        <f t="shared" si="1"/>
        <v>0</v>
      </c>
    </row>
    <row r="20" spans="1:12" ht="18.75">
      <c r="A20" s="6">
        <v>13</v>
      </c>
      <c r="B20" s="12" t="s">
        <v>29</v>
      </c>
      <c r="C20" s="6" t="s">
        <v>17</v>
      </c>
      <c r="D20" s="9">
        <f>VLOOKUP($B20,'0204'!$B20:$K34,10,0)</f>
        <v>0</v>
      </c>
      <c r="E20" s="14"/>
      <c r="F20" s="11"/>
      <c r="G20" s="11"/>
      <c r="H20" s="11"/>
      <c r="I20" s="11"/>
      <c r="J20" s="9"/>
      <c r="K20" s="9"/>
      <c r="L20" s="9"/>
    </row>
    <row r="21" spans="1:12" ht="18.75">
      <c r="A21" s="6">
        <v>14</v>
      </c>
      <c r="B21" s="20" t="s">
        <v>30</v>
      </c>
      <c r="C21" s="6" t="s">
        <v>17</v>
      </c>
      <c r="D21" s="9">
        <f>VLOOKUP($B21,'0204'!$B21:$K35,10,0)</f>
        <v>0</v>
      </c>
      <c r="E21" s="14"/>
      <c r="F21" s="11"/>
      <c r="G21" s="11"/>
      <c r="H21" s="11"/>
      <c r="I21" s="11"/>
      <c r="J21" s="9">
        <f>D21+E21-SUM(F21:I21)</f>
        <v>0</v>
      </c>
      <c r="K21" s="9"/>
      <c r="L21" s="9">
        <f t="shared" ref="L21" si="2">K21-J21</f>
        <v>0</v>
      </c>
    </row>
    <row r="22" spans="1:12" ht="18.75">
      <c r="A22" s="6">
        <v>15</v>
      </c>
      <c r="B22" s="20" t="s">
        <v>31</v>
      </c>
      <c r="C22" s="6" t="s">
        <v>17</v>
      </c>
      <c r="D22" s="9">
        <f>VLOOKUP($B22,'0204'!$B22:$K36,10,0)</f>
        <v>0</v>
      </c>
      <c r="E22" s="14"/>
      <c r="F22" s="11"/>
      <c r="G22" s="11"/>
      <c r="H22" s="11"/>
      <c r="I22" s="11"/>
      <c r="J22" s="9">
        <f>D22+E22-SUM(F22:I22)</f>
        <v>0</v>
      </c>
      <c r="K22" s="9"/>
      <c r="L22" s="9">
        <f>K22-J22</f>
        <v>0</v>
      </c>
    </row>
    <row r="23" spans="1:12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>
        <f>K23-J23</f>
        <v>0</v>
      </c>
    </row>
    <row r="24" spans="1:12" ht="18.75">
      <c r="A24" s="6"/>
      <c r="B24" s="20" t="s">
        <v>32</v>
      </c>
      <c r="C24" s="6"/>
      <c r="D24" s="9">
        <f t="shared" ref="D24" si="3">SUM(D8:D22)</f>
        <v>889</v>
      </c>
      <c r="E24" s="9">
        <f t="shared" ref="E24:K24" si="4">SUM(E8:E22)</f>
        <v>636</v>
      </c>
      <c r="F24" s="9">
        <f t="shared" si="4"/>
        <v>82</v>
      </c>
      <c r="G24" s="9">
        <f t="shared" si="4"/>
        <v>609</v>
      </c>
      <c r="H24" s="9">
        <f t="shared" si="4"/>
        <v>0</v>
      </c>
      <c r="I24" s="9">
        <f t="shared" si="4"/>
        <v>0</v>
      </c>
      <c r="J24" s="9">
        <f t="shared" si="4"/>
        <v>834</v>
      </c>
      <c r="K24" s="9">
        <f t="shared" si="4"/>
        <v>832</v>
      </c>
      <c r="L24" s="9">
        <f>K24-J24</f>
        <v>-2</v>
      </c>
    </row>
    <row r="25" spans="1:12" ht="18.75">
      <c r="A25" s="22"/>
      <c r="B25" s="23"/>
      <c r="C25" s="22"/>
      <c r="D25" s="24"/>
      <c r="E25" s="24"/>
      <c r="F25" s="25" t="s">
        <v>33</v>
      </c>
      <c r="G25" s="24"/>
      <c r="H25" s="24"/>
      <c r="I25" s="24"/>
      <c r="J25" s="24"/>
      <c r="K25" s="24"/>
      <c r="L25" s="24"/>
    </row>
    <row r="26" spans="1:12" ht="18.75">
      <c r="A26" s="6">
        <v>1</v>
      </c>
      <c r="B26" s="20" t="s">
        <v>34</v>
      </c>
      <c r="C26" s="6" t="s">
        <v>17</v>
      </c>
      <c r="D26" s="9">
        <f>VLOOKUP($B26,'0204'!$B26:$K29,10,0)</f>
        <v>214</v>
      </c>
      <c r="E26" s="10">
        <v>131</v>
      </c>
      <c r="F26" s="9">
        <v>127</v>
      </c>
      <c r="G26" s="11"/>
      <c r="H26" s="9"/>
      <c r="I26" s="9"/>
      <c r="J26" s="9">
        <f t="shared" ref="J26" si="5">D26+E26-F26</f>
        <v>218</v>
      </c>
      <c r="K26" s="9">
        <v>218</v>
      </c>
      <c r="L26" s="9">
        <f t="shared" ref="L26" si="6">K26-J26</f>
        <v>0</v>
      </c>
    </row>
    <row r="27" spans="1:12" ht="18.75">
      <c r="A27" s="6">
        <v>2</v>
      </c>
      <c r="B27" s="20" t="s">
        <v>35</v>
      </c>
      <c r="C27" s="6" t="s">
        <v>17</v>
      </c>
      <c r="D27" s="9">
        <f>VLOOKUP($B27,'0204'!$B27:$K30,10,0)</f>
        <v>90</v>
      </c>
      <c r="E27" s="9"/>
      <c r="F27" s="9">
        <v>15</v>
      </c>
      <c r="G27" s="11"/>
      <c r="H27" s="9"/>
      <c r="I27" s="9"/>
      <c r="J27" s="9">
        <f>D27+E27-F27</f>
        <v>75</v>
      </c>
      <c r="K27" s="9">
        <v>75</v>
      </c>
      <c r="L27" s="9">
        <f>K27-J27</f>
        <v>0</v>
      </c>
    </row>
    <row r="28" spans="1:12" ht="18.75">
      <c r="A28" s="6">
        <v>3</v>
      </c>
      <c r="B28" s="20" t="s">
        <v>36</v>
      </c>
      <c r="C28" s="6" t="s">
        <v>17</v>
      </c>
      <c r="D28" s="9">
        <f>VLOOKUP($B28,'0204'!$B28:$K31,10,0)</f>
        <v>359</v>
      </c>
      <c r="E28" s="9">
        <v>140</v>
      </c>
      <c r="F28" s="9">
        <v>114</v>
      </c>
      <c r="G28" s="11"/>
      <c r="H28" s="9"/>
      <c r="I28" s="9"/>
      <c r="J28" s="9">
        <f>D28+E28-F28</f>
        <v>385</v>
      </c>
      <c r="K28" s="9">
        <v>385</v>
      </c>
      <c r="L28" s="9">
        <f>K28-J28</f>
        <v>0</v>
      </c>
    </row>
    <row r="29" spans="1:12" ht="18.75">
      <c r="A29" s="6">
        <v>4</v>
      </c>
      <c r="B29" s="20" t="s">
        <v>37</v>
      </c>
      <c r="C29" s="6" t="s">
        <v>17</v>
      </c>
      <c r="D29" s="9">
        <f>VLOOKUP($B29,'0204'!$B29:$K32,10,0)</f>
        <v>82</v>
      </c>
      <c r="E29" s="9">
        <v>100</v>
      </c>
      <c r="F29" s="9">
        <v>37</v>
      </c>
      <c r="G29" s="11"/>
      <c r="H29" s="9"/>
      <c r="I29" s="9"/>
      <c r="J29" s="9">
        <f>D29+E29-F29</f>
        <v>145</v>
      </c>
      <c r="K29" s="9">
        <v>145</v>
      </c>
      <c r="L29" s="9">
        <f>K29-J29</f>
        <v>0</v>
      </c>
    </row>
    <row r="30" spans="1:12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</row>
    <row r="31" spans="1:12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</row>
  </sheetData>
  <mergeCells count="12">
    <mergeCell ref="K6:K7"/>
    <mergeCell ref="L6:L7"/>
    <mergeCell ref="B2:L2"/>
    <mergeCell ref="A5:C5"/>
    <mergeCell ref="E5:L5"/>
    <mergeCell ref="A6:A7"/>
    <mergeCell ref="B6:B7"/>
    <mergeCell ref="C6:C7"/>
    <mergeCell ref="D6:D7"/>
    <mergeCell ref="E6:E7"/>
    <mergeCell ref="F6:I6"/>
    <mergeCell ref="J6:J7"/>
  </mergeCells>
  <conditionalFormatting sqref="D23">
    <cfRule type="cellIs" dxfId="6" priority="1" stopIfTrue="1" operator="lessThan">
      <formula>0</formula>
    </cfRule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2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5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DATE(2015,4,29)</f>
        <v>42123</v>
      </c>
      <c r="E5" s="293">
        <f>D5+1</f>
        <v>42124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52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50</v>
      </c>
      <c r="H7" s="5" t="s">
        <v>38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VLOOKUP($B8,'2904'!$B8:$M22,11,0)</f>
        <v>268</v>
      </c>
      <c r="E8" s="10">
        <v>112</v>
      </c>
      <c r="F8" s="11">
        <v>100</v>
      </c>
      <c r="G8" s="11">
        <v>80</v>
      </c>
      <c r="H8" s="11"/>
      <c r="I8" s="11"/>
      <c r="J8" s="11"/>
      <c r="K8" s="9">
        <f>D8+E8-SUM(F8:J8)</f>
        <v>200</v>
      </c>
      <c r="L8" s="9">
        <f>84+116</f>
        <v>200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VLOOKUP($B9,'2904'!$B9:$M23,11,0)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VLOOKUP($B10,'2904'!$B10:$M24,11,0)</f>
        <v>0</v>
      </c>
      <c r="E10" s="10">
        <v>250</v>
      </c>
      <c r="F10" s="11"/>
      <c r="G10" s="11">
        <v>100</v>
      </c>
      <c r="H10" s="11">
        <v>20</v>
      </c>
      <c r="I10" s="11"/>
      <c r="J10" s="11"/>
      <c r="K10" s="9">
        <f t="shared" si="1"/>
        <v>130</v>
      </c>
      <c r="L10" s="9">
        <v>130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VLOOKUP($B11,'2904'!$B11:$M25,11,0)</f>
        <v>450</v>
      </c>
      <c r="E11" s="10"/>
      <c r="F11" s="11"/>
      <c r="G11" s="11"/>
      <c r="H11" s="11">
        <v>200</v>
      </c>
      <c r="I11" s="11"/>
      <c r="J11" s="11"/>
      <c r="K11" s="9">
        <f t="shared" si="1"/>
        <v>250</v>
      </c>
      <c r="L11" s="9">
        <v>250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VLOOKUP($B12,'2904'!$B12:$M26,11,0)</f>
        <v>119</v>
      </c>
      <c r="E12" s="14">
        <v>149</v>
      </c>
      <c r="F12" s="11"/>
      <c r="G12" s="11">
        <v>60</v>
      </c>
      <c r="H12" s="11"/>
      <c r="I12" s="11"/>
      <c r="J12" s="11"/>
      <c r="K12" s="9">
        <f t="shared" si="1"/>
        <v>208</v>
      </c>
      <c r="L12" s="9">
        <f>81+127</f>
        <v>208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VLOOKUP($B13,'2904'!$B13:$M27,11,0)</f>
        <v>150</v>
      </c>
      <c r="E13" s="14">
        <v>107</v>
      </c>
      <c r="F13" s="11"/>
      <c r="G13" s="11">
        <v>100</v>
      </c>
      <c r="H13" s="11"/>
      <c r="I13" s="11"/>
      <c r="J13" s="11"/>
      <c r="K13" s="9">
        <f t="shared" si="1"/>
        <v>157</v>
      </c>
      <c r="L13" s="9">
        <f>45+112</f>
        <v>157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VLOOKUP($B14,'2904'!$B14:$M28,11,0)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VLOOKUP($B15,'2904'!$B15:$M29,11,0)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VLOOKUP($B16,'2904'!$B16:$M30,11,0)</f>
        <v>4</v>
      </c>
      <c r="E16" s="14">
        <v>4</v>
      </c>
      <c r="F16" s="11">
        <v>1</v>
      </c>
      <c r="G16" s="11"/>
      <c r="H16" s="11">
        <v>2</v>
      </c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VLOOKUP($B17,'2904'!$B17:$M31,11,0)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VLOOKUP($B18,'2904'!$B18:$M32,11,0)</f>
        <v>0</v>
      </c>
      <c r="E18" s="14">
        <v>2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VLOOKUP($B19,'2904'!$B19:$M33,11,0)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VLOOKUP($B20,'2904'!$B20:$M34,11,0)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VLOOKUP($B21,'2904'!$B21:$M35,11,0)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VLOOKUP($B22,'2904'!$B22:$M36,11,0)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VLOOKUP($B24,'2504'!$B24:$M38,11,0)</f>
        <v>712</v>
      </c>
      <c r="E24" s="9">
        <f t="shared" ref="E24:K24" si="3">SUM(E8:E22)</f>
        <v>626</v>
      </c>
      <c r="F24" s="9"/>
      <c r="G24" s="9"/>
      <c r="H24" s="9"/>
      <c r="I24" s="9"/>
      <c r="J24" s="9"/>
      <c r="K24" s="9">
        <f t="shared" si="3"/>
        <v>957</v>
      </c>
      <c r="L24" s="9"/>
      <c r="M24" s="9">
        <f>L24-K24</f>
        <v>-957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VLOOKUP($B26,'2904'!$B26:$M29,11,0)</f>
        <v>247</v>
      </c>
      <c r="E26" s="10">
        <v>68</v>
      </c>
      <c r="F26" s="9">
        <v>64</v>
      </c>
      <c r="G26" s="11"/>
      <c r="H26" s="9"/>
      <c r="I26" s="9"/>
      <c r="J26" s="9"/>
      <c r="K26" s="9">
        <f t="shared" ref="K26" si="4">D26+E26-F26</f>
        <v>251</v>
      </c>
      <c r="L26" s="9">
        <v>251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VLOOKUP($B27,'2904'!$B27:$M30,11,0)</f>
        <v>115</v>
      </c>
      <c r="E27" s="9">
        <v>29</v>
      </c>
      <c r="F27" s="9">
        <v>39</v>
      </c>
      <c r="G27" s="11"/>
      <c r="H27" s="9"/>
      <c r="I27" s="9"/>
      <c r="J27" s="9"/>
      <c r="K27" s="9">
        <f>D27+E27-F27</f>
        <v>105</v>
      </c>
      <c r="L27" s="9">
        <v>105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VLOOKUP($B28,'2904'!$B28:$M31,11,0)</f>
        <v>365</v>
      </c>
      <c r="E28" s="9">
        <v>80</v>
      </c>
      <c r="F28" s="9">
        <v>80</v>
      </c>
      <c r="G28" s="11"/>
      <c r="H28" s="9"/>
      <c r="I28" s="9"/>
      <c r="J28" s="9"/>
      <c r="K28" s="9">
        <f>D28+E28-F28</f>
        <v>365</v>
      </c>
      <c r="L28" s="9">
        <v>365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VLOOKUP($B29,'2904'!$B29:$M32,11,0)</f>
        <v>95</v>
      </c>
      <c r="E29" s="9">
        <v>94</v>
      </c>
      <c r="F29" s="9">
        <v>30</v>
      </c>
      <c r="G29" s="11"/>
      <c r="H29" s="9"/>
      <c r="I29" s="9"/>
      <c r="J29" s="9"/>
      <c r="K29" s="9">
        <f>D29+E29-F29</f>
        <v>159</v>
      </c>
      <c r="L29" s="9">
        <v>159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5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DATE(2015,4,30)</f>
        <v>42124</v>
      </c>
      <c r="E5" s="293">
        <f>D5+1</f>
        <v>42125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53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50</v>
      </c>
      <c r="H7" s="5" t="s">
        <v>38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VLOOKUP($B8,'3004'!$B8:$M22,11,0)</f>
        <v>200</v>
      </c>
      <c r="E8" s="10">
        <f>78+78</f>
        <v>156</v>
      </c>
      <c r="F8" s="11">
        <v>60</v>
      </c>
      <c r="G8" s="11"/>
      <c r="H8" s="11"/>
      <c r="I8" s="11"/>
      <c r="J8" s="11"/>
      <c r="K8" s="9">
        <f>D8+E8-SUM(F8:J8)</f>
        <v>296</v>
      </c>
      <c r="L8" s="9">
        <f>140+156</f>
        <v>296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VLOOKUP($B9,'3004'!$B9:$M23,11,0)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VLOOKUP($B10,'3004'!$B10:$M24,11,0)</f>
        <v>130</v>
      </c>
      <c r="E10" s="10">
        <v>114</v>
      </c>
      <c r="F10" s="11">
        <v>43</v>
      </c>
      <c r="G10" s="11"/>
      <c r="H10" s="11"/>
      <c r="I10" s="11"/>
      <c r="J10" s="11"/>
      <c r="K10" s="9">
        <f t="shared" si="1"/>
        <v>201</v>
      </c>
      <c r="L10" s="9">
        <f>87+114</f>
        <v>201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VLOOKUP($B11,'3004'!$B11:$M25,11,0)</f>
        <v>250</v>
      </c>
      <c r="E11" s="10"/>
      <c r="F11" s="11"/>
      <c r="G11" s="11"/>
      <c r="H11" s="11"/>
      <c r="I11" s="11"/>
      <c r="J11" s="11"/>
      <c r="K11" s="9">
        <f t="shared" si="1"/>
        <v>250</v>
      </c>
      <c r="L11" s="9">
        <v>250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VLOOKUP($B12,'3004'!$B12:$M26,11,0)</f>
        <v>208</v>
      </c>
      <c r="E12" s="14">
        <v>173</v>
      </c>
      <c r="F12" s="11">
        <v>10</v>
      </c>
      <c r="G12" s="11"/>
      <c r="H12" s="11"/>
      <c r="I12" s="11"/>
      <c r="J12" s="11"/>
      <c r="K12" s="9">
        <f t="shared" si="1"/>
        <v>371</v>
      </c>
      <c r="L12" s="9">
        <f>127+71+173</f>
        <v>371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VLOOKUP($B13,'3004'!$B13:$M27,11,0)</f>
        <v>157</v>
      </c>
      <c r="E13" s="14">
        <v>120</v>
      </c>
      <c r="F13" s="11">
        <v>34</v>
      </c>
      <c r="G13" s="11"/>
      <c r="H13" s="11"/>
      <c r="I13" s="11"/>
      <c r="J13" s="11"/>
      <c r="K13" s="9">
        <f t="shared" si="1"/>
        <v>243</v>
      </c>
      <c r="L13" s="9">
        <f>123+120</f>
        <v>243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VLOOKUP($B14,'3004'!$B14:$M28,11,0)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VLOOKUP($B15,'3004'!$B15:$M29,11,0)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VLOOKUP($B16,'3004'!$B16:$M30,11,0)</f>
        <v>5</v>
      </c>
      <c r="E16" s="14">
        <v>4</v>
      </c>
      <c r="F16" s="11"/>
      <c r="G16" s="11"/>
      <c r="H16" s="11"/>
      <c r="I16" s="11"/>
      <c r="J16" s="11"/>
      <c r="K16" s="9">
        <f t="shared" si="1"/>
        <v>9</v>
      </c>
      <c r="L16" s="9">
        <v>9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VLOOKUP($B17,'3004'!$B17:$M31,11,0)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VLOOKUP($B18,'3004'!$B18:$M32,11,0)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VLOOKUP($B19,'3004'!$B19:$M33,11,0)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VLOOKUP($B20,'3004'!$B20:$M34,11,0)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VLOOKUP($B21,'3004'!$B21:$M35,11,0)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VLOOKUP($B22,'3004'!$B22:$M36,11,0)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VLOOKUP($B24,'3004'!$B24:$M38,11,0)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VLOOKUP($B26,'3004'!$B26:$M29,11,0)</f>
        <v>251</v>
      </c>
      <c r="E26" s="10">
        <v>73</v>
      </c>
      <c r="F26" s="9">
        <v>111</v>
      </c>
      <c r="G26" s="11"/>
      <c r="H26" s="9"/>
      <c r="I26" s="9"/>
      <c r="J26" s="9"/>
      <c r="K26" s="9">
        <f t="shared" ref="K26" si="4">D26+E26-F26</f>
        <v>213</v>
      </c>
      <c r="L26" s="9">
        <v>213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VLOOKUP($B27,'3004'!$B27:$M30,11,0)</f>
        <v>105</v>
      </c>
      <c r="E27" s="9">
        <v>65</v>
      </c>
      <c r="F27" s="9">
        <v>30</v>
      </c>
      <c r="G27" s="11"/>
      <c r="H27" s="9"/>
      <c r="I27" s="9"/>
      <c r="J27" s="9"/>
      <c r="K27" s="9">
        <f>D27+E27-F27</f>
        <v>140</v>
      </c>
      <c r="L27" s="9">
        <v>140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VLOOKUP($B28,'3004'!$B28:$M31,11,0)</f>
        <v>365</v>
      </c>
      <c r="E28" s="9">
        <v>155</v>
      </c>
      <c r="F28" s="9">
        <v>150</v>
      </c>
      <c r="G28" s="11"/>
      <c r="H28" s="9"/>
      <c r="I28" s="9"/>
      <c r="J28" s="9"/>
      <c r="K28" s="9">
        <f>D28+E28-F28</f>
        <v>370</v>
      </c>
      <c r="L28" s="9">
        <v>370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VLOOKUP($B29,'3004'!$B29:$M32,11,0)</f>
        <v>159</v>
      </c>
      <c r="E29" s="9">
        <v>34</v>
      </c>
      <c r="F29" s="9">
        <v>65</v>
      </c>
      <c r="G29" s="11"/>
      <c r="H29" s="9"/>
      <c r="I29" s="9"/>
      <c r="J29" s="9"/>
      <c r="K29" s="9">
        <f>D29+E29-F29</f>
        <v>128</v>
      </c>
      <c r="L29" s="9">
        <v>128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5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DATE(2015,5,1)</f>
        <v>42125</v>
      </c>
      <c r="E5" s="293">
        <f>D5+1</f>
        <v>42126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53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52</v>
      </c>
      <c r="H7" s="5" t="s">
        <v>51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VLOOKUP($B8,'0105'!$B8:$M22,11,0)</f>
        <v>296</v>
      </c>
      <c r="E8" s="10">
        <f>90+90+90+37</f>
        <v>307</v>
      </c>
      <c r="F8" s="11">
        <v>50</v>
      </c>
      <c r="G8" s="11">
        <v>296</v>
      </c>
      <c r="H8" s="11"/>
      <c r="I8" s="11"/>
      <c r="J8" s="11"/>
      <c r="K8" s="9">
        <f t="shared" ref="K8:K19" si="0">D8+E8-SUM(F8:J8)</f>
        <v>257</v>
      </c>
      <c r="L8" s="9">
        <v>257</v>
      </c>
      <c r="M8" s="9">
        <f t="shared" ref="M8:M19" si="1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VLOOKUP($B9,'0105'!$B9:$M23,11,0)</f>
        <v>0</v>
      </c>
      <c r="E9" s="14"/>
      <c r="F9" s="11"/>
      <c r="G9" s="11"/>
      <c r="H9" s="11"/>
      <c r="I9" s="11"/>
      <c r="J9" s="11"/>
      <c r="K9" s="9">
        <f t="shared" si="0"/>
        <v>0</v>
      </c>
      <c r="L9" s="9"/>
      <c r="M9" s="9">
        <f t="shared" si="1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VLOOKUP($B10,'0105'!$B10:$M24,11,0)</f>
        <v>201</v>
      </c>
      <c r="E10" s="10">
        <v>79</v>
      </c>
      <c r="F10" s="11"/>
      <c r="G10" s="11">
        <v>192</v>
      </c>
      <c r="H10" s="11"/>
      <c r="I10" s="11"/>
      <c r="J10" s="11"/>
      <c r="K10" s="9">
        <f t="shared" si="0"/>
        <v>88</v>
      </c>
      <c r="L10" s="9">
        <v>88</v>
      </c>
      <c r="M10" s="9">
        <f t="shared" si="1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VLOOKUP($B11,'0105'!$B11:$M25,11,0)</f>
        <v>250</v>
      </c>
      <c r="E11" s="10"/>
      <c r="F11" s="11"/>
      <c r="G11" s="11"/>
      <c r="H11" s="11">
        <v>80</v>
      </c>
      <c r="I11" s="11"/>
      <c r="J11" s="11"/>
      <c r="K11" s="9">
        <f t="shared" si="0"/>
        <v>170</v>
      </c>
      <c r="L11" s="9">
        <v>170</v>
      </c>
      <c r="M11" s="9">
        <f t="shared" si="1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VLOOKUP($B12,'0105'!$B12:$M26,11,0)</f>
        <v>371</v>
      </c>
      <c r="E12" s="14">
        <f>88+120</f>
        <v>208</v>
      </c>
      <c r="F12" s="11"/>
      <c r="G12" s="11">
        <v>300</v>
      </c>
      <c r="H12" s="11">
        <v>9</v>
      </c>
      <c r="I12" s="11"/>
      <c r="J12" s="11"/>
      <c r="K12" s="9">
        <f t="shared" si="0"/>
        <v>270</v>
      </c>
      <c r="L12" s="9">
        <v>270</v>
      </c>
      <c r="M12" s="9">
        <f t="shared" si="1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VLOOKUP($B13,'0105'!$B13:$M27,11,0)</f>
        <v>243</v>
      </c>
      <c r="E13" s="14">
        <v>166</v>
      </c>
      <c r="F13" s="11"/>
      <c r="G13" s="11">
        <v>200</v>
      </c>
      <c r="H13" s="11">
        <v>63</v>
      </c>
      <c r="I13" s="11"/>
      <c r="J13" s="11"/>
      <c r="K13" s="9">
        <f t="shared" si="0"/>
        <v>146</v>
      </c>
      <c r="L13" s="9">
        <v>146</v>
      </c>
      <c r="M13" s="9">
        <f t="shared" si="1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VLOOKUP($B14,'0105'!$B14:$M28,11,0)</f>
        <v>2</v>
      </c>
      <c r="E14" s="14"/>
      <c r="F14" s="11"/>
      <c r="G14" s="11"/>
      <c r="H14" s="11"/>
      <c r="I14" s="11"/>
      <c r="J14" s="11"/>
      <c r="K14" s="9">
        <f t="shared" si="0"/>
        <v>2</v>
      </c>
      <c r="L14" s="9">
        <v>2</v>
      </c>
      <c r="M14" s="9">
        <f t="shared" si="1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VLOOKUP($B15,'0105'!$B15:$M29,11,0)</f>
        <v>0</v>
      </c>
      <c r="E15" s="14"/>
      <c r="F15" s="11"/>
      <c r="G15" s="11"/>
      <c r="H15" s="11"/>
      <c r="I15" s="11"/>
      <c r="J15" s="11"/>
      <c r="K15" s="9">
        <f t="shared" si="0"/>
        <v>0</v>
      </c>
      <c r="L15" s="9"/>
      <c r="M15" s="9">
        <f t="shared" si="1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VLOOKUP($B16,'0105'!$B16:$M30,11,0)</f>
        <v>9</v>
      </c>
      <c r="E16" s="14"/>
      <c r="F16" s="11"/>
      <c r="G16" s="11">
        <v>2</v>
      </c>
      <c r="H16" s="11"/>
      <c r="I16" s="11"/>
      <c r="J16" s="11"/>
      <c r="K16" s="9">
        <f t="shared" si="0"/>
        <v>7</v>
      </c>
      <c r="L16" s="9">
        <v>7</v>
      </c>
      <c r="M16" s="9">
        <f t="shared" si="1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VLOOKUP($B17,'0105'!$B17:$M31,11,0)</f>
        <v>2</v>
      </c>
      <c r="E17" s="14"/>
      <c r="F17" s="11"/>
      <c r="G17" s="11"/>
      <c r="H17" s="11"/>
      <c r="I17" s="11"/>
      <c r="J17" s="11"/>
      <c r="K17" s="9">
        <f t="shared" si="0"/>
        <v>2</v>
      </c>
      <c r="L17" s="9">
        <v>2</v>
      </c>
      <c r="M17" s="9">
        <f t="shared" si="1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VLOOKUP($B18,'0105'!$B18:$M32,11,0)</f>
        <v>2</v>
      </c>
      <c r="E18" s="14"/>
      <c r="F18" s="11"/>
      <c r="G18" s="11"/>
      <c r="H18" s="11"/>
      <c r="I18" s="11"/>
      <c r="J18" s="11"/>
      <c r="K18" s="9">
        <f t="shared" si="0"/>
        <v>2</v>
      </c>
      <c r="L18" s="9">
        <v>2</v>
      </c>
      <c r="M18" s="9">
        <f t="shared" si="1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VLOOKUP($B19,'0105'!$B19:$M33,11,0)</f>
        <v>1</v>
      </c>
      <c r="E19" s="14">
        <v>2</v>
      </c>
      <c r="F19" s="11"/>
      <c r="G19" s="11"/>
      <c r="H19" s="11"/>
      <c r="I19" s="11"/>
      <c r="J19" s="11"/>
      <c r="K19" s="9">
        <f t="shared" si="0"/>
        <v>3</v>
      </c>
      <c r="L19" s="9">
        <v>3</v>
      </c>
      <c r="M19" s="9">
        <f t="shared" si="1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VLOOKUP($B20,'0105'!$B20:$M34,11,0)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VLOOKUP($B21,'0105'!$B21:$M35,11,0)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VLOOKUP($B22,'0105'!$B22:$M36,11,0)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VLOOKUP($B24,'0105'!$B24:$M38,11,0)</f>
        <v>0</v>
      </c>
      <c r="E24" s="9"/>
      <c r="F24" s="9"/>
      <c r="G24" s="9"/>
      <c r="H24" s="9"/>
      <c r="I24" s="9"/>
      <c r="J24" s="9"/>
      <c r="K24" s="9">
        <f>D24+E24-SUM(F24:I24)</f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VLOOKUP($B26,'0105'!$B26:$M29,11,0)</f>
        <v>213</v>
      </c>
      <c r="E26" s="10">
        <v>134</v>
      </c>
      <c r="F26" s="9">
        <v>130</v>
      </c>
      <c r="G26" s="11"/>
      <c r="H26" s="9"/>
      <c r="I26" s="9"/>
      <c r="J26" s="9"/>
      <c r="K26" s="9">
        <f>D26+E26-F26</f>
        <v>217</v>
      </c>
      <c r="L26" s="9">
        <v>217</v>
      </c>
      <c r="M26" s="9">
        <f t="shared" ref="M26" si="3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VLOOKUP($B27,'0105'!$B27:$M30,11,0)</f>
        <v>140</v>
      </c>
      <c r="E27" s="9"/>
      <c r="F27" s="9">
        <v>50</v>
      </c>
      <c r="G27" s="11"/>
      <c r="H27" s="9"/>
      <c r="I27" s="9"/>
      <c r="J27" s="9"/>
      <c r="K27" s="9">
        <f>D27+E27-F27</f>
        <v>90</v>
      </c>
      <c r="L27" s="9">
        <v>90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VLOOKUP($B28,'0105'!$B28:$M31,11,0)</f>
        <v>370</v>
      </c>
      <c r="E28" s="9">
        <v>159</v>
      </c>
      <c r="F28" s="9">
        <v>145</v>
      </c>
      <c r="G28" s="11"/>
      <c r="H28" s="9"/>
      <c r="I28" s="9"/>
      <c r="J28" s="9"/>
      <c r="K28" s="9">
        <f>D28+E28-F28</f>
        <v>384</v>
      </c>
      <c r="L28" s="9">
        <v>384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VLOOKUP($B29,'0105'!$B29:$M32,11,0)</f>
        <v>128</v>
      </c>
      <c r="E29" s="9">
        <v>86</v>
      </c>
      <c r="F29" s="9">
        <v>69</v>
      </c>
      <c r="G29" s="11"/>
      <c r="H29" s="9"/>
      <c r="I29" s="9"/>
      <c r="J29" s="9"/>
      <c r="K29" s="9">
        <f>D29+E29-F29</f>
        <v>145</v>
      </c>
      <c r="L29" s="9">
        <v>145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5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DATE(2015,5,2)</f>
        <v>42126</v>
      </c>
      <c r="E5" s="293">
        <f>D5+1</f>
        <v>42127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53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52</v>
      </c>
      <c r="H7" s="5" t="s">
        <v>51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VLOOKUP($B8,'0205'!$B8:$M22,11,0)</f>
        <v>257</v>
      </c>
      <c r="E8" s="10">
        <v>74</v>
      </c>
      <c r="F8" s="11">
        <v>50</v>
      </c>
      <c r="G8" s="11"/>
      <c r="H8" s="11"/>
      <c r="I8" s="11"/>
      <c r="J8" s="11"/>
      <c r="K8" s="9">
        <f>D8+E8-SUM(F8:J8)</f>
        <v>281</v>
      </c>
      <c r="L8" s="9">
        <v>281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VLOOKUP($B9,'0205'!$B9:$M23,11,0)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VLOOKUP($B10,'0205'!$B10:$M24,11,0)</f>
        <v>88</v>
      </c>
      <c r="E10" s="10">
        <v>147</v>
      </c>
      <c r="F10" s="11"/>
      <c r="G10" s="11"/>
      <c r="H10" s="11"/>
      <c r="I10" s="11"/>
      <c r="J10" s="11"/>
      <c r="K10" s="9">
        <f t="shared" si="1"/>
        <v>235</v>
      </c>
      <c r="L10" s="9">
        <v>235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VLOOKUP($B11,'0205'!$B11:$M25,11,0)</f>
        <v>170</v>
      </c>
      <c r="E11" s="10"/>
      <c r="F11" s="11"/>
      <c r="G11" s="11"/>
      <c r="H11" s="11"/>
      <c r="I11" s="11"/>
      <c r="J11" s="11"/>
      <c r="K11" s="9">
        <f t="shared" si="1"/>
        <v>170</v>
      </c>
      <c r="L11" s="9">
        <v>170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VLOOKUP($B12,'0205'!$B12:$M26,11,0)</f>
        <v>270</v>
      </c>
      <c r="E12" s="14">
        <v>116</v>
      </c>
      <c r="F12" s="11"/>
      <c r="G12" s="11"/>
      <c r="H12" s="11"/>
      <c r="I12" s="11"/>
      <c r="J12" s="11"/>
      <c r="K12" s="9">
        <f t="shared" si="1"/>
        <v>386</v>
      </c>
      <c r="L12" s="9">
        <v>386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VLOOKUP($B13,'0205'!$B13:$M27,11,0)</f>
        <v>146</v>
      </c>
      <c r="E13" s="14">
        <v>74</v>
      </c>
      <c r="F13" s="11"/>
      <c r="G13" s="11"/>
      <c r="H13" s="11"/>
      <c r="I13" s="11"/>
      <c r="J13" s="11"/>
      <c r="K13" s="9">
        <f t="shared" si="1"/>
        <v>220</v>
      </c>
      <c r="L13" s="9">
        <v>220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VLOOKUP($B14,'0205'!$B14:$M28,11,0)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VLOOKUP($B15,'0205'!$B15:$M29,11,0)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VLOOKUP($B16,'0205'!$B16:$M30,11,0)</f>
        <v>7</v>
      </c>
      <c r="E16" s="14">
        <v>2</v>
      </c>
      <c r="F16" s="11"/>
      <c r="G16" s="11"/>
      <c r="H16" s="11"/>
      <c r="I16" s="11"/>
      <c r="J16" s="11"/>
      <c r="K16" s="9">
        <f t="shared" si="1"/>
        <v>9</v>
      </c>
      <c r="L16" s="9">
        <v>9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VLOOKUP($B17,'0205'!$B17:$M31,11,0)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VLOOKUP($B18,'0205'!$B18:$M32,11,0)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VLOOKUP($B19,'0205'!$B19:$M33,11,0)</f>
        <v>3</v>
      </c>
      <c r="E19" s="14"/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VLOOKUP($B20,'0205'!$B20:$M34,11,0)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VLOOKUP($B21,'0205'!$B21:$M35,11,0)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VLOOKUP($B22,'0205'!$B22:$M36,11,0)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VLOOKUP($B24,'0205'!$B24:$M38,11,0)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VLOOKUP($B26,'0205'!$B26:$M29,11,0)</f>
        <v>217</v>
      </c>
      <c r="E26" s="10">
        <v>121</v>
      </c>
      <c r="F26" s="9">
        <v>137</v>
      </c>
      <c r="G26" s="11"/>
      <c r="H26" s="9"/>
      <c r="I26" s="9"/>
      <c r="J26" s="9"/>
      <c r="K26" s="9">
        <f t="shared" ref="K26" si="4">D26+E26-F26</f>
        <v>201</v>
      </c>
      <c r="L26" s="9">
        <v>201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VLOOKUP($B27,'0205'!$B27:$M30,11,0)</f>
        <v>90</v>
      </c>
      <c r="E27" s="9"/>
      <c r="F27" s="9">
        <v>20</v>
      </c>
      <c r="G27" s="11"/>
      <c r="H27" s="9"/>
      <c r="I27" s="9"/>
      <c r="J27" s="9"/>
      <c r="K27" s="9">
        <f>D27+E27-F27</f>
        <v>70</v>
      </c>
      <c r="L27" s="9">
        <v>70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VLOOKUP($B28,'0205'!$B28:$M31,11,0)</f>
        <v>384</v>
      </c>
      <c r="E28" s="9">
        <v>130</v>
      </c>
      <c r="F28" s="9">
        <v>178</v>
      </c>
      <c r="G28" s="11"/>
      <c r="H28" s="9"/>
      <c r="I28" s="9"/>
      <c r="J28" s="9"/>
      <c r="K28" s="9">
        <f>D28+E28-F28</f>
        <v>336</v>
      </c>
      <c r="L28" s="9">
        <v>336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VLOOKUP($B29,'0205'!$B29:$M32,11,0)</f>
        <v>145</v>
      </c>
      <c r="E29" s="9">
        <v>91</v>
      </c>
      <c r="F29" s="9">
        <v>71</v>
      </c>
      <c r="G29" s="11"/>
      <c r="H29" s="9"/>
      <c r="I29" s="9"/>
      <c r="J29" s="9"/>
      <c r="K29" s="9">
        <f>D29+E29-F29</f>
        <v>165</v>
      </c>
      <c r="L29" s="9">
        <v>165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5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DATE(2015,5,3)</f>
        <v>42127</v>
      </c>
      <c r="E5" s="293">
        <f>D5+1</f>
        <v>42128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53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50</v>
      </c>
      <c r="H7" s="5" t="s">
        <v>45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VLOOKUP($B8,'0305'!$B8:$M22,11,0)</f>
        <v>281</v>
      </c>
      <c r="E8" s="10"/>
      <c r="F8" s="11">
        <v>50</v>
      </c>
      <c r="G8" s="11"/>
      <c r="H8" s="11"/>
      <c r="I8" s="11"/>
      <c r="J8" s="11"/>
      <c r="K8" s="9">
        <f>D8+E8-SUM(F8:J8)</f>
        <v>231</v>
      </c>
      <c r="L8" s="9">
        <v>231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VLOOKUP($B9,'0305'!$B9:$M23,11,0)</f>
        <v>0</v>
      </c>
      <c r="E9" s="14">
        <f>73+75+63</f>
        <v>211</v>
      </c>
      <c r="F9" s="11"/>
      <c r="G9" s="11"/>
      <c r="H9" s="11"/>
      <c r="I9" s="11"/>
      <c r="J9" s="11"/>
      <c r="K9" s="9">
        <f t="shared" ref="K9:K19" si="1">D9+E9-SUM(F9:J9)</f>
        <v>211</v>
      </c>
      <c r="L9" s="9">
        <v>211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VLOOKUP($B10,'0305'!$B10:$M24,11,0)</f>
        <v>235</v>
      </c>
      <c r="E10" s="10">
        <v>78</v>
      </c>
      <c r="F10" s="11">
        <v>8</v>
      </c>
      <c r="G10" s="11"/>
      <c r="H10" s="11"/>
      <c r="I10" s="11"/>
      <c r="J10" s="11"/>
      <c r="K10" s="9">
        <f t="shared" si="1"/>
        <v>305</v>
      </c>
      <c r="L10" s="9">
        <v>305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VLOOKUP($B11,'0305'!$B11:$M25,11,0)</f>
        <v>170</v>
      </c>
      <c r="E11" s="10">
        <v>297</v>
      </c>
      <c r="F11" s="11"/>
      <c r="G11" s="11"/>
      <c r="H11" s="11"/>
      <c r="I11" s="11"/>
      <c r="J11" s="11"/>
      <c r="K11" s="9">
        <f t="shared" si="1"/>
        <v>467</v>
      </c>
      <c r="L11" s="9">
        <f>170+297</f>
        <v>467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VLOOKUP($B12,'0305'!$B12:$M26,11,0)</f>
        <v>386</v>
      </c>
      <c r="E12" s="14">
        <v>78</v>
      </c>
      <c r="F12" s="11">
        <v>24</v>
      </c>
      <c r="G12" s="11"/>
      <c r="H12" s="11"/>
      <c r="I12" s="11"/>
      <c r="J12" s="11"/>
      <c r="K12" s="9">
        <f t="shared" si="1"/>
        <v>440</v>
      </c>
      <c r="L12" s="9">
        <v>440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VLOOKUP($B13,'0305'!$B13:$M27,11,0)</f>
        <v>220</v>
      </c>
      <c r="E13" s="14">
        <v>109</v>
      </c>
      <c r="F13" s="11">
        <v>30</v>
      </c>
      <c r="G13" s="11"/>
      <c r="H13" s="11"/>
      <c r="I13" s="11"/>
      <c r="J13" s="11"/>
      <c r="K13" s="9">
        <f t="shared" si="1"/>
        <v>299</v>
      </c>
      <c r="L13" s="9">
        <v>299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VLOOKUP($B14,'0305'!$B14:$M28,11,0)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VLOOKUP($B15,'0305'!$B15:$M29,11,0)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VLOOKUP($B16,'0305'!$B16:$M30,11,0)</f>
        <v>9</v>
      </c>
      <c r="E16" s="14">
        <v>2</v>
      </c>
      <c r="F16" s="11">
        <v>1</v>
      </c>
      <c r="G16" s="11"/>
      <c r="H16" s="11"/>
      <c r="I16" s="11"/>
      <c r="J16" s="11"/>
      <c r="K16" s="9">
        <f t="shared" si="1"/>
        <v>10</v>
      </c>
      <c r="L16" s="9">
        <v>10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VLOOKUP($B17,'0305'!$B17:$M31,11,0)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VLOOKUP($B18,'0305'!$B18:$M32,11,0)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VLOOKUP($B19,'0305'!$B19:$M33,11,0)</f>
        <v>3</v>
      </c>
      <c r="E19" s="14"/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VLOOKUP($B20,'0305'!$B20:$M34,11,0)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VLOOKUP($B21,'0305'!$B21:$M35,11,0)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VLOOKUP($B22,'0305'!$B22:$M36,11,0)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VLOOKUP($B26,'0305'!$B26:$M29,11,0)</f>
        <v>201</v>
      </c>
      <c r="E26" s="10">
        <v>126</v>
      </c>
      <c r="F26" s="9">
        <v>128</v>
      </c>
      <c r="G26" s="11"/>
      <c r="H26" s="9"/>
      <c r="I26" s="9"/>
      <c r="J26" s="9"/>
      <c r="K26" s="9">
        <f t="shared" ref="K26" si="4">D26+E26-F26</f>
        <v>199</v>
      </c>
      <c r="L26" s="9">
        <v>199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VLOOKUP($B27,'0305'!$B27:$M30,11,0)</f>
        <v>70</v>
      </c>
      <c r="E27" s="9">
        <v>53</v>
      </c>
      <c r="F27" s="9">
        <v>36</v>
      </c>
      <c r="G27" s="11"/>
      <c r="H27" s="9"/>
      <c r="I27" s="9"/>
      <c r="J27" s="9"/>
      <c r="K27" s="9">
        <f>D27+E27-F27</f>
        <v>87</v>
      </c>
      <c r="L27" s="9">
        <v>87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VLOOKUP($B28,'0305'!$B28:$M31,11,0)</f>
        <v>336</v>
      </c>
      <c r="E28" s="9">
        <v>126</v>
      </c>
      <c r="F28" s="9">
        <v>94</v>
      </c>
      <c r="G28" s="11"/>
      <c r="H28" s="9"/>
      <c r="I28" s="9"/>
      <c r="J28" s="9"/>
      <c r="K28" s="9">
        <f>D28+E28-F28</f>
        <v>368</v>
      </c>
      <c r="L28" s="9">
        <v>368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VLOOKUP($B29,'0305'!$B29:$M32,11,0)</f>
        <v>165</v>
      </c>
      <c r="E29" s="9"/>
      <c r="F29" s="9">
        <v>65</v>
      </c>
      <c r="G29" s="11"/>
      <c r="H29" s="9"/>
      <c r="I29" s="9"/>
      <c r="J29" s="9"/>
      <c r="K29" s="9">
        <f>D29+E29-F29</f>
        <v>100</v>
      </c>
      <c r="L29" s="9">
        <v>100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0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DATE(2015,5,4)</f>
        <v>42128</v>
      </c>
      <c r="E5" s="293">
        <f>D5+1</f>
        <v>42129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53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50</v>
      </c>
      <c r="H7" s="5" t="s">
        <v>45</v>
      </c>
      <c r="I7" s="5" t="s">
        <v>40</v>
      </c>
      <c r="J7" s="5" t="s">
        <v>39</v>
      </c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VLOOKUP($B8,'0405'!$B8:$M22,11,0)</f>
        <v>231</v>
      </c>
      <c r="E8" s="10">
        <f>100+95+18</f>
        <v>213</v>
      </c>
      <c r="F8" s="11">
        <v>50</v>
      </c>
      <c r="G8" s="11">
        <v>77</v>
      </c>
      <c r="H8" s="11">
        <v>70</v>
      </c>
      <c r="I8" s="11">
        <v>40</v>
      </c>
      <c r="J8" s="11">
        <v>50</v>
      </c>
      <c r="K8" s="9">
        <f>D8+E8-SUM(F8:J8)</f>
        <v>157</v>
      </c>
      <c r="L8" s="9">
        <v>157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VLOOKUP($B9,'0405'!$B9:$M23,11,0)</f>
        <v>211</v>
      </c>
      <c r="E9" s="14"/>
      <c r="F9" s="11"/>
      <c r="G9" s="11">
        <v>80</v>
      </c>
      <c r="H9" s="11">
        <v>30</v>
      </c>
      <c r="I9" s="11">
        <v>30</v>
      </c>
      <c r="J9" s="11">
        <v>50</v>
      </c>
      <c r="K9" s="9">
        <f t="shared" ref="K9:K19" si="1">D9+E9-SUM(F9:J9)</f>
        <v>21</v>
      </c>
      <c r="L9" s="9">
        <v>21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VLOOKUP($B10,'0405'!$B10:$M24,11,0)</f>
        <v>305</v>
      </c>
      <c r="E10" s="10">
        <v>108</v>
      </c>
      <c r="F10" s="11"/>
      <c r="G10" s="11">
        <v>40</v>
      </c>
      <c r="H10" s="11">
        <v>29</v>
      </c>
      <c r="I10" s="11">
        <v>40</v>
      </c>
      <c r="J10" s="11">
        <v>50</v>
      </c>
      <c r="K10" s="9">
        <f t="shared" si="1"/>
        <v>254</v>
      </c>
      <c r="L10" s="9">
        <v>254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VLOOKUP($B11,'0405'!$B11:$M25,11,0)</f>
        <v>467</v>
      </c>
      <c r="E11" s="10">
        <v>308</v>
      </c>
      <c r="F11" s="11"/>
      <c r="G11" s="11"/>
      <c r="H11" s="11"/>
      <c r="I11" s="11"/>
      <c r="J11" s="11">
        <v>160</v>
      </c>
      <c r="K11" s="9">
        <f t="shared" si="1"/>
        <v>615</v>
      </c>
      <c r="L11" s="9">
        <v>615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VLOOKUP($B12,'0405'!$B12:$M26,11,0)</f>
        <v>440</v>
      </c>
      <c r="E12" s="14">
        <v>127</v>
      </c>
      <c r="F12" s="11"/>
      <c r="G12" s="11">
        <v>58</v>
      </c>
      <c r="H12" s="11">
        <v>50</v>
      </c>
      <c r="I12" s="11">
        <v>70</v>
      </c>
      <c r="J12" s="11">
        <v>60</v>
      </c>
      <c r="K12" s="9">
        <f t="shared" si="1"/>
        <v>329</v>
      </c>
      <c r="L12" s="9">
        <f>16+106+80+127</f>
        <v>329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VLOOKUP($B13,'0405'!$B13:$M27,11,0)</f>
        <v>299</v>
      </c>
      <c r="E13" s="14">
        <v>63</v>
      </c>
      <c r="F13" s="11"/>
      <c r="G13" s="11">
        <v>70</v>
      </c>
      <c r="H13" s="11"/>
      <c r="I13" s="11">
        <v>40</v>
      </c>
      <c r="J13" s="11">
        <v>60</v>
      </c>
      <c r="K13" s="9">
        <f t="shared" si="1"/>
        <v>192</v>
      </c>
      <c r="L13" s="9">
        <v>192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VLOOKUP($B14,'0405'!$B14:$M28,11,0)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VLOOKUP($B15,'0405'!$B15:$M29,11,0)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VLOOKUP($B16,'0405'!$B16:$M30,11,0)</f>
        <v>10</v>
      </c>
      <c r="E16" s="14"/>
      <c r="F16" s="11"/>
      <c r="G16" s="11">
        <v>1</v>
      </c>
      <c r="H16" s="11">
        <v>2</v>
      </c>
      <c r="I16" s="11">
        <v>1</v>
      </c>
      <c r="J16" s="11">
        <v>2</v>
      </c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VLOOKUP($B17,'0405'!$B17:$M31,11,0)</f>
        <v>2</v>
      </c>
      <c r="E17" s="14"/>
      <c r="F17" s="11"/>
      <c r="G17" s="11"/>
      <c r="H17" s="11">
        <v>1</v>
      </c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VLOOKUP($B18,'0405'!$B18:$M32,11,0)</f>
        <v>2</v>
      </c>
      <c r="E18" s="14">
        <v>2</v>
      </c>
      <c r="F18" s="11"/>
      <c r="G18" s="11">
        <v>1</v>
      </c>
      <c r="H18" s="11"/>
      <c r="I18" s="11"/>
      <c r="J18" s="11">
        <v>1</v>
      </c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VLOOKUP($B19,'0405'!$B19:$M33,11,0)</f>
        <v>3</v>
      </c>
      <c r="E19" s="14"/>
      <c r="F19" s="11"/>
      <c r="G19" s="11"/>
      <c r="H19" s="11"/>
      <c r="I19" s="11">
        <v>2</v>
      </c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VLOOKUP($B20,'0405'!$B20:$M34,11,0)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VLOOKUP($B21,'0405'!$B21:$M35,11,0)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VLOOKUP($B22,'0405'!$B22:$M36,11,0)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VLOOKUP($B26,'0405'!$B26:$M29,11,0)</f>
        <v>199</v>
      </c>
      <c r="E26" s="10">
        <v>135</v>
      </c>
      <c r="F26" s="9">
        <v>90</v>
      </c>
      <c r="G26" s="11"/>
      <c r="H26" s="9"/>
      <c r="I26" s="9"/>
      <c r="J26" s="9"/>
      <c r="K26" s="9">
        <f t="shared" ref="K26" si="4">D26+E26-F26</f>
        <v>244</v>
      </c>
      <c r="L26" s="9">
        <v>244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VLOOKUP($B27,'0405'!$B27:$M30,11,0)</f>
        <v>87</v>
      </c>
      <c r="E27" s="9">
        <v>62</v>
      </c>
      <c r="F27" s="9">
        <v>50</v>
      </c>
      <c r="G27" s="11"/>
      <c r="H27" s="9"/>
      <c r="I27" s="9"/>
      <c r="J27" s="9"/>
      <c r="K27" s="9">
        <f>D27+E27-F27</f>
        <v>99</v>
      </c>
      <c r="L27" s="9">
        <v>99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VLOOKUP($B28,'0405'!$B28:$M31,11,0)</f>
        <v>368</v>
      </c>
      <c r="E28" s="9">
        <v>240</v>
      </c>
      <c r="F28" s="9">
        <v>259</v>
      </c>
      <c r="G28" s="11"/>
      <c r="H28" s="9"/>
      <c r="I28" s="9"/>
      <c r="J28" s="9"/>
      <c r="K28" s="9">
        <f>D28+E28-F28</f>
        <v>349</v>
      </c>
      <c r="L28" s="9">
        <v>349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VLOOKUP($B29,'0405'!$B29:$M32,11,0)</f>
        <v>100</v>
      </c>
      <c r="E29" s="9">
        <v>88</v>
      </c>
      <c r="F29" s="9">
        <v>66</v>
      </c>
      <c r="G29" s="11"/>
      <c r="H29" s="9"/>
      <c r="I29" s="9"/>
      <c r="J29" s="9"/>
      <c r="K29" s="9">
        <f>D29+E29-F29</f>
        <v>122</v>
      </c>
      <c r="L29" s="9">
        <v>122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3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DATE(2015,5,5)</f>
        <v>42129</v>
      </c>
      <c r="E5" s="293">
        <f>D5+1</f>
        <v>42130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53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/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VLOOKUP($B8,'0505'!$B8:$M22,11,0)</f>
        <v>157</v>
      </c>
      <c r="E8" s="10">
        <f>90+90+50+88</f>
        <v>318</v>
      </c>
      <c r="F8" s="11">
        <v>50</v>
      </c>
      <c r="G8" s="11"/>
      <c r="H8" s="11"/>
      <c r="I8" s="11"/>
      <c r="J8" s="11"/>
      <c r="K8" s="9">
        <f>D8+E8-SUM(F8:J8)</f>
        <v>425</v>
      </c>
      <c r="L8" s="9">
        <v>425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VLOOKUP($B9,'0505'!$B9:$M23,11,0)</f>
        <v>21</v>
      </c>
      <c r="E9" s="14">
        <f>81+39</f>
        <v>120</v>
      </c>
      <c r="F9" s="11"/>
      <c r="G9" s="11"/>
      <c r="H9" s="11"/>
      <c r="I9" s="11"/>
      <c r="J9" s="11"/>
      <c r="K9" s="9">
        <f t="shared" ref="K9:K19" si="1">D9+E9-SUM(F9:J9)</f>
        <v>141</v>
      </c>
      <c r="L9" s="9">
        <f>21+120</f>
        <v>141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VLOOKUP($B10,'0505'!$B10:$M24,11,0)</f>
        <v>254</v>
      </c>
      <c r="E10" s="10"/>
      <c r="F10" s="11"/>
      <c r="G10" s="11"/>
      <c r="H10" s="11"/>
      <c r="I10" s="11"/>
      <c r="J10" s="11"/>
      <c r="K10" s="9">
        <f t="shared" si="1"/>
        <v>254</v>
      </c>
      <c r="L10" s="9">
        <v>254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VLOOKUP($B11,'0505'!$B11:$M25,11,0)</f>
        <v>615</v>
      </c>
      <c r="E11" s="10"/>
      <c r="F11" s="11"/>
      <c r="G11" s="11"/>
      <c r="H11" s="11"/>
      <c r="I11" s="11"/>
      <c r="J11" s="11"/>
      <c r="K11" s="9">
        <f t="shared" si="1"/>
        <v>615</v>
      </c>
      <c r="L11" s="9">
        <v>615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VLOOKUP($B12,'0505'!$B12:$M26,11,0)</f>
        <v>329</v>
      </c>
      <c r="E12" s="14">
        <v>214</v>
      </c>
      <c r="F12" s="11">
        <v>70</v>
      </c>
      <c r="G12" s="11"/>
      <c r="H12" s="11"/>
      <c r="I12" s="11"/>
      <c r="J12" s="11"/>
      <c r="K12" s="9">
        <f t="shared" si="1"/>
        <v>473</v>
      </c>
      <c r="L12" s="9">
        <f>186+127+160</f>
        <v>473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VLOOKUP($B13,'0505'!$B13:$M27,11,0)</f>
        <v>192</v>
      </c>
      <c r="E13" s="14">
        <v>157</v>
      </c>
      <c r="F13" s="11">
        <v>70</v>
      </c>
      <c r="G13" s="11"/>
      <c r="H13" s="11"/>
      <c r="I13" s="11"/>
      <c r="J13" s="11"/>
      <c r="K13" s="9">
        <f t="shared" si="1"/>
        <v>279</v>
      </c>
      <c r="L13" s="9">
        <v>279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VLOOKUP($B14,'0505'!$B14:$M28,11,0)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VLOOKUP($B15,'0505'!$B15:$M29,11,0)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VLOOKUP($B16,'0505'!$B16:$M30,11,0)</f>
        <v>4</v>
      </c>
      <c r="E16" s="14">
        <v>1</v>
      </c>
      <c r="F16" s="11">
        <v>1</v>
      </c>
      <c r="G16" s="11"/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VLOOKUP($B17,'0505'!$B17:$M31,11,0)</f>
        <v>1</v>
      </c>
      <c r="E17" s="14">
        <v>2</v>
      </c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VLOOKUP($B18,'0505'!$B18:$M32,11,0)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VLOOKUP($B19,'0505'!$B19:$M33,11,0)</f>
        <v>1</v>
      </c>
      <c r="E19" s="14">
        <v>1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VLOOKUP($B20,'0505'!$B20:$M34,11,0)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VLOOKUP($B21,'0505'!$B21:$M35,11,0)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VLOOKUP($B22,'0505'!$B22:$M36,11,0)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VLOOKUP($B24,'0505'!$B24:$M38,11,0)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VLOOKUP($B26,'0505'!$B26:$M29,11,0)</f>
        <v>244</v>
      </c>
      <c r="E26" s="10">
        <v>69</v>
      </c>
      <c r="F26" s="9">
        <v>90</v>
      </c>
      <c r="G26" s="11"/>
      <c r="H26" s="9"/>
      <c r="I26" s="9"/>
      <c r="J26" s="9"/>
      <c r="K26" s="9">
        <f t="shared" ref="K26" si="4">D26+E26-F26</f>
        <v>223</v>
      </c>
      <c r="L26" s="9">
        <v>223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VLOOKUP($B27,'0505'!$B27:$M30,11,0)</f>
        <v>99</v>
      </c>
      <c r="E27" s="9">
        <v>30</v>
      </c>
      <c r="F27" s="9">
        <v>46</v>
      </c>
      <c r="G27" s="11"/>
      <c r="H27" s="9"/>
      <c r="I27" s="9"/>
      <c r="J27" s="9"/>
      <c r="K27" s="9">
        <f>D27+E27-F27</f>
        <v>83</v>
      </c>
      <c r="L27" s="9">
        <v>83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VLOOKUP($B28,'0505'!$B28:$M31,11,0)</f>
        <v>349</v>
      </c>
      <c r="E28" s="9">
        <v>130</v>
      </c>
      <c r="F28" s="9">
        <v>174</v>
      </c>
      <c r="G28" s="11"/>
      <c r="H28" s="9"/>
      <c r="I28" s="9"/>
      <c r="J28" s="9"/>
      <c r="K28" s="9">
        <f>D28+E28-F28</f>
        <v>305</v>
      </c>
      <c r="L28" s="9">
        <v>305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VLOOKUP($B29,'0505'!$B29:$M32,11,0)</f>
        <v>122</v>
      </c>
      <c r="E29" s="9">
        <v>48</v>
      </c>
      <c r="F29" s="9">
        <v>60</v>
      </c>
      <c r="G29" s="11"/>
      <c r="H29" s="9"/>
      <c r="I29" s="9"/>
      <c r="J29" s="9"/>
      <c r="K29" s="9">
        <f>D29+E29-F29</f>
        <v>110</v>
      </c>
      <c r="L29" s="9">
        <v>110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DATE(2015,5,6)</f>
        <v>42130</v>
      </c>
      <c r="E5" s="293">
        <f>D5+1</f>
        <v>42131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54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52</v>
      </c>
      <c r="H7" s="5" t="s">
        <v>56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VLOOKUP($B8,'0605'!$B8:$M22,11,0)</f>
        <v>425</v>
      </c>
      <c r="E8" s="10">
        <f>84+105+135</f>
        <v>324</v>
      </c>
      <c r="F8" s="11">
        <v>50</v>
      </c>
      <c r="G8" s="11">
        <v>299</v>
      </c>
      <c r="H8" s="11">
        <v>132</v>
      </c>
      <c r="I8" s="11"/>
      <c r="J8" s="11"/>
      <c r="K8" s="9">
        <f>D8+E8-SUM(F8:J8)</f>
        <v>268</v>
      </c>
      <c r="L8" s="9">
        <v>268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VLOOKUP($B9,'0605'!$B9:$M23,11,0)</f>
        <v>141</v>
      </c>
      <c r="E9" s="14"/>
      <c r="F9" s="11"/>
      <c r="G9" s="11">
        <v>70</v>
      </c>
      <c r="H9" s="11">
        <v>71</v>
      </c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VLOOKUP($B10,'0605'!$B10:$M24,11,0)</f>
        <v>254</v>
      </c>
      <c r="E10" s="10">
        <v>124</v>
      </c>
      <c r="F10" s="11"/>
      <c r="G10" s="11">
        <v>135</v>
      </c>
      <c r="H10" s="11">
        <v>81</v>
      </c>
      <c r="I10" s="11"/>
      <c r="J10" s="11"/>
      <c r="K10" s="9">
        <f t="shared" si="1"/>
        <v>162</v>
      </c>
      <c r="L10" s="9">
        <v>162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VLOOKUP($B11,'0605'!$B11:$M25,11,0)</f>
        <v>615</v>
      </c>
      <c r="E11" s="10"/>
      <c r="F11" s="11"/>
      <c r="G11" s="11"/>
      <c r="H11" s="11">
        <v>160</v>
      </c>
      <c r="I11" s="11"/>
      <c r="J11" s="11"/>
      <c r="K11" s="9">
        <f t="shared" si="1"/>
        <v>455</v>
      </c>
      <c r="L11" s="9">
        <f>280+147+28</f>
        <v>455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VLOOKUP($B12,'0605'!$B12:$M26,11,0)</f>
        <v>473</v>
      </c>
      <c r="E12" s="14">
        <v>160</v>
      </c>
      <c r="F12" s="11">
        <v>34</v>
      </c>
      <c r="G12" s="11">
        <v>250</v>
      </c>
      <c r="H12" s="11">
        <v>153</v>
      </c>
      <c r="I12" s="11"/>
      <c r="J12" s="11"/>
      <c r="K12" s="9">
        <f t="shared" si="1"/>
        <v>196</v>
      </c>
      <c r="L12" s="9">
        <f>36+160</f>
        <v>196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VLOOKUP($B13,'0605'!$B13:$M27,11,0)</f>
        <v>279</v>
      </c>
      <c r="E13" s="14">
        <f>157+22</f>
        <v>179</v>
      </c>
      <c r="F13" s="11">
        <v>11</v>
      </c>
      <c r="G13" s="11">
        <v>150</v>
      </c>
      <c r="H13" s="11">
        <v>100</v>
      </c>
      <c r="I13" s="11"/>
      <c r="J13" s="11"/>
      <c r="K13" s="9">
        <f t="shared" si="1"/>
        <v>197</v>
      </c>
      <c r="L13" s="9">
        <v>197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VLOOKUP($B14,'0605'!$B14:$M28,11,0)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VLOOKUP($B15,'0605'!$B15:$M29,11,0)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VLOOKUP($B16,'0605'!$B16:$M30,11,0)</f>
        <v>4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VLOOKUP($B17,'0605'!$B17:$M31,11,0)</f>
        <v>3</v>
      </c>
      <c r="E17" s="14"/>
      <c r="F17" s="11"/>
      <c r="G17" s="11"/>
      <c r="H17" s="11">
        <v>2</v>
      </c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VLOOKUP($B18,'0605'!$B18:$M32,11,0)</f>
        <v>2</v>
      </c>
      <c r="E18" s="14"/>
      <c r="F18" s="11"/>
      <c r="G18" s="11"/>
      <c r="H18" s="11">
        <v>1</v>
      </c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VLOOKUP($B19,'0605'!$B19:$M33,11,0)</f>
        <v>2</v>
      </c>
      <c r="E19" s="14"/>
      <c r="F19" s="11"/>
      <c r="G19" s="11"/>
      <c r="H19" s="11">
        <v>2</v>
      </c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VLOOKUP($B20,'0605'!$B20:$M34,11,0)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VLOOKUP($B21,'0605'!$B21:$M35,11,0)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VLOOKUP($B22,'0605'!$B22:$M36,11,0)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VLOOKUP($B24,'0605'!$B24:$M38,11,0)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VLOOKUP($B26,'0605'!$B26:$M29,11,0)</f>
        <v>223</v>
      </c>
      <c r="E26" s="10">
        <v>138</v>
      </c>
      <c r="F26" s="9">
        <v>120</v>
      </c>
      <c r="G26" s="11"/>
      <c r="H26" s="9"/>
      <c r="I26" s="9"/>
      <c r="J26" s="9"/>
      <c r="K26" s="9">
        <f t="shared" ref="K26" si="4">D26+E26-F26</f>
        <v>241</v>
      </c>
      <c r="L26" s="9">
        <v>241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VLOOKUP($B27,'0605'!$B27:$M30,11,0)</f>
        <v>83</v>
      </c>
      <c r="E27" s="9">
        <v>40</v>
      </c>
      <c r="F27" s="9">
        <v>40</v>
      </c>
      <c r="G27" s="11"/>
      <c r="H27" s="9"/>
      <c r="I27" s="9"/>
      <c r="J27" s="9"/>
      <c r="K27" s="9">
        <f>D27+E27-F27</f>
        <v>83</v>
      </c>
      <c r="L27" s="9">
        <v>83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VLOOKUP($B28,'0605'!$B28:$M31,11,0)</f>
        <v>305</v>
      </c>
      <c r="E28" s="9">
        <v>308</v>
      </c>
      <c r="F28" s="9">
        <v>262</v>
      </c>
      <c r="G28" s="11"/>
      <c r="H28" s="9"/>
      <c r="I28" s="9"/>
      <c r="J28" s="9"/>
      <c r="K28" s="9">
        <f>D28+E28-F28</f>
        <v>351</v>
      </c>
      <c r="L28" s="9">
        <v>351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VLOOKUP($B29,'0605'!$B29:$M32,11,0)</f>
        <v>110</v>
      </c>
      <c r="E29" s="9">
        <v>42</v>
      </c>
      <c r="F29" s="9">
        <v>48</v>
      </c>
      <c r="G29" s="11"/>
      <c r="H29" s="9"/>
      <c r="I29" s="9"/>
      <c r="J29" s="9"/>
      <c r="K29" s="9">
        <f>D29+E29-F29</f>
        <v>104</v>
      </c>
      <c r="L29" s="9">
        <v>104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DATE(2015,5,7)</f>
        <v>42131</v>
      </c>
      <c r="E5" s="293">
        <f>D5+1</f>
        <v>42132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55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49</v>
      </c>
      <c r="H7" s="5" t="s">
        <v>38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VLOOKUP($B8,'0705'!$B8:$M22,11,0)</f>
        <v>268</v>
      </c>
      <c r="E8" s="10">
        <f>112+50</f>
        <v>162</v>
      </c>
      <c r="F8" s="11">
        <v>50</v>
      </c>
      <c r="G8" s="11">
        <v>100</v>
      </c>
      <c r="H8" s="11">
        <v>30</v>
      </c>
      <c r="I8" s="11"/>
      <c r="J8" s="11"/>
      <c r="K8" s="9">
        <f>D8+E8-SUM(F8:J8)</f>
        <v>250</v>
      </c>
      <c r="L8" s="9">
        <v>250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VLOOKUP($B9,'0705'!$B9:$M23,11,0)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VLOOKUP($B10,'0705'!$B10:$M24,11,0)</f>
        <v>162</v>
      </c>
      <c r="E10" s="10">
        <v>78</v>
      </c>
      <c r="F10" s="11">
        <v>29</v>
      </c>
      <c r="G10" s="11">
        <v>80</v>
      </c>
      <c r="H10" s="11">
        <v>34</v>
      </c>
      <c r="I10" s="11"/>
      <c r="J10" s="11"/>
      <c r="K10" s="9">
        <f t="shared" si="1"/>
        <v>97</v>
      </c>
      <c r="L10" s="9">
        <v>97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VLOOKUP($B11,'0705'!$B11:$M25,11,0)</f>
        <v>455</v>
      </c>
      <c r="E11" s="10">
        <v>294</v>
      </c>
      <c r="F11" s="11"/>
      <c r="G11" s="11">
        <v>374</v>
      </c>
      <c r="H11" s="11"/>
      <c r="I11" s="11"/>
      <c r="J11" s="11"/>
      <c r="K11" s="9">
        <f t="shared" si="1"/>
        <v>375</v>
      </c>
      <c r="L11" s="9">
        <f>80+295</f>
        <v>375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VLOOKUP($B12,'0705'!$B12:$M26,11,0)</f>
        <v>196</v>
      </c>
      <c r="E12" s="14">
        <v>128</v>
      </c>
      <c r="F12" s="11"/>
      <c r="G12" s="11">
        <v>120</v>
      </c>
      <c r="H12" s="11">
        <v>40</v>
      </c>
      <c r="I12" s="11"/>
      <c r="J12" s="11"/>
      <c r="K12" s="9">
        <f t="shared" si="1"/>
        <v>164</v>
      </c>
      <c r="L12" s="9">
        <v>164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VLOOKUP($B13,'0705'!$B13:$M27,11,0)</f>
        <v>197</v>
      </c>
      <c r="E13" s="14"/>
      <c r="F13" s="11"/>
      <c r="G13" s="11">
        <v>90</v>
      </c>
      <c r="H13" s="11"/>
      <c r="I13" s="11"/>
      <c r="J13" s="11"/>
      <c r="K13" s="9">
        <f t="shared" si="1"/>
        <v>107</v>
      </c>
      <c r="L13" s="9">
        <v>85</v>
      </c>
      <c r="M13" s="9">
        <f t="shared" si="0"/>
        <v>-22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VLOOKUP($B14,'0705'!$B14:$M28,11,0)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VLOOKUP($B15,'0705'!$B15:$M29,11,0)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VLOOKUP($B16,'0705'!$B16:$M30,11,0)</f>
        <v>4</v>
      </c>
      <c r="E16" s="14"/>
      <c r="F16" s="11"/>
      <c r="G16" s="11">
        <v>2</v>
      </c>
      <c r="H16" s="11"/>
      <c r="I16" s="11"/>
      <c r="J16" s="11"/>
      <c r="K16" s="9">
        <f t="shared" si="1"/>
        <v>2</v>
      </c>
      <c r="L16" s="9">
        <v>2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VLOOKUP($B17,'0705'!$B17:$M31,11,0)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VLOOKUP($B18,'0705'!$B18:$M32,11,0)</f>
        <v>1</v>
      </c>
      <c r="E18" s="14">
        <v>1</v>
      </c>
      <c r="F18" s="11"/>
      <c r="G18" s="11">
        <v>1</v>
      </c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VLOOKUP($B19,'0705'!$B19:$M33,11,0)</f>
        <v>0</v>
      </c>
      <c r="E19" s="14">
        <v>4</v>
      </c>
      <c r="F19" s="11"/>
      <c r="G19" s="11">
        <v>2</v>
      </c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VLOOKUP($B20,'0705'!$B20:$M34,11,0)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VLOOKUP($B21,'0705'!$B21:$M35,11,0)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VLOOKUP($B22,'0705'!$B22:$M36,11,0)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VLOOKUP($B24,'0705'!$B24:$M38,11,0)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VLOOKUP($B26,'0705'!$B26:$M29,11,0)</f>
        <v>241</v>
      </c>
      <c r="E26" s="10">
        <v>63</v>
      </c>
      <c r="F26" s="9">
        <v>122</v>
      </c>
      <c r="G26" s="11"/>
      <c r="H26" s="9"/>
      <c r="I26" s="9"/>
      <c r="J26" s="9"/>
      <c r="K26" s="9">
        <f t="shared" ref="K26" si="4">D26+E26-F26</f>
        <v>182</v>
      </c>
      <c r="L26" s="9">
        <v>182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VLOOKUP($B27,'0705'!$B27:$M30,11,0)</f>
        <v>83</v>
      </c>
      <c r="E27" s="9">
        <v>19</v>
      </c>
      <c r="F27" s="9">
        <v>43</v>
      </c>
      <c r="G27" s="11"/>
      <c r="H27" s="9"/>
      <c r="I27" s="9"/>
      <c r="J27" s="9"/>
      <c r="K27" s="9">
        <f>D27+E27-F27</f>
        <v>59</v>
      </c>
      <c r="L27" s="9">
        <v>59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VLOOKUP($B28,'0705'!$B28:$M31,11,0)</f>
        <v>351</v>
      </c>
      <c r="E28" s="9">
        <v>152</v>
      </c>
      <c r="F28" s="9">
        <v>197</v>
      </c>
      <c r="G28" s="11"/>
      <c r="H28" s="9"/>
      <c r="I28" s="9"/>
      <c r="J28" s="9"/>
      <c r="K28" s="9">
        <f>D28+E28-F28</f>
        <v>306</v>
      </c>
      <c r="L28" s="9">
        <v>306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VLOOKUP($B29,'0705'!$B29:$M32,11,0)</f>
        <v>104</v>
      </c>
      <c r="E29" s="9">
        <v>31</v>
      </c>
      <c r="F29" s="9">
        <v>51</v>
      </c>
      <c r="G29" s="11"/>
      <c r="H29" s="9"/>
      <c r="I29" s="9"/>
      <c r="J29" s="9"/>
      <c r="K29" s="9">
        <f>D29+E29-F29</f>
        <v>84</v>
      </c>
      <c r="L29" s="9">
        <v>84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DATE(2015,5,8)</f>
        <v>42132</v>
      </c>
      <c r="E5" s="293">
        <f>D5+1</f>
        <v>42133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56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43</v>
      </c>
      <c r="H7" s="5" t="s">
        <v>40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'08.05'!L8</f>
        <v>250</v>
      </c>
      <c r="E8" s="10"/>
      <c r="F8" s="11">
        <v>50</v>
      </c>
      <c r="G8" s="11">
        <v>150</v>
      </c>
      <c r="H8" s="11"/>
      <c r="I8" s="11"/>
      <c r="J8" s="11"/>
      <c r="K8" s="9">
        <f>D8+E8-SUM(F8:J8)</f>
        <v>50</v>
      </c>
      <c r="L8" s="9">
        <v>50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'08.05'!L9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'08.05'!L10</f>
        <v>97</v>
      </c>
      <c r="E10" s="10"/>
      <c r="F10" s="11">
        <v>29</v>
      </c>
      <c r="G10" s="11">
        <v>68</v>
      </c>
      <c r="H10" s="11"/>
      <c r="I10" s="11"/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'08.05'!L11</f>
        <v>375</v>
      </c>
      <c r="E11" s="10"/>
      <c r="F11" s="11"/>
      <c r="G11" s="11">
        <v>200</v>
      </c>
      <c r="H11" s="11"/>
      <c r="I11" s="11"/>
      <c r="J11" s="11"/>
      <c r="K11" s="9">
        <f t="shared" si="1"/>
        <v>175</v>
      </c>
      <c r="L11" s="9">
        <v>175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'08.05'!L12</f>
        <v>164</v>
      </c>
      <c r="E12" s="14"/>
      <c r="F12" s="11"/>
      <c r="G12" s="11">
        <v>150</v>
      </c>
      <c r="H12" s="11"/>
      <c r="I12" s="11"/>
      <c r="J12" s="11"/>
      <c r="K12" s="9">
        <f t="shared" si="1"/>
        <v>14</v>
      </c>
      <c r="L12" s="9">
        <v>14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'08.05'!L13</f>
        <v>85</v>
      </c>
      <c r="E13" s="14"/>
      <c r="F13" s="11"/>
      <c r="G13" s="11">
        <v>70</v>
      </c>
      <c r="H13" s="11">
        <v>20</v>
      </c>
      <c r="I13" s="11"/>
      <c r="J13" s="11"/>
      <c r="K13" s="9">
        <f t="shared" si="1"/>
        <v>-5</v>
      </c>
      <c r="L13" s="9">
        <v>17</v>
      </c>
      <c r="M13" s="9">
        <f t="shared" si="0"/>
        <v>22</v>
      </c>
    </row>
    <row r="14" spans="1:13" ht="18.75">
      <c r="A14" s="6">
        <v>7</v>
      </c>
      <c r="B14" s="12" t="s">
        <v>20</v>
      </c>
      <c r="C14" s="6" t="s">
        <v>21</v>
      </c>
      <c r="D14" s="9">
        <f>'08.05'!L14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'08.05'!L15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'08.05'!L16</f>
        <v>2</v>
      </c>
      <c r="E16" s="14"/>
      <c r="F16" s="11" t="s">
        <v>57</v>
      </c>
      <c r="G16" s="11">
        <v>2</v>
      </c>
      <c r="H16" s="11"/>
      <c r="I16" s="11"/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'08.05'!L17</f>
        <v>1</v>
      </c>
      <c r="E17" s="14"/>
      <c r="F17" s="11"/>
      <c r="G17" s="11">
        <v>1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'08.05'!L18</f>
        <v>1</v>
      </c>
      <c r="E18" s="14"/>
      <c r="F18" s="11"/>
      <c r="G18" s="11">
        <v>1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'08.05'!L19</f>
        <v>2</v>
      </c>
      <c r="E19" s="14"/>
      <c r="F19" s="11"/>
      <c r="G19" s="11">
        <v>2</v>
      </c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'08.05'!L20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'08.05'!L21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'08.05'!L22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f>'08.05'!L23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'08.05'!L24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'08.05'!L26</f>
        <v>182</v>
      </c>
      <c r="E26" s="10">
        <v>129</v>
      </c>
      <c r="F26" s="9">
        <v>100</v>
      </c>
      <c r="G26" s="11"/>
      <c r="H26" s="9"/>
      <c r="I26" s="9"/>
      <c r="J26" s="9"/>
      <c r="K26" s="9">
        <f t="shared" ref="K26" si="4">D26+E26-F26</f>
        <v>211</v>
      </c>
      <c r="L26" s="9">
        <v>211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'08.05'!L27</f>
        <v>59</v>
      </c>
      <c r="E27" s="9">
        <v>61</v>
      </c>
      <c r="F27" s="9">
        <v>59</v>
      </c>
      <c r="G27" s="11"/>
      <c r="H27" s="9"/>
      <c r="I27" s="9"/>
      <c r="J27" s="9"/>
      <c r="K27" s="9">
        <f>D27+E27-F27</f>
        <v>61</v>
      </c>
      <c r="L27" s="9">
        <v>61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'08.05'!L28</f>
        <v>306</v>
      </c>
      <c r="E28" s="9">
        <v>280</v>
      </c>
      <c r="F28" s="9">
        <v>240</v>
      </c>
      <c r="G28" s="11"/>
      <c r="H28" s="9"/>
      <c r="I28" s="9"/>
      <c r="J28" s="9"/>
      <c r="K28" s="9">
        <f>D28+E28-F28</f>
        <v>346</v>
      </c>
      <c r="L28" s="9">
        <v>346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'08.05'!L29</f>
        <v>84</v>
      </c>
      <c r="E29" s="9">
        <v>91</v>
      </c>
      <c r="F29" s="9">
        <v>36</v>
      </c>
      <c r="G29" s="11"/>
      <c r="H29" s="9"/>
      <c r="I29" s="9"/>
      <c r="J29" s="9"/>
      <c r="K29" s="9">
        <f>D29+E29-F29</f>
        <v>139</v>
      </c>
      <c r="L29" s="9">
        <v>139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6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0" max="10" width="10.85546875" customWidth="1"/>
    <col min="11" max="11" width="11.5703125" customWidth="1"/>
    <col min="12" max="12" width="11.140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</row>
    <row r="3" spans="1:12" ht="20.25">
      <c r="A3" s="1"/>
      <c r="B3" s="1"/>
      <c r="C3" s="1"/>
      <c r="D3" s="1"/>
      <c r="E3" s="2"/>
      <c r="F3" s="3"/>
      <c r="G3" s="3"/>
      <c r="H3" s="3"/>
      <c r="I3" s="3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.75">
      <c r="A5" s="292" t="s">
        <v>1</v>
      </c>
      <c r="B5" s="292"/>
      <c r="C5" s="292"/>
      <c r="D5" s="4">
        <f>DATE(2015,4,3)</f>
        <v>42097</v>
      </c>
      <c r="E5" s="293">
        <f>D5+1</f>
        <v>42098</v>
      </c>
      <c r="F5" s="294"/>
      <c r="G5" s="294"/>
      <c r="H5" s="294"/>
      <c r="I5" s="294"/>
      <c r="J5" s="294"/>
      <c r="K5" s="294"/>
      <c r="L5" s="294"/>
    </row>
    <row r="6" spans="1:12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302" t="s">
        <v>8</v>
      </c>
      <c r="K6" s="289" t="s">
        <v>9</v>
      </c>
      <c r="L6" s="289" t="s">
        <v>10</v>
      </c>
    </row>
    <row r="7" spans="1:12">
      <c r="A7" s="295"/>
      <c r="B7" s="296"/>
      <c r="C7" s="298"/>
      <c r="D7" s="290"/>
      <c r="E7" s="290"/>
      <c r="F7" s="5" t="s">
        <v>11</v>
      </c>
      <c r="G7" s="5" t="s">
        <v>43</v>
      </c>
      <c r="H7" s="5"/>
      <c r="I7" s="5"/>
      <c r="J7" s="302"/>
      <c r="K7" s="290"/>
      <c r="L7" s="290"/>
    </row>
    <row r="8" spans="1:12" ht="18.75">
      <c r="A8" s="6">
        <v>1</v>
      </c>
      <c r="B8" s="7" t="s">
        <v>12</v>
      </c>
      <c r="C8" s="8" t="s">
        <v>13</v>
      </c>
      <c r="D8" s="9">
        <f>VLOOKUP($B8,'0304'!$B8:$K22,10,0)</f>
        <v>300</v>
      </c>
      <c r="E8" s="10"/>
      <c r="F8" s="11">
        <v>50</v>
      </c>
      <c r="G8" s="11">
        <v>150</v>
      </c>
      <c r="H8" s="11"/>
      <c r="I8" s="11"/>
      <c r="J8" s="9">
        <f t="shared" ref="J8:J19" si="0">D8+E8-SUM(F8:I8)</f>
        <v>100</v>
      </c>
      <c r="K8" s="9">
        <v>100</v>
      </c>
      <c r="L8" s="9">
        <f t="shared" ref="L8:L19" si="1">K8-J8</f>
        <v>0</v>
      </c>
    </row>
    <row r="9" spans="1:12" ht="18.75">
      <c r="A9" s="6">
        <v>2</v>
      </c>
      <c r="B9" s="12" t="s">
        <v>14</v>
      </c>
      <c r="C9" s="13" t="s">
        <v>13</v>
      </c>
      <c r="D9" s="9">
        <f>VLOOKUP($B9,'0304'!$B9:$K23,10,0)</f>
        <v>88</v>
      </c>
      <c r="E9" s="14"/>
      <c r="F9" s="11"/>
      <c r="G9" s="11">
        <v>48</v>
      </c>
      <c r="H9" s="11"/>
      <c r="I9" s="11"/>
      <c r="J9" s="9">
        <f t="shared" si="0"/>
        <v>40</v>
      </c>
      <c r="K9" s="9">
        <v>40</v>
      </c>
      <c r="L9" s="9">
        <f t="shared" si="1"/>
        <v>0</v>
      </c>
    </row>
    <row r="10" spans="1:12" ht="18.75">
      <c r="A10" s="6">
        <v>3</v>
      </c>
      <c r="B10" s="12" t="s">
        <v>15</v>
      </c>
      <c r="C10" s="8" t="s">
        <v>13</v>
      </c>
      <c r="D10" s="9">
        <f>VLOOKUP($B10,'0304'!$B10:$K24,10,0)</f>
        <v>91</v>
      </c>
      <c r="E10" s="10"/>
      <c r="F10" s="11"/>
      <c r="G10" s="11">
        <v>54</v>
      </c>
      <c r="H10" s="11"/>
      <c r="I10" s="11"/>
      <c r="J10" s="9">
        <f t="shared" si="0"/>
        <v>37</v>
      </c>
      <c r="K10" s="9">
        <v>37</v>
      </c>
      <c r="L10" s="9">
        <f t="shared" si="1"/>
        <v>0</v>
      </c>
    </row>
    <row r="11" spans="1:12" ht="18.75">
      <c r="A11" s="6">
        <v>4</v>
      </c>
      <c r="B11" s="15" t="s">
        <v>16</v>
      </c>
      <c r="C11" s="6" t="s">
        <v>17</v>
      </c>
      <c r="D11" s="9">
        <f>VLOOKUP($B11,'0304'!$B11:$K25,10,0)</f>
        <v>80</v>
      </c>
      <c r="E11" s="10">
        <v>263</v>
      </c>
      <c r="F11" s="11"/>
      <c r="G11" s="11"/>
      <c r="H11" s="11"/>
      <c r="I11" s="11"/>
      <c r="J11" s="9">
        <f t="shared" si="0"/>
        <v>343</v>
      </c>
      <c r="K11" s="9">
        <v>343</v>
      </c>
      <c r="L11" s="9">
        <f t="shared" si="1"/>
        <v>0</v>
      </c>
    </row>
    <row r="12" spans="1:12" ht="18.75">
      <c r="A12" s="6">
        <v>5</v>
      </c>
      <c r="B12" s="15" t="s">
        <v>18</v>
      </c>
      <c r="C12" s="6" t="s">
        <v>17</v>
      </c>
      <c r="D12" s="9">
        <f>VLOOKUP($B12,'0304'!$B12:$K26,10,0)</f>
        <v>178</v>
      </c>
      <c r="E12" s="14">
        <v>74</v>
      </c>
      <c r="F12" s="11"/>
      <c r="G12" s="11">
        <v>80</v>
      </c>
      <c r="H12" s="11"/>
      <c r="I12" s="11"/>
      <c r="J12" s="9">
        <f t="shared" si="0"/>
        <v>172</v>
      </c>
      <c r="K12" s="9">
        <v>171</v>
      </c>
      <c r="L12" s="9">
        <f t="shared" si="1"/>
        <v>-1</v>
      </c>
    </row>
    <row r="13" spans="1:12" ht="18.75">
      <c r="A13" s="6">
        <v>6</v>
      </c>
      <c r="B13" s="16" t="s">
        <v>19</v>
      </c>
      <c r="C13" s="17" t="s">
        <v>17</v>
      </c>
      <c r="D13" s="9">
        <f>VLOOKUP($B13,'0304'!$B13:$K27,10,0)</f>
        <v>86</v>
      </c>
      <c r="E13" s="14"/>
      <c r="F13" s="11"/>
      <c r="G13" s="11">
        <v>30</v>
      </c>
      <c r="H13" s="11"/>
      <c r="I13" s="11"/>
      <c r="J13" s="9">
        <f t="shared" si="0"/>
        <v>56</v>
      </c>
      <c r="K13" s="9">
        <v>56</v>
      </c>
      <c r="L13" s="9">
        <f t="shared" si="1"/>
        <v>0</v>
      </c>
    </row>
    <row r="14" spans="1:12" ht="18.75">
      <c r="A14" s="6">
        <v>7</v>
      </c>
      <c r="B14" s="12" t="s">
        <v>20</v>
      </c>
      <c r="C14" s="6" t="s">
        <v>21</v>
      </c>
      <c r="D14" s="9">
        <f>VLOOKUP($B14,'0304'!$B14:$K28,10,0)</f>
        <v>2</v>
      </c>
      <c r="E14" s="14"/>
      <c r="F14" s="11"/>
      <c r="G14" s="11">
        <v>2</v>
      </c>
      <c r="H14" s="11"/>
      <c r="I14" s="11"/>
      <c r="J14" s="9">
        <f t="shared" si="0"/>
        <v>0</v>
      </c>
      <c r="K14" s="9"/>
      <c r="L14" s="9">
        <f t="shared" si="1"/>
        <v>0</v>
      </c>
    </row>
    <row r="15" spans="1:12" ht="18.75">
      <c r="A15" s="6">
        <v>8</v>
      </c>
      <c r="B15" s="12" t="s">
        <v>22</v>
      </c>
      <c r="C15" s="18" t="s">
        <v>21</v>
      </c>
      <c r="D15" s="9">
        <f>VLOOKUP($B15,'0304'!$B15:$K29,10,0)</f>
        <v>2</v>
      </c>
      <c r="E15" s="14"/>
      <c r="F15" s="11"/>
      <c r="G15" s="11"/>
      <c r="H15" s="11"/>
      <c r="I15" s="11"/>
      <c r="J15" s="9">
        <f t="shared" si="0"/>
        <v>2</v>
      </c>
      <c r="K15" s="9">
        <v>2</v>
      </c>
      <c r="L15" s="9">
        <f t="shared" si="1"/>
        <v>0</v>
      </c>
    </row>
    <row r="16" spans="1:12" ht="18.75">
      <c r="A16" s="6">
        <v>9</v>
      </c>
      <c r="B16" s="15" t="s">
        <v>23</v>
      </c>
      <c r="C16" s="8" t="s">
        <v>24</v>
      </c>
      <c r="D16" s="9">
        <f>VLOOKUP($B16,'0304'!$B16:$K30,10,0)</f>
        <v>1</v>
      </c>
      <c r="E16" s="14"/>
      <c r="F16" s="11"/>
      <c r="G16" s="11"/>
      <c r="H16" s="11"/>
      <c r="I16" s="11"/>
      <c r="J16" s="9">
        <f t="shared" si="0"/>
        <v>1</v>
      </c>
      <c r="K16" s="9">
        <v>1</v>
      </c>
      <c r="L16" s="9">
        <f t="shared" si="1"/>
        <v>0</v>
      </c>
    </row>
    <row r="17" spans="1:12" ht="18.75">
      <c r="A17" s="6">
        <v>10</v>
      </c>
      <c r="B17" s="19" t="s">
        <v>25</v>
      </c>
      <c r="C17" s="6" t="s">
        <v>21</v>
      </c>
      <c r="D17" s="9">
        <f>VLOOKUP($B17,'0304'!$B17:$K31,10,0)</f>
        <v>1</v>
      </c>
      <c r="E17" s="14"/>
      <c r="F17" s="11"/>
      <c r="G17" s="11"/>
      <c r="H17" s="11"/>
      <c r="I17" s="11"/>
      <c r="J17" s="9">
        <f t="shared" si="0"/>
        <v>1</v>
      </c>
      <c r="K17" s="9">
        <v>1</v>
      </c>
      <c r="L17" s="9">
        <f t="shared" si="1"/>
        <v>0</v>
      </c>
    </row>
    <row r="18" spans="1:12" ht="18.75">
      <c r="A18" s="6">
        <v>11</v>
      </c>
      <c r="B18" s="12" t="s">
        <v>26</v>
      </c>
      <c r="C18" s="6" t="s">
        <v>27</v>
      </c>
      <c r="D18" s="9">
        <f>VLOOKUP($B18,'0304'!$B18:$K32,10,0)</f>
        <v>0</v>
      </c>
      <c r="E18" s="14"/>
      <c r="F18" s="11"/>
      <c r="G18" s="11"/>
      <c r="H18" s="11"/>
      <c r="I18" s="11"/>
      <c r="J18" s="9">
        <f t="shared" si="0"/>
        <v>0</v>
      </c>
      <c r="K18" s="9"/>
      <c r="L18" s="9">
        <f t="shared" si="1"/>
        <v>0</v>
      </c>
    </row>
    <row r="19" spans="1:12" ht="18.75">
      <c r="A19" s="6">
        <v>12</v>
      </c>
      <c r="B19" s="12" t="s">
        <v>28</v>
      </c>
      <c r="C19" s="6" t="s">
        <v>27</v>
      </c>
      <c r="D19" s="9">
        <f>VLOOKUP($B19,'0304'!$B19:$K33,10,0)</f>
        <v>3</v>
      </c>
      <c r="E19" s="14"/>
      <c r="F19" s="11"/>
      <c r="G19" s="11">
        <v>3</v>
      </c>
      <c r="H19" s="11"/>
      <c r="I19" s="11"/>
      <c r="J19" s="9">
        <f t="shared" si="0"/>
        <v>0</v>
      </c>
      <c r="K19" s="9"/>
      <c r="L19" s="9">
        <f t="shared" si="1"/>
        <v>0</v>
      </c>
    </row>
    <row r="20" spans="1:12" ht="18.75">
      <c r="A20" s="6">
        <v>13</v>
      </c>
      <c r="B20" s="12" t="s">
        <v>29</v>
      </c>
      <c r="C20" s="6" t="s">
        <v>17</v>
      </c>
      <c r="D20" s="9">
        <f>VLOOKUP($B20,'0304'!$B20:$K34,10,0)</f>
        <v>0</v>
      </c>
      <c r="E20" s="14"/>
      <c r="F20" s="11"/>
      <c r="G20" s="11"/>
      <c r="H20" s="11"/>
      <c r="I20" s="11"/>
      <c r="J20" s="9"/>
      <c r="K20" s="9"/>
      <c r="L20" s="9"/>
    </row>
    <row r="21" spans="1:12" ht="18.75">
      <c r="A21" s="6">
        <v>14</v>
      </c>
      <c r="B21" s="20" t="s">
        <v>30</v>
      </c>
      <c r="C21" s="6" t="s">
        <v>17</v>
      </c>
      <c r="D21" s="9">
        <f>VLOOKUP($B21,'0304'!$B21:$K35,10,0)</f>
        <v>0</v>
      </c>
      <c r="E21" s="14"/>
      <c r="F21" s="11"/>
      <c r="G21" s="11"/>
      <c r="H21" s="11"/>
      <c r="I21" s="11"/>
      <c r="J21" s="9">
        <f>D21+E21-SUM(F21:I21)</f>
        <v>0</v>
      </c>
      <c r="K21" s="9"/>
      <c r="L21" s="9">
        <f t="shared" ref="L21" si="2">K21-J21</f>
        <v>0</v>
      </c>
    </row>
    <row r="22" spans="1:12" ht="18.75">
      <c r="A22" s="6">
        <v>15</v>
      </c>
      <c r="B22" s="20" t="s">
        <v>31</v>
      </c>
      <c r="C22" s="6" t="s">
        <v>17</v>
      </c>
      <c r="D22" s="9">
        <f>VLOOKUP($B22,'0304'!$B22:$K36,10,0)</f>
        <v>0</v>
      </c>
      <c r="E22" s="14"/>
      <c r="F22" s="11"/>
      <c r="G22" s="11"/>
      <c r="H22" s="11"/>
      <c r="I22" s="11"/>
      <c r="J22" s="9">
        <f>D22+E22-SUM(F22:I22)</f>
        <v>0</v>
      </c>
      <c r="K22" s="9"/>
      <c r="L22" s="9">
        <f>K22-J22</f>
        <v>0</v>
      </c>
    </row>
    <row r="23" spans="1:12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>
        <f>K23-J23</f>
        <v>0</v>
      </c>
    </row>
    <row r="24" spans="1:12" ht="18.75">
      <c r="A24" s="6"/>
      <c r="B24" s="20" t="s">
        <v>32</v>
      </c>
      <c r="C24" s="6"/>
      <c r="D24" s="9">
        <f t="shared" ref="D24" si="3">SUM(D8:D22)</f>
        <v>832</v>
      </c>
      <c r="E24" s="9">
        <f t="shared" ref="E24:K24" si="4">SUM(E8:E22)</f>
        <v>337</v>
      </c>
      <c r="F24" s="9">
        <f t="shared" si="4"/>
        <v>50</v>
      </c>
      <c r="G24" s="9">
        <f t="shared" si="4"/>
        <v>367</v>
      </c>
      <c r="H24" s="9">
        <f t="shared" si="4"/>
        <v>0</v>
      </c>
      <c r="I24" s="9">
        <f t="shared" si="4"/>
        <v>0</v>
      </c>
      <c r="J24" s="9">
        <f t="shared" si="4"/>
        <v>752</v>
      </c>
      <c r="K24" s="9">
        <f t="shared" si="4"/>
        <v>751</v>
      </c>
      <c r="L24" s="9">
        <f>K24-J24</f>
        <v>-1</v>
      </c>
    </row>
    <row r="25" spans="1:12" ht="18.75">
      <c r="A25" s="22"/>
      <c r="B25" s="23"/>
      <c r="C25" s="22"/>
      <c r="D25" s="24"/>
      <c r="E25" s="24"/>
      <c r="F25" s="25" t="s">
        <v>33</v>
      </c>
      <c r="G25" s="24"/>
      <c r="H25" s="24"/>
      <c r="I25" s="24"/>
      <c r="J25" s="24"/>
      <c r="K25" s="24"/>
      <c r="L25" s="24"/>
    </row>
    <row r="26" spans="1:12" ht="18.75">
      <c r="A26" s="6">
        <v>1</v>
      </c>
      <c r="B26" s="20" t="s">
        <v>34</v>
      </c>
      <c r="C26" s="6" t="s">
        <v>17</v>
      </c>
      <c r="D26" s="9">
        <f>VLOOKUP($B26,'0304'!$B26:$K29,10,0)</f>
        <v>218</v>
      </c>
      <c r="E26" s="10">
        <v>129</v>
      </c>
      <c r="F26" s="9">
        <v>179</v>
      </c>
      <c r="G26" s="11"/>
      <c r="H26" s="9"/>
      <c r="I26" s="9"/>
      <c r="J26" s="9">
        <f t="shared" ref="J26" si="5">D26+E26-F26</f>
        <v>168</v>
      </c>
      <c r="K26" s="9">
        <v>168</v>
      </c>
      <c r="L26" s="9">
        <f t="shared" ref="L26" si="6">K26-J26</f>
        <v>0</v>
      </c>
    </row>
    <row r="27" spans="1:12" ht="18.75">
      <c r="A27" s="6">
        <v>2</v>
      </c>
      <c r="B27" s="20" t="s">
        <v>35</v>
      </c>
      <c r="C27" s="6" t="s">
        <v>17</v>
      </c>
      <c r="D27" s="9">
        <f>VLOOKUP($B27,'0304'!$B27:$K30,10,0)</f>
        <v>75</v>
      </c>
      <c r="E27" s="9">
        <v>63</v>
      </c>
      <c r="F27" s="9">
        <v>12</v>
      </c>
      <c r="G27" s="11"/>
      <c r="H27" s="9"/>
      <c r="I27" s="9"/>
      <c r="J27" s="9">
        <f>D27+E27-F27</f>
        <v>126</v>
      </c>
      <c r="K27" s="9">
        <v>126</v>
      </c>
      <c r="L27" s="9">
        <f>K27-J27</f>
        <v>0</v>
      </c>
    </row>
    <row r="28" spans="1:12" ht="18.75">
      <c r="A28" s="6">
        <v>3</v>
      </c>
      <c r="B28" s="20" t="s">
        <v>36</v>
      </c>
      <c r="C28" s="6" t="s">
        <v>17</v>
      </c>
      <c r="D28" s="9">
        <f>VLOOKUP($B28,'0304'!$B28:$K31,10,0)</f>
        <v>385</v>
      </c>
      <c r="E28" s="9">
        <v>137</v>
      </c>
      <c r="F28" s="9">
        <v>180</v>
      </c>
      <c r="G28" s="11"/>
      <c r="H28" s="9"/>
      <c r="I28" s="9"/>
      <c r="J28" s="9">
        <f>D28+E28-F28</f>
        <v>342</v>
      </c>
      <c r="K28" s="9">
        <v>342</v>
      </c>
      <c r="L28" s="9">
        <f>K28-J28</f>
        <v>0</v>
      </c>
    </row>
    <row r="29" spans="1:12" ht="18.75">
      <c r="A29" s="6">
        <v>4</v>
      </c>
      <c r="B29" s="20" t="s">
        <v>37</v>
      </c>
      <c r="C29" s="6" t="s">
        <v>17</v>
      </c>
      <c r="D29" s="9">
        <f>VLOOKUP($B29,'0304'!$B29:$K32,10,0)</f>
        <v>145</v>
      </c>
      <c r="E29" s="9">
        <v>83</v>
      </c>
      <c r="F29" s="9">
        <v>102</v>
      </c>
      <c r="G29" s="11"/>
      <c r="H29" s="9"/>
      <c r="I29" s="9"/>
      <c r="J29" s="9">
        <f>D29+E29-F29</f>
        <v>126</v>
      </c>
      <c r="K29" s="9">
        <v>126</v>
      </c>
      <c r="L29" s="9">
        <f>K29-J29</f>
        <v>0</v>
      </c>
    </row>
    <row r="30" spans="1:12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</row>
    <row r="31" spans="1:12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</row>
  </sheetData>
  <mergeCells count="12">
    <mergeCell ref="K6:K7"/>
    <mergeCell ref="L6:L7"/>
    <mergeCell ref="B2:L2"/>
    <mergeCell ref="A5:C5"/>
    <mergeCell ref="E5:L5"/>
    <mergeCell ref="A6:A7"/>
    <mergeCell ref="B6:B7"/>
    <mergeCell ref="C6:C7"/>
    <mergeCell ref="D6:D7"/>
    <mergeCell ref="E6:E7"/>
    <mergeCell ref="F6:I6"/>
    <mergeCell ref="J6:J7"/>
  </mergeCells>
  <conditionalFormatting sqref="D23">
    <cfRule type="cellIs" dxfId="5" priority="1" stopIfTrue="1" operator="lessThan">
      <formula>0</formula>
    </cfRule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DATE(2015,5,9)</f>
        <v>42133</v>
      </c>
      <c r="E5" s="293">
        <f>D5+1</f>
        <v>42134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57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/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'09.05'!L8</f>
        <v>50</v>
      </c>
      <c r="E8" s="10">
        <f>92+101</f>
        <v>193</v>
      </c>
      <c r="F8" s="11">
        <v>50</v>
      </c>
      <c r="G8" s="11"/>
      <c r="H8" s="11"/>
      <c r="I8" s="11"/>
      <c r="J8" s="11"/>
      <c r="K8" s="9">
        <f>D8+E8-SUM(F8:J8)</f>
        <v>193</v>
      </c>
      <c r="L8" s="9">
        <v>193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'09.05'!L9</f>
        <v>0</v>
      </c>
      <c r="E9" s="14">
        <v>124</v>
      </c>
      <c r="F9" s="11">
        <v>10</v>
      </c>
      <c r="G9" s="11"/>
      <c r="H9" s="11"/>
      <c r="I9" s="11"/>
      <c r="J9" s="11"/>
      <c r="K9" s="9">
        <f t="shared" ref="K9:K19" si="1">D9+E9-SUM(F9:J9)</f>
        <v>114</v>
      </c>
      <c r="L9" s="9">
        <v>114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'09.05'!L10</f>
        <v>0</v>
      </c>
      <c r="E10" s="10">
        <v>125</v>
      </c>
      <c r="F10" s="11">
        <v>10</v>
      </c>
      <c r="G10" s="11"/>
      <c r="H10" s="11"/>
      <c r="I10" s="11"/>
      <c r="J10" s="11"/>
      <c r="K10" s="9">
        <f t="shared" si="1"/>
        <v>115</v>
      </c>
      <c r="L10" s="9">
        <v>115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'09.05'!L11</f>
        <v>175</v>
      </c>
      <c r="E11" s="10"/>
      <c r="F11" s="11"/>
      <c r="G11" s="11"/>
      <c r="H11" s="11"/>
      <c r="I11" s="11"/>
      <c r="J11" s="11"/>
      <c r="K11" s="9">
        <f t="shared" si="1"/>
        <v>175</v>
      </c>
      <c r="L11" s="9">
        <v>175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'09.05'!L12</f>
        <v>14</v>
      </c>
      <c r="E12" s="14">
        <v>163</v>
      </c>
      <c r="F12" s="11"/>
      <c r="G12" s="11"/>
      <c r="H12" s="11"/>
      <c r="I12" s="11"/>
      <c r="J12" s="11"/>
      <c r="K12" s="9">
        <f t="shared" si="1"/>
        <v>177</v>
      </c>
      <c r="L12" s="9">
        <f>15+162</f>
        <v>177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'09.05'!L13</f>
        <v>17</v>
      </c>
      <c r="E13" s="14">
        <v>156</v>
      </c>
      <c r="F13" s="11"/>
      <c r="G13" s="11"/>
      <c r="H13" s="11"/>
      <c r="I13" s="11"/>
      <c r="J13" s="11"/>
      <c r="K13" s="9">
        <f t="shared" si="1"/>
        <v>173</v>
      </c>
      <c r="L13" s="9">
        <f>17+156</f>
        <v>173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'09.05'!L14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'09.05'!L15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'09.05'!L16</f>
        <v>0</v>
      </c>
      <c r="E16" s="14">
        <v>6</v>
      </c>
      <c r="F16" s="11">
        <v>1</v>
      </c>
      <c r="G16" s="11"/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'09.05'!L17</f>
        <v>0</v>
      </c>
      <c r="E17" s="14">
        <v>1</v>
      </c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'09.05'!L18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'09.05'!L19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'09.05'!L20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'09.05'!L21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'09.05'!L22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f>'09.05'!L23</f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'09.05'!L24</f>
        <v>0</v>
      </c>
      <c r="E24" s="9"/>
      <c r="F24" s="9"/>
      <c r="G24" s="9"/>
      <c r="H24" s="9"/>
      <c r="I24" s="9"/>
      <c r="J24" s="9"/>
      <c r="K24" s="9">
        <f t="shared" ref="K24" si="3">SUM(K8:K22)</f>
        <v>953</v>
      </c>
      <c r="L24" s="9"/>
      <c r="M24" s="9">
        <f>L24-K24</f>
        <v>-953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'09.05'!L26</f>
        <v>211</v>
      </c>
      <c r="E26" s="10">
        <v>68</v>
      </c>
      <c r="F26" s="9">
        <v>100</v>
      </c>
      <c r="G26" s="11"/>
      <c r="H26" s="9"/>
      <c r="I26" s="9"/>
      <c r="J26" s="9"/>
      <c r="K26" s="9">
        <f t="shared" ref="K26" si="4">D26+E26-F26</f>
        <v>179</v>
      </c>
      <c r="L26" s="9">
        <v>179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'09.05'!L27</f>
        <v>61</v>
      </c>
      <c r="E27" s="9">
        <v>61</v>
      </c>
      <c r="F27" s="9">
        <v>25</v>
      </c>
      <c r="G27" s="11"/>
      <c r="H27" s="9"/>
      <c r="I27" s="9"/>
      <c r="J27" s="9"/>
      <c r="K27" s="9">
        <f>D27+E27-F27</f>
        <v>97</v>
      </c>
      <c r="L27" s="9">
        <v>97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'09.05'!L28</f>
        <v>346</v>
      </c>
      <c r="E28" s="9">
        <v>144</v>
      </c>
      <c r="F28" s="9">
        <v>106</v>
      </c>
      <c r="G28" s="11"/>
      <c r="H28" s="9"/>
      <c r="I28" s="9"/>
      <c r="J28" s="9"/>
      <c r="K28" s="9">
        <f>D28+E28-F28</f>
        <v>384</v>
      </c>
      <c r="L28" s="9">
        <v>384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'09.05'!L29</f>
        <v>139</v>
      </c>
      <c r="E29" s="9">
        <v>97</v>
      </c>
      <c r="F29" s="9">
        <v>45</v>
      </c>
      <c r="G29" s="11"/>
      <c r="H29" s="9"/>
      <c r="I29" s="9"/>
      <c r="J29" s="9"/>
      <c r="K29" s="9">
        <f>D29+E29-F29</f>
        <v>191</v>
      </c>
      <c r="L29" s="9">
        <v>191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DATE(2015,5,10)</f>
        <v>42134</v>
      </c>
      <c r="E5" s="293">
        <f>D5+1</f>
        <v>42135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57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45</v>
      </c>
      <c r="H7" s="5" t="s">
        <v>50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VLOOKUP($B8,'1005'!$B8:$M22,11,0)</f>
        <v>193</v>
      </c>
      <c r="E8" s="10">
        <v>114</v>
      </c>
      <c r="F8" s="11">
        <v>36</v>
      </c>
      <c r="G8" s="11">
        <v>40</v>
      </c>
      <c r="H8" s="11">
        <v>40</v>
      </c>
      <c r="I8" s="11"/>
      <c r="J8" s="11"/>
      <c r="K8" s="9">
        <f>D8+E8-SUM(F8:J8)</f>
        <v>191</v>
      </c>
      <c r="L8" s="9">
        <v>191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VLOOKUP($B9,'1005'!$B9:$M23,11,0)</f>
        <v>114</v>
      </c>
      <c r="E9" s="14">
        <v>38</v>
      </c>
      <c r="F9" s="11"/>
      <c r="G9" s="11">
        <v>64</v>
      </c>
      <c r="H9" s="11">
        <v>50</v>
      </c>
      <c r="I9" s="11"/>
      <c r="J9" s="11"/>
      <c r="K9" s="9">
        <f t="shared" ref="K9:K19" si="1">D9+E9-SUM(F9:J9)</f>
        <v>38</v>
      </c>
      <c r="L9" s="9">
        <v>38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VLOOKUP($B10,'1005'!$B10:$M24,11,0)</f>
        <v>115</v>
      </c>
      <c r="E10" s="10">
        <v>117</v>
      </c>
      <c r="F10" s="11">
        <v>10</v>
      </c>
      <c r="G10" s="11">
        <v>55</v>
      </c>
      <c r="H10" s="11">
        <v>50</v>
      </c>
      <c r="I10" s="11"/>
      <c r="J10" s="11"/>
      <c r="K10" s="9">
        <f t="shared" si="1"/>
        <v>117</v>
      </c>
      <c r="L10" s="9">
        <v>117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VLOOKUP($B11,'1005'!$B11:$M25,11,0)</f>
        <v>175</v>
      </c>
      <c r="E11" s="10">
        <v>169</v>
      </c>
      <c r="F11" s="11"/>
      <c r="G11" s="11"/>
      <c r="H11" s="11"/>
      <c r="I11" s="11"/>
      <c r="J11" s="11"/>
      <c r="K11" s="9">
        <f t="shared" si="1"/>
        <v>344</v>
      </c>
      <c r="L11" s="9">
        <f>175+169</f>
        <v>344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VLOOKUP($B12,'1005'!$B12:$M26,11,0)</f>
        <v>177</v>
      </c>
      <c r="E12" s="14">
        <v>101</v>
      </c>
      <c r="F12" s="11"/>
      <c r="G12" s="11">
        <v>70</v>
      </c>
      <c r="H12" s="11">
        <v>50</v>
      </c>
      <c r="I12" s="11"/>
      <c r="J12" s="11"/>
      <c r="K12" s="9">
        <f t="shared" si="1"/>
        <v>158</v>
      </c>
      <c r="L12" s="9">
        <f>36+122</f>
        <v>158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VLOOKUP($B13,'1005'!$B13:$M27,11,0)</f>
        <v>173</v>
      </c>
      <c r="E13" s="14">
        <v>117</v>
      </c>
      <c r="F13" s="11"/>
      <c r="G13" s="11"/>
      <c r="H13" s="11"/>
      <c r="I13" s="11"/>
      <c r="J13" s="11"/>
      <c r="K13" s="9">
        <f t="shared" si="1"/>
        <v>290</v>
      </c>
      <c r="L13" s="9">
        <f>173+117</f>
        <v>290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VLOOKUP($B14,'1005'!$B14:$M28,11,0)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VLOOKUP($B15,'1005'!$B15:$M29,11,0)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VLOOKUP($B16,'1005'!$B16:$M30,11,0)</f>
        <v>5</v>
      </c>
      <c r="E16" s="14"/>
      <c r="F16" s="11"/>
      <c r="G16" s="11"/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VLOOKUP($B17,'1005'!$B17:$M31,11,0)</f>
        <v>1</v>
      </c>
      <c r="E17" s="14"/>
      <c r="F17" s="11"/>
      <c r="G17" s="11">
        <v>1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VLOOKUP($B18,'1005'!$B18:$M32,11,0)</f>
        <v>0</v>
      </c>
      <c r="E18" s="14">
        <v>2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VLOOKUP($B19,'1005'!$B19:$M33,11,0)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VLOOKUP($B20,'1005'!$B20:$M34,11,0)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VLOOKUP($B21,'1005'!$B21:$M35,11,0)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VLOOKUP($B22,'1005'!$B22:$M36,11,0)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VLOOKUP($B24,'1005'!$B24:$M38,11,0)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VLOOKUP($B26,'1005'!$B26:$M40,11,0)</f>
        <v>179</v>
      </c>
      <c r="E26" s="10">
        <v>122</v>
      </c>
      <c r="F26" s="9">
        <v>110</v>
      </c>
      <c r="G26" s="11"/>
      <c r="H26" s="9"/>
      <c r="I26" s="9"/>
      <c r="J26" s="9"/>
      <c r="K26" s="9">
        <f t="shared" ref="K26" si="4">D26+E26-F26</f>
        <v>191</v>
      </c>
      <c r="L26" s="9">
        <v>191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VLOOKUP($B27,'1005'!$B27:$M41,11,0)</f>
        <v>97</v>
      </c>
      <c r="E27" s="9"/>
      <c r="F27" s="9">
        <v>35</v>
      </c>
      <c r="G27" s="11"/>
      <c r="H27" s="9"/>
      <c r="I27" s="9"/>
      <c r="J27" s="9"/>
      <c r="K27" s="9">
        <f>D27+E27-F27</f>
        <v>62</v>
      </c>
      <c r="L27" s="9">
        <v>62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VLOOKUP($B28,'1005'!$B28:$M42,11,0)</f>
        <v>384</v>
      </c>
      <c r="E28" s="9">
        <v>140</v>
      </c>
      <c r="F28" s="9">
        <v>162</v>
      </c>
      <c r="G28" s="11"/>
      <c r="H28" s="9"/>
      <c r="I28" s="9"/>
      <c r="J28" s="9"/>
      <c r="K28" s="9">
        <f>D28+E28-F28</f>
        <v>362</v>
      </c>
      <c r="L28" s="9">
        <v>362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VLOOKUP($B29,'1005'!$B29:$M43,11,0)</f>
        <v>191</v>
      </c>
      <c r="E29" s="9"/>
      <c r="F29" s="9">
        <v>76</v>
      </c>
      <c r="G29" s="11"/>
      <c r="H29" s="9"/>
      <c r="I29" s="9"/>
      <c r="J29" s="9"/>
      <c r="K29" s="9">
        <f>D29+E29-F29</f>
        <v>115</v>
      </c>
      <c r="L29" s="9">
        <v>115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DATE(2015,5,10)</f>
        <v>42134</v>
      </c>
      <c r="E5" s="293">
        <f>D5+1</f>
        <v>42135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58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39</v>
      </c>
      <c r="H7" s="5" t="s">
        <v>54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VLOOKUP($B8,'1105'!$B8:$M22,11,0)</f>
        <v>191</v>
      </c>
      <c r="E8" s="10">
        <f>75+114</f>
        <v>189</v>
      </c>
      <c r="F8" s="11">
        <v>42</v>
      </c>
      <c r="G8" s="11">
        <v>20</v>
      </c>
      <c r="H8" s="11">
        <v>20</v>
      </c>
      <c r="I8" s="11"/>
      <c r="J8" s="11"/>
      <c r="K8" s="9">
        <f>D8+E8-SUM(F8:J8)</f>
        <v>298</v>
      </c>
      <c r="L8" s="9">
        <v>298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VLOOKUP($B9,'1105'!$B9:$M23,11,0)</f>
        <v>38</v>
      </c>
      <c r="E9" s="14"/>
      <c r="F9" s="11">
        <v>8</v>
      </c>
      <c r="G9" s="11"/>
      <c r="H9" s="11">
        <v>30</v>
      </c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VLOOKUP($B10,'1105'!$B10:$M24,11,0)</f>
        <v>117</v>
      </c>
      <c r="E10" s="10">
        <v>123</v>
      </c>
      <c r="F10" s="11">
        <v>10</v>
      </c>
      <c r="G10" s="11">
        <v>50</v>
      </c>
      <c r="H10" s="11">
        <v>50</v>
      </c>
      <c r="I10" s="11"/>
      <c r="J10" s="11"/>
      <c r="K10" s="9">
        <f t="shared" si="1"/>
        <v>130</v>
      </c>
      <c r="L10" s="9">
        <v>130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VLOOKUP($B11,'1105'!$B11:$M25,11,0)</f>
        <v>344</v>
      </c>
      <c r="E11" s="10">
        <v>326</v>
      </c>
      <c r="F11" s="11"/>
      <c r="G11" s="11">
        <v>160</v>
      </c>
      <c r="H11" s="11">
        <v>160</v>
      </c>
      <c r="I11" s="11"/>
      <c r="J11" s="11"/>
      <c r="K11" s="9">
        <f t="shared" si="1"/>
        <v>350</v>
      </c>
      <c r="L11" s="9">
        <f>326+24</f>
        <v>350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VLOOKUP($B12,'1105'!$B12:$M26,11,0)</f>
        <v>158</v>
      </c>
      <c r="E12" s="14">
        <f>120+87</f>
        <v>207</v>
      </c>
      <c r="F12" s="11"/>
      <c r="G12" s="11">
        <v>40</v>
      </c>
      <c r="H12" s="11">
        <v>50</v>
      </c>
      <c r="I12" s="11"/>
      <c r="J12" s="11"/>
      <c r="K12" s="9">
        <f t="shared" si="1"/>
        <v>275</v>
      </c>
      <c r="L12" s="9">
        <f>67+208</f>
        <v>275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VLOOKUP($B13,'1105'!$B13:$M27,11,0)</f>
        <v>290</v>
      </c>
      <c r="E13" s="14">
        <v>75</v>
      </c>
      <c r="F13" s="11"/>
      <c r="G13" s="11">
        <v>50</v>
      </c>
      <c r="H13" s="11">
        <v>40</v>
      </c>
      <c r="I13" s="11"/>
      <c r="J13" s="11"/>
      <c r="K13" s="9">
        <f t="shared" si="1"/>
        <v>275</v>
      </c>
      <c r="L13" s="9">
        <f>66+15+117+75+2</f>
        <v>275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VLOOKUP($B14,'1105'!$B14:$M28,11,0)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VLOOKUP($B15,'1105'!$B15:$M29,11,0)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VLOOKUP($B16,'1105'!$B16:$M30,11,0)</f>
        <v>5</v>
      </c>
      <c r="E16" s="14">
        <v>2</v>
      </c>
      <c r="F16" s="11"/>
      <c r="G16" s="11"/>
      <c r="H16" s="11">
        <v>1</v>
      </c>
      <c r="I16" s="11"/>
      <c r="J16" s="11"/>
      <c r="K16" s="9">
        <f t="shared" si="1"/>
        <v>6</v>
      </c>
      <c r="L16" s="9">
        <v>6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VLOOKUP($B17,'1105'!$B17:$M31,11,0)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VLOOKUP($B18,'1105'!$B18:$M32,11,0)</f>
        <v>2</v>
      </c>
      <c r="E18" s="14"/>
      <c r="F18" s="11"/>
      <c r="G18" s="11"/>
      <c r="H18" s="11">
        <v>1</v>
      </c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VLOOKUP($B19,'1105'!$B19:$M33,11,0)</f>
        <v>0</v>
      </c>
      <c r="E19" s="14">
        <v>2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VLOOKUP($B20,'1105'!$B20:$M34,11,0)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VLOOKUP($B21,'1105'!$B21:$M35,11,0)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VLOOKUP($B22,'1105'!$B22:$M36,11,0)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VLOOKUP($B24,'1105'!$B24:$M38,11,0)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VLOOKUP($B26,'1105'!$B26:$M40,11,0)</f>
        <v>191</v>
      </c>
      <c r="E26" s="10">
        <v>132</v>
      </c>
      <c r="F26" s="9">
        <v>120</v>
      </c>
      <c r="G26" s="11"/>
      <c r="H26" s="9"/>
      <c r="I26" s="9"/>
      <c r="J26" s="9"/>
      <c r="K26" s="9">
        <f t="shared" ref="K26" si="4">D26+E26-F26</f>
        <v>203</v>
      </c>
      <c r="L26" s="9">
        <v>203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VLOOKUP($B27,'1105'!$B27:$M41,11,0)</f>
        <v>62</v>
      </c>
      <c r="E27" s="9">
        <v>61</v>
      </c>
      <c r="F27" s="9">
        <v>39</v>
      </c>
      <c r="G27" s="11"/>
      <c r="H27" s="9"/>
      <c r="I27" s="9"/>
      <c r="J27" s="9"/>
      <c r="K27" s="9">
        <f>D27+E27-F27</f>
        <v>84</v>
      </c>
      <c r="L27" s="9">
        <v>84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VLOOKUP($B28,'1105'!$B28:$M42,11,0)</f>
        <v>362</v>
      </c>
      <c r="E28" s="9">
        <v>144</v>
      </c>
      <c r="F28" s="9">
        <v>182</v>
      </c>
      <c r="G28" s="11"/>
      <c r="H28" s="9"/>
      <c r="I28" s="9"/>
      <c r="J28" s="9"/>
      <c r="K28" s="9">
        <f>D28+E28-F28</f>
        <v>324</v>
      </c>
      <c r="L28" s="9">
        <v>324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VLOOKUP($B29,'1105'!$B29:$M43,11,0)</f>
        <v>115</v>
      </c>
      <c r="E29" s="9">
        <v>41</v>
      </c>
      <c r="F29" s="9">
        <v>59</v>
      </c>
      <c r="G29" s="11"/>
      <c r="H29" s="9"/>
      <c r="I29" s="9"/>
      <c r="J29" s="9"/>
      <c r="K29" s="9">
        <f>D29+E29-F29</f>
        <v>97</v>
      </c>
      <c r="L29" s="9">
        <v>97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DATE(2015,5,12)</f>
        <v>42136</v>
      </c>
      <c r="E5" s="293">
        <f>D5+1</f>
        <v>42137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59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52</v>
      </c>
      <c r="H7" s="5" t="s">
        <v>55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VLOOKUP($B8,'1205'!$B8:$M22,11,0)</f>
        <v>298</v>
      </c>
      <c r="E8" s="10">
        <v>148</v>
      </c>
      <c r="F8" s="11">
        <v>40</v>
      </c>
      <c r="G8" s="11">
        <v>160</v>
      </c>
      <c r="H8" s="11">
        <v>98</v>
      </c>
      <c r="I8" s="11"/>
      <c r="J8" s="11"/>
      <c r="K8" s="9">
        <f>D8+E8-SUM(F8:J8)</f>
        <v>148</v>
      </c>
      <c r="L8" s="9">
        <v>148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VLOOKUP($B9,'1205'!$B9:$M23,11,0)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VLOOKUP($B10,'1205'!$B10:$M24,11,0)</f>
        <v>130</v>
      </c>
      <c r="E10" s="10"/>
      <c r="F10" s="11">
        <v>10</v>
      </c>
      <c r="G10" s="11">
        <v>120</v>
      </c>
      <c r="H10" s="11"/>
      <c r="I10" s="11"/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VLOOKUP($B11,'1205'!$B11:$M25,11,0)</f>
        <v>350</v>
      </c>
      <c r="E11" s="10"/>
      <c r="F11" s="11"/>
      <c r="G11" s="11">
        <v>130</v>
      </c>
      <c r="H11" s="11">
        <v>200</v>
      </c>
      <c r="I11" s="11"/>
      <c r="J11" s="11"/>
      <c r="K11" s="9">
        <f t="shared" si="1"/>
        <v>20</v>
      </c>
      <c r="L11" s="9">
        <v>20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VLOOKUP($B12,'1205'!$B12:$M26,11,0)</f>
        <v>275</v>
      </c>
      <c r="E12" s="14">
        <v>72</v>
      </c>
      <c r="F12" s="11">
        <v>10</v>
      </c>
      <c r="G12" s="11">
        <v>151</v>
      </c>
      <c r="H12" s="11">
        <v>100</v>
      </c>
      <c r="I12" s="11"/>
      <c r="J12" s="11"/>
      <c r="K12" s="9">
        <f t="shared" si="1"/>
        <v>86</v>
      </c>
      <c r="L12" s="9">
        <v>86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VLOOKUP($B13,'1205'!$B13:$M27,11,0)</f>
        <v>275</v>
      </c>
      <c r="E13" s="14">
        <v>71</v>
      </c>
      <c r="F13" s="11"/>
      <c r="G13" s="11">
        <v>170</v>
      </c>
      <c r="H13" s="11">
        <v>105</v>
      </c>
      <c r="I13" s="11"/>
      <c r="J13" s="11"/>
      <c r="K13" s="9">
        <f t="shared" si="1"/>
        <v>71</v>
      </c>
      <c r="L13" s="9">
        <v>71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VLOOKUP($B14,'1205'!$B14:$M28,11,0)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VLOOKUP($B15,'1205'!$B15:$M29,11,0)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VLOOKUP($B16,'1205'!$B16:$M30,11,0)</f>
        <v>6</v>
      </c>
      <c r="E16" s="14">
        <v>2</v>
      </c>
      <c r="F16" s="11"/>
      <c r="G16" s="11">
        <v>1</v>
      </c>
      <c r="H16" s="11"/>
      <c r="I16" s="11"/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VLOOKUP($B17,'1205'!$B17:$M31,11,0)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VLOOKUP($B18,'1205'!$B18:$M32,11,0)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VLOOKUP($B19,'1205'!$B19:$M33,11,0)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VLOOKUP($B20,'1205'!$B20:$M34,11,0)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VLOOKUP($B21,'1205'!$B21:$M35,11,0)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VLOOKUP($B22,'1205'!$B22:$M36,11,0)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VLOOKUP($B24,'1205'!$B24:$M38,11,0)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VLOOKUP($B26,'1205'!$B26:$M40,11,0)</f>
        <v>203</v>
      </c>
      <c r="E26" s="10">
        <v>125</v>
      </c>
      <c r="F26" s="9">
        <v>145</v>
      </c>
      <c r="G26" s="11"/>
      <c r="H26" s="9"/>
      <c r="I26" s="9"/>
      <c r="J26" s="9"/>
      <c r="K26" s="9">
        <f t="shared" ref="K26" si="4">D26+E26-F26</f>
        <v>183</v>
      </c>
      <c r="L26" s="9">
        <v>183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VLOOKUP($B27,'1205'!$B27:$M41,11,0)</f>
        <v>84</v>
      </c>
      <c r="E27" s="9">
        <v>63</v>
      </c>
      <c r="F27" s="9">
        <v>84</v>
      </c>
      <c r="G27" s="11"/>
      <c r="H27" s="9"/>
      <c r="I27" s="9"/>
      <c r="J27" s="9"/>
      <c r="K27" s="9">
        <f>D27+E27-F27</f>
        <v>63</v>
      </c>
      <c r="L27" s="9">
        <v>63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VLOOKUP($B28,'1205'!$B28:$M42,11,0)</f>
        <v>324</v>
      </c>
      <c r="E28" s="9">
        <v>288</v>
      </c>
      <c r="F28" s="9">
        <v>324</v>
      </c>
      <c r="G28" s="11"/>
      <c r="H28" s="9"/>
      <c r="I28" s="9"/>
      <c r="J28" s="9"/>
      <c r="K28" s="9">
        <f>D28+E28-F28</f>
        <v>288</v>
      </c>
      <c r="L28" s="9">
        <v>288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VLOOKUP($B29,'1205'!$B29:$M43,11,0)</f>
        <v>97</v>
      </c>
      <c r="E29" s="9">
        <v>86</v>
      </c>
      <c r="F29" s="9">
        <v>80</v>
      </c>
      <c r="G29" s="11"/>
      <c r="H29" s="9"/>
      <c r="I29" s="9"/>
      <c r="J29" s="9"/>
      <c r="K29" s="9">
        <f>D29+E29-F29</f>
        <v>103</v>
      </c>
      <c r="L29" s="9">
        <v>103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DATE(2015,5,13)</f>
        <v>42137</v>
      </c>
      <c r="E5" s="293">
        <f>D5+1</f>
        <v>42138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60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38</v>
      </c>
      <c r="H7" s="5" t="s">
        <v>40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VLOOKUP($B8,'1305'!$B8:$M22,11,0)</f>
        <v>148</v>
      </c>
      <c r="E8" s="10">
        <f>77+77</f>
        <v>154</v>
      </c>
      <c r="F8" s="11">
        <v>40</v>
      </c>
      <c r="G8" s="11">
        <v>20</v>
      </c>
      <c r="H8" s="11">
        <v>40</v>
      </c>
      <c r="I8" s="11"/>
      <c r="J8" s="11"/>
      <c r="K8" s="9">
        <f>D8+E8-SUM(F8:J8)</f>
        <v>202</v>
      </c>
      <c r="L8" s="9">
        <v>202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VLOOKUP($B9,'1305'!$B9:$M23,11,0)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VLOOKUP($B10,'1305'!$B10:$M24,11,0)</f>
        <v>0</v>
      </c>
      <c r="E10" s="10">
        <v>163</v>
      </c>
      <c r="F10" s="11"/>
      <c r="G10" s="11"/>
      <c r="H10" s="11">
        <v>40</v>
      </c>
      <c r="I10" s="11"/>
      <c r="J10" s="11"/>
      <c r="K10" s="9">
        <f t="shared" si="1"/>
        <v>123</v>
      </c>
      <c r="L10" s="9">
        <v>123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VLOOKUP($B11,'1305'!$B11:$M25,11,0)</f>
        <v>20</v>
      </c>
      <c r="E11" s="10">
        <v>130</v>
      </c>
      <c r="F11" s="11"/>
      <c r="G11" s="11">
        <v>150</v>
      </c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VLOOKUP($B12,'1305'!$B12:$M26,11,0)</f>
        <v>86</v>
      </c>
      <c r="E12" s="14">
        <v>107</v>
      </c>
      <c r="F12" s="11">
        <v>14</v>
      </c>
      <c r="G12" s="11"/>
      <c r="H12" s="11">
        <v>72</v>
      </c>
      <c r="I12" s="11"/>
      <c r="J12" s="11"/>
      <c r="K12" s="9">
        <f t="shared" si="1"/>
        <v>107</v>
      </c>
      <c r="L12" s="9">
        <v>107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VLOOKUP($B13,'1305'!$B13:$M27,11,0)</f>
        <v>71</v>
      </c>
      <c r="E13" s="14">
        <v>54</v>
      </c>
      <c r="F13" s="11">
        <v>10</v>
      </c>
      <c r="G13" s="11"/>
      <c r="H13" s="11">
        <v>40</v>
      </c>
      <c r="I13" s="11"/>
      <c r="J13" s="11"/>
      <c r="K13" s="9">
        <f t="shared" si="1"/>
        <v>75</v>
      </c>
      <c r="L13" s="9">
        <f>21+54</f>
        <v>75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VLOOKUP($B14,'1305'!$B14:$M28,11,0)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VLOOKUP($B15,'1305'!$B15:$M29,11,0)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VLOOKUP($B16,'1305'!$B16:$M30,11,0)</f>
        <v>7</v>
      </c>
      <c r="E16" s="14"/>
      <c r="F16" s="11"/>
      <c r="G16" s="11">
        <v>1</v>
      </c>
      <c r="H16" s="11">
        <v>1</v>
      </c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VLOOKUP($B17,'1305'!$B17:$M31,11,0)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VLOOKUP($B18,'1305'!$B18:$M32,11,0)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VLOOKUP($B19,'1305'!$B19:$M33,11,0)</f>
        <v>2</v>
      </c>
      <c r="E19" s="14"/>
      <c r="F19" s="11"/>
      <c r="G19" s="11"/>
      <c r="H19" s="11">
        <v>1</v>
      </c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VLOOKUP($B20,'1305'!$B20:$M34,11,0)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VLOOKUP($B21,'1305'!$B21:$M35,11,0)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VLOOKUP($B22,'1305'!$B22:$M36,11,0)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VLOOKUP($B24,'1305'!$B24:$M38,11,0)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VLOOKUP($B26,'1305'!$B26:$M40,11,0)</f>
        <v>183</v>
      </c>
      <c r="E26" s="10">
        <v>128</v>
      </c>
      <c r="F26" s="9">
        <v>150</v>
      </c>
      <c r="G26" s="11"/>
      <c r="H26" s="9"/>
      <c r="I26" s="9"/>
      <c r="J26" s="9"/>
      <c r="K26" s="9">
        <f t="shared" ref="K26" si="4">D26+E26-F26</f>
        <v>161</v>
      </c>
      <c r="L26" s="9">
        <v>161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VLOOKUP($B27,'1305'!$B27:$M41,11,0)</f>
        <v>63</v>
      </c>
      <c r="E27" s="9">
        <v>62</v>
      </c>
      <c r="F27" s="9">
        <v>50</v>
      </c>
      <c r="G27" s="11"/>
      <c r="H27" s="9"/>
      <c r="I27" s="9"/>
      <c r="J27" s="9"/>
      <c r="K27" s="9">
        <f>D27+E27-F27</f>
        <v>75</v>
      </c>
      <c r="L27" s="9">
        <v>75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VLOOKUP($B28,'1305'!$B28:$M42,11,0)</f>
        <v>288</v>
      </c>
      <c r="E28" s="9">
        <f>150+155</f>
        <v>305</v>
      </c>
      <c r="F28" s="9">
        <v>278</v>
      </c>
      <c r="G28" s="11"/>
      <c r="H28" s="9"/>
      <c r="I28" s="9"/>
      <c r="J28" s="9"/>
      <c r="K28" s="9">
        <f>D28+E28-F28</f>
        <v>315</v>
      </c>
      <c r="L28" s="9">
        <v>315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VLOOKUP($B29,'1305'!$B29:$M43,11,0)</f>
        <v>103</v>
      </c>
      <c r="E29" s="9">
        <v>97</v>
      </c>
      <c r="F29" s="9">
        <v>81</v>
      </c>
      <c r="G29" s="11"/>
      <c r="H29" s="9"/>
      <c r="I29" s="9"/>
      <c r="J29" s="9"/>
      <c r="K29" s="9">
        <f>D29+E29-F29</f>
        <v>119</v>
      </c>
      <c r="L29" s="9">
        <v>119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DATE(2015,5,14)</f>
        <v>42138</v>
      </c>
      <c r="E5" s="293">
        <f>D5+1</f>
        <v>42139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61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49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VLOOKUP($B8,'1405'!$B8:$M22,11,0)</f>
        <v>202</v>
      </c>
      <c r="E8" s="10">
        <f>38+98+92</f>
        <v>228</v>
      </c>
      <c r="F8" s="11">
        <v>40</v>
      </c>
      <c r="G8" s="11">
        <v>100</v>
      </c>
      <c r="H8" s="11"/>
      <c r="I8" s="11"/>
      <c r="J8" s="11"/>
      <c r="K8" s="9">
        <f>D8+E8-SUM(F8:J8)</f>
        <v>290</v>
      </c>
      <c r="L8" s="9">
        <v>290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VLOOKUP($B9,'1405'!$B9:$M23,11,0)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VLOOKUP($B10,'1405'!$B10:$M24,11,0)</f>
        <v>123</v>
      </c>
      <c r="E10" s="10">
        <v>76</v>
      </c>
      <c r="F10" s="11">
        <v>20</v>
      </c>
      <c r="G10" s="11">
        <v>103</v>
      </c>
      <c r="H10" s="11"/>
      <c r="I10" s="11"/>
      <c r="J10" s="11"/>
      <c r="K10" s="9">
        <f t="shared" si="1"/>
        <v>76</v>
      </c>
      <c r="L10" s="9">
        <f>76</f>
        <v>76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VLOOKUP($B11,'1405'!$B11:$M25,11,0)</f>
        <v>0</v>
      </c>
      <c r="E11" s="10">
        <v>272</v>
      </c>
      <c r="F11" s="11"/>
      <c r="G11" s="11">
        <v>135</v>
      </c>
      <c r="H11" s="11"/>
      <c r="I11" s="11"/>
      <c r="J11" s="11"/>
      <c r="K11" s="9">
        <f t="shared" si="1"/>
        <v>137</v>
      </c>
      <c r="L11" s="9">
        <v>137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VLOOKUP($B12,'1405'!$B12:$M26,11,0)</f>
        <v>107</v>
      </c>
      <c r="E12" s="14">
        <v>162</v>
      </c>
      <c r="F12" s="11">
        <v>27</v>
      </c>
      <c r="G12" s="11">
        <v>80</v>
      </c>
      <c r="H12" s="11"/>
      <c r="I12" s="11"/>
      <c r="J12" s="11"/>
      <c r="K12" s="9">
        <f t="shared" si="1"/>
        <v>162</v>
      </c>
      <c r="L12" s="9">
        <v>162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VLOOKUP($B13,'1405'!$B13:$M27,11,0)</f>
        <v>75</v>
      </c>
      <c r="E13" s="14">
        <v>149</v>
      </c>
      <c r="F13" s="11">
        <v>10</v>
      </c>
      <c r="G13" s="11">
        <v>65</v>
      </c>
      <c r="H13" s="11"/>
      <c r="I13" s="11"/>
      <c r="J13" s="11"/>
      <c r="K13" s="9">
        <f t="shared" si="1"/>
        <v>149</v>
      </c>
      <c r="L13" s="9">
        <v>149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VLOOKUP($B14,'1405'!$B14:$M28,11,0)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VLOOKUP($B15,'1405'!$B15:$M29,11,0)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VLOOKUP($B16,'1405'!$B16:$M30,11,0)</f>
        <v>5</v>
      </c>
      <c r="E16" s="14"/>
      <c r="F16" s="11"/>
      <c r="G16" s="11">
        <v>1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VLOOKUP($B17,'1405'!$B17:$M31,11,0)</f>
        <v>2</v>
      </c>
      <c r="E17" s="14">
        <v>3</v>
      </c>
      <c r="F17" s="11"/>
      <c r="G17" s="11">
        <v>1</v>
      </c>
      <c r="H17" s="11"/>
      <c r="I17" s="11"/>
      <c r="J17" s="11"/>
      <c r="K17" s="9">
        <f t="shared" si="1"/>
        <v>4</v>
      </c>
      <c r="L17" s="9">
        <v>4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VLOOKUP($B18,'1405'!$B18:$M32,11,0)</f>
        <v>1</v>
      </c>
      <c r="E18" s="14"/>
      <c r="F18" s="11"/>
      <c r="G18" s="11">
        <v>1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VLOOKUP($B19,'1405'!$B19:$M33,11,0)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VLOOKUP($B20,'1405'!$B20:$M34,11,0)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VLOOKUP($B21,'1405'!$B21:$M35,11,0)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VLOOKUP($B22,'1405'!$B22:$M36,11,0)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VLOOKUP($B26,'1405'!$B26:$M40,11,0)</f>
        <v>161</v>
      </c>
      <c r="E26" s="10">
        <f>121+82</f>
        <v>203</v>
      </c>
      <c r="F26" s="9">
        <v>161</v>
      </c>
      <c r="G26" s="11"/>
      <c r="H26" s="9"/>
      <c r="I26" s="9"/>
      <c r="J26" s="9"/>
      <c r="K26" s="9">
        <f t="shared" ref="K26" si="4">D26+E26-F26</f>
        <v>203</v>
      </c>
      <c r="L26" s="9">
        <v>203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VLOOKUP($B27,'1405'!$B27:$M41,11,0)</f>
        <v>75</v>
      </c>
      <c r="E27" s="9">
        <v>60</v>
      </c>
      <c r="F27" s="9">
        <v>19</v>
      </c>
      <c r="G27" s="11"/>
      <c r="H27" s="9"/>
      <c r="I27" s="9"/>
      <c r="J27" s="9"/>
      <c r="K27" s="9">
        <f>D27+E27-F27</f>
        <v>116</v>
      </c>
      <c r="L27" s="9">
        <v>116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VLOOKUP($B28,'1405'!$B28:$M42,11,0)</f>
        <v>315</v>
      </c>
      <c r="E28" s="9">
        <v>108</v>
      </c>
      <c r="F28" s="9">
        <v>150</v>
      </c>
      <c r="G28" s="11"/>
      <c r="H28" s="9"/>
      <c r="I28" s="9"/>
      <c r="J28" s="9"/>
      <c r="K28" s="9">
        <f>D28+E28-F28</f>
        <v>273</v>
      </c>
      <c r="L28" s="9">
        <v>273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VLOOKUP($B29,'1405'!$B29:$M43,11,0)</f>
        <v>119</v>
      </c>
      <c r="E29" s="9">
        <v>97</v>
      </c>
      <c r="F29" s="9">
        <v>60</v>
      </c>
      <c r="G29" s="11"/>
      <c r="H29" s="9"/>
      <c r="I29" s="9"/>
      <c r="J29" s="9"/>
      <c r="K29" s="9">
        <f>D29+E29-F29</f>
        <v>156</v>
      </c>
      <c r="L29" s="9">
        <v>156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DATE(2015,5,15)</f>
        <v>42139</v>
      </c>
      <c r="E5" s="293">
        <f>D5+1</f>
        <v>42140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62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58</v>
      </c>
      <c r="H7" s="5" t="s">
        <v>52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VLOOKUP($B8,'1505'!$B8:$M22,11,0)</f>
        <v>290</v>
      </c>
      <c r="E8" s="10">
        <f>90+46+89</f>
        <v>225</v>
      </c>
      <c r="F8" s="11">
        <v>40</v>
      </c>
      <c r="G8" s="11">
        <v>152</v>
      </c>
      <c r="H8" s="11">
        <v>98</v>
      </c>
      <c r="I8" s="11"/>
      <c r="J8" s="11"/>
      <c r="K8" s="9">
        <f>D8+E8-SUM(F8:J8)</f>
        <v>225</v>
      </c>
      <c r="L8" s="9">
        <v>225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VLOOKUP($B9,'1505'!$B9:$M23,11,0)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VLOOKUP($B10,'1505'!$B10:$M24,11,0)</f>
        <v>76</v>
      </c>
      <c r="E10" s="10">
        <v>85</v>
      </c>
      <c r="F10" s="11"/>
      <c r="G10" s="11">
        <v>83</v>
      </c>
      <c r="H10" s="11"/>
      <c r="I10" s="11"/>
      <c r="J10" s="11"/>
      <c r="K10" s="9">
        <f t="shared" si="1"/>
        <v>78</v>
      </c>
      <c r="L10" s="9">
        <v>78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VLOOKUP($B11,'1505'!$B11:$M25,11,0)</f>
        <v>137</v>
      </c>
      <c r="E11" s="10"/>
      <c r="F11" s="11"/>
      <c r="G11" s="11">
        <v>137</v>
      </c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VLOOKUP($B12,'1505'!$B12:$M26,11,0)</f>
        <v>162</v>
      </c>
      <c r="E12" s="14">
        <v>123</v>
      </c>
      <c r="F12" s="11">
        <v>30</v>
      </c>
      <c r="G12" s="11">
        <v>100</v>
      </c>
      <c r="H12" s="11">
        <v>27</v>
      </c>
      <c r="I12" s="11"/>
      <c r="J12" s="11"/>
      <c r="K12" s="9">
        <f t="shared" si="1"/>
        <v>128</v>
      </c>
      <c r="L12" s="9">
        <v>128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VLOOKUP($B13,'1505'!$B13:$M27,11,0)</f>
        <v>149</v>
      </c>
      <c r="E13" s="14">
        <v>93</v>
      </c>
      <c r="F13" s="11">
        <v>23</v>
      </c>
      <c r="G13" s="11">
        <v>80</v>
      </c>
      <c r="H13" s="11"/>
      <c r="I13" s="11"/>
      <c r="J13" s="11"/>
      <c r="K13" s="9">
        <f t="shared" si="1"/>
        <v>139</v>
      </c>
      <c r="L13" s="9">
        <v>139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VLOOKUP($B14,'1505'!$B14:$M28,11,0)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VLOOKUP($B15,'1505'!$B15:$M29,11,0)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VLOOKUP($B16,'1505'!$B16:$M30,11,0)</f>
        <v>4</v>
      </c>
      <c r="E16" s="14">
        <v>3</v>
      </c>
      <c r="F16" s="11"/>
      <c r="G16" s="11"/>
      <c r="H16" s="11">
        <v>2</v>
      </c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VLOOKUP($B17,'1505'!$B17:$M31,11,0)</f>
        <v>4</v>
      </c>
      <c r="E17" s="14"/>
      <c r="F17" s="11"/>
      <c r="G17" s="11">
        <v>3</v>
      </c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VLOOKUP($B18,'1505'!$B18:$M32,11,0)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VLOOKUP($B19,'1505'!$B19:$M33,11,0)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VLOOKUP($B20,'1505'!$B20:$M34,11,0)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VLOOKUP($B21,'1505'!$B21:$M35,11,0)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VLOOKUP($B22,'1505'!$B22:$M36,11,0)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VLOOKUP($B24,'1505'!$B24:$M38,11,0)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VLOOKUP($B26,'1505'!$B26:$M40,11,0)</f>
        <v>203</v>
      </c>
      <c r="E26" s="10">
        <v>133</v>
      </c>
      <c r="F26" s="9">
        <v>150</v>
      </c>
      <c r="G26" s="11"/>
      <c r="H26" s="9"/>
      <c r="I26" s="9"/>
      <c r="J26" s="9"/>
      <c r="K26" s="9">
        <f t="shared" ref="K26" si="4">D26+E26-F26</f>
        <v>186</v>
      </c>
      <c r="L26" s="9">
        <v>186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VLOOKUP($B27,'1505'!$B27:$M41,11,0)</f>
        <v>116</v>
      </c>
      <c r="E27" s="9">
        <v>63</v>
      </c>
      <c r="F27" s="9">
        <v>56</v>
      </c>
      <c r="G27" s="11"/>
      <c r="H27" s="9"/>
      <c r="I27" s="9"/>
      <c r="J27" s="9"/>
      <c r="K27" s="9">
        <f>D27+E27-F27</f>
        <v>123</v>
      </c>
      <c r="L27" s="9">
        <v>123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VLOOKUP($B28,'1505'!$B28:$M42,11,0)</f>
        <v>273</v>
      </c>
      <c r="E28" s="9">
        <v>150</v>
      </c>
      <c r="F28" s="9">
        <v>70</v>
      </c>
      <c r="G28" s="11"/>
      <c r="H28" s="9"/>
      <c r="I28" s="9"/>
      <c r="J28" s="9"/>
      <c r="K28" s="9">
        <f>D28+E28-F28</f>
        <v>353</v>
      </c>
      <c r="L28" s="9">
        <v>353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VLOOKUP($B29,'1505'!$B29:$M43,11,0)</f>
        <v>156</v>
      </c>
      <c r="E29" s="9">
        <v>93</v>
      </c>
      <c r="F29" s="9">
        <v>80</v>
      </c>
      <c r="G29" s="11"/>
      <c r="H29" s="9"/>
      <c r="I29" s="9"/>
      <c r="J29" s="9"/>
      <c r="K29" s="9">
        <f>D29+E29-F29</f>
        <v>169</v>
      </c>
      <c r="L29" s="9">
        <v>169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DATE(2015,5,16)</f>
        <v>42140</v>
      </c>
      <c r="E5" s="293">
        <f>D5+1</f>
        <v>42141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63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/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VLOOKUP($B8,'1605'!$B8:$M22,11,0)</f>
        <v>225</v>
      </c>
      <c r="E8" s="10">
        <f>73+87+102</f>
        <v>262</v>
      </c>
      <c r="F8" s="11">
        <v>40</v>
      </c>
      <c r="G8" s="11"/>
      <c r="H8" s="11"/>
      <c r="I8" s="11"/>
      <c r="J8" s="11"/>
      <c r="K8" s="9">
        <f>D8+E8-SUM(F8:J8)</f>
        <v>447</v>
      </c>
      <c r="L8" s="9">
        <v>447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VLOOKUP($B9,'1605'!$B9:$M23,11,0)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VLOOKUP($B10,'1605'!$B10:$M24,11,0)</f>
        <v>78</v>
      </c>
      <c r="E10" s="10">
        <v>120</v>
      </c>
      <c r="F10" s="11">
        <v>20</v>
      </c>
      <c r="G10" s="11"/>
      <c r="H10" s="11"/>
      <c r="I10" s="11"/>
      <c r="J10" s="11"/>
      <c r="K10" s="9">
        <f t="shared" si="1"/>
        <v>178</v>
      </c>
      <c r="L10" s="9">
        <f>59+120</f>
        <v>179</v>
      </c>
      <c r="M10" s="9">
        <f t="shared" si="0"/>
        <v>1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VLOOKUP($B11,'1605'!$B11:$M25,11,0)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VLOOKUP($B12,'1605'!$B12:$M26,11,0)</f>
        <v>128</v>
      </c>
      <c r="E12" s="14">
        <v>242</v>
      </c>
      <c r="F12" s="11">
        <v>20</v>
      </c>
      <c r="G12" s="11"/>
      <c r="H12" s="11"/>
      <c r="I12" s="11"/>
      <c r="J12" s="11"/>
      <c r="K12" s="9">
        <f t="shared" si="1"/>
        <v>350</v>
      </c>
      <c r="L12" s="9">
        <f>322+28</f>
        <v>350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VLOOKUP($B13,'1605'!$B13:$M27,11,0)</f>
        <v>139</v>
      </c>
      <c r="E13" s="14"/>
      <c r="F13" s="11">
        <v>20</v>
      </c>
      <c r="G13" s="11"/>
      <c r="H13" s="11"/>
      <c r="I13" s="11"/>
      <c r="J13" s="11"/>
      <c r="K13" s="9">
        <f t="shared" si="1"/>
        <v>119</v>
      </c>
      <c r="L13" s="9">
        <v>119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VLOOKUP($B14,'1605'!$B14:$M28,11,0)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VLOOKUP($B15,'1605'!$B15:$M29,11,0)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VLOOKUP($B16,'1605'!$B16:$M30,11,0)</f>
        <v>5</v>
      </c>
      <c r="E16" s="14"/>
      <c r="F16" s="11"/>
      <c r="G16" s="11"/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VLOOKUP($B17,'1605'!$B17:$M31,11,0)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VLOOKUP($B18,'1605'!$B18:$M32,11,0)</f>
        <v>0</v>
      </c>
      <c r="E18" s="14">
        <v>2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VLOOKUP($B19,'1605'!$B19:$M33,11,0)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VLOOKUP($B20,'1605'!$B20:$M34,11,0)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VLOOKUP($B21,'1605'!$B21:$M35,11,0)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VLOOKUP($B22,'1605'!$B22:$M36,11,0)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VLOOKUP($B24,'1605'!$B24:$M38,11,0)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VLOOKUP($B26,'1605'!$B26:$M40,11,0)</f>
        <v>186</v>
      </c>
      <c r="E26" s="10">
        <v>130</v>
      </c>
      <c r="F26" s="9">
        <v>110</v>
      </c>
      <c r="G26" s="11"/>
      <c r="H26" s="9"/>
      <c r="I26" s="9"/>
      <c r="J26" s="9"/>
      <c r="K26" s="9">
        <f t="shared" ref="K26" si="4">D26+E26-F26</f>
        <v>206</v>
      </c>
      <c r="L26" s="9">
        <v>206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VLOOKUP($B27,'1605'!$B27:$M41,11,0)</f>
        <v>123</v>
      </c>
      <c r="E27" s="9"/>
      <c r="F27" s="9">
        <v>14</v>
      </c>
      <c r="G27" s="11"/>
      <c r="H27" s="9"/>
      <c r="I27" s="9"/>
      <c r="J27" s="9"/>
      <c r="K27" s="9">
        <f>D27+E27-F27</f>
        <v>109</v>
      </c>
      <c r="L27" s="9">
        <v>109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VLOOKUP($B28,'1605'!$B28:$M42,11,0)</f>
        <v>353</v>
      </c>
      <c r="E28" s="9">
        <v>220</v>
      </c>
      <c r="F28" s="9">
        <v>245</v>
      </c>
      <c r="G28" s="11"/>
      <c r="H28" s="9"/>
      <c r="I28" s="9"/>
      <c r="J28" s="9"/>
      <c r="K28" s="9">
        <f>D28+E28-F28</f>
        <v>328</v>
      </c>
      <c r="L28" s="9">
        <v>328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VLOOKUP($B29,'1605'!$B29:$M43,11,0)</f>
        <v>169</v>
      </c>
      <c r="E29" s="9">
        <v>98</v>
      </c>
      <c r="F29" s="9">
        <v>66</v>
      </c>
      <c r="G29" s="11"/>
      <c r="H29" s="9"/>
      <c r="I29" s="9"/>
      <c r="J29" s="9"/>
      <c r="K29" s="9">
        <f>D29+E29-F29</f>
        <v>201</v>
      </c>
      <c r="L29" s="9">
        <v>201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DATE(2015,5,17)</f>
        <v>42141</v>
      </c>
      <c r="E5" s="293">
        <f>D5+1</f>
        <v>42142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63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50</v>
      </c>
      <c r="H7" s="5" t="s">
        <v>45</v>
      </c>
      <c r="I7" s="5" t="s">
        <v>52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VLOOKUP($B8,'1705'!$B8:$M22,11,0)</f>
        <v>447</v>
      </c>
      <c r="E8" s="10">
        <f>76+110</f>
        <v>186</v>
      </c>
      <c r="F8" s="11">
        <v>40</v>
      </c>
      <c r="G8" s="11">
        <v>30</v>
      </c>
      <c r="H8" s="11">
        <v>80</v>
      </c>
      <c r="I8" s="11">
        <v>200</v>
      </c>
      <c r="J8" s="11"/>
      <c r="K8" s="9">
        <f>D8+E8-SUM(F8:J8)</f>
        <v>283</v>
      </c>
      <c r="L8" s="9">
        <f>97+186</f>
        <v>283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VLOOKUP($B9,'1705'!$B9:$M23,11,0)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VLOOKUP($B10,'1705'!$B10:$M24,11,0)</f>
        <v>179</v>
      </c>
      <c r="E10" s="10">
        <v>117</v>
      </c>
      <c r="F10" s="11">
        <v>20</v>
      </c>
      <c r="G10" s="11">
        <v>50</v>
      </c>
      <c r="H10" s="11">
        <v>20</v>
      </c>
      <c r="I10" s="11"/>
      <c r="J10" s="11"/>
      <c r="K10" s="9">
        <f t="shared" si="1"/>
        <v>206</v>
      </c>
      <c r="L10" s="9">
        <f>90+117</f>
        <v>207</v>
      </c>
      <c r="M10" s="9">
        <f t="shared" si="0"/>
        <v>1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VLOOKUP($B11,'1705'!$B11:$M25,11,0)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VLOOKUP($B12,'1705'!$B12:$M26,11,0)</f>
        <v>350</v>
      </c>
      <c r="E12" s="14">
        <v>118</v>
      </c>
      <c r="F12" s="11">
        <v>20</v>
      </c>
      <c r="G12" s="11">
        <v>30</v>
      </c>
      <c r="H12" s="11">
        <v>70</v>
      </c>
      <c r="I12" s="11">
        <v>200</v>
      </c>
      <c r="J12" s="11"/>
      <c r="K12" s="9">
        <f t="shared" si="1"/>
        <v>148</v>
      </c>
      <c r="L12" s="9">
        <f>23+125</f>
        <v>148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VLOOKUP($B13,'1705'!$B13:$M27,11,0)</f>
        <v>119</v>
      </c>
      <c r="E13" s="14">
        <v>76</v>
      </c>
      <c r="F13" s="11">
        <v>20</v>
      </c>
      <c r="G13" s="11">
        <v>50</v>
      </c>
      <c r="H13" s="11"/>
      <c r="I13" s="11" t="s">
        <v>57</v>
      </c>
      <c r="J13" s="11"/>
      <c r="K13" s="9">
        <f t="shared" si="1"/>
        <v>125</v>
      </c>
      <c r="L13" s="9">
        <f>49+76</f>
        <v>125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VLOOKUP($B14,'1705'!$B14:$M28,11,0)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VLOOKUP($B15,'1705'!$B15:$M29,11,0)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VLOOKUP($B16,'1705'!$B16:$M30,11,0)</f>
        <v>5</v>
      </c>
      <c r="E16" s="14">
        <v>2</v>
      </c>
      <c r="F16" s="11"/>
      <c r="G16" s="11">
        <v>1</v>
      </c>
      <c r="H16" s="11">
        <v>2</v>
      </c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VLOOKUP($B17,'1705'!$B17:$M31,11,0)</f>
        <v>1</v>
      </c>
      <c r="E17" s="14"/>
      <c r="F17" s="11"/>
      <c r="G17" s="11"/>
      <c r="H17" s="11">
        <v>1</v>
      </c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VLOOKUP($B18,'1705'!$B18:$M32,11,0)</f>
        <v>2</v>
      </c>
      <c r="E18" s="14"/>
      <c r="F18" s="11"/>
      <c r="G18" s="11">
        <v>1</v>
      </c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VLOOKUP($B19,'1705'!$B19:$M33,11,0)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VLOOKUP($B20,'1705'!$B20:$M34,11,0)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VLOOKUP($B21,'1705'!$B21:$M35,11,0)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VLOOKUP($B22,'1705'!$B22:$M36,11,0)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VLOOKUP($B24,'1705'!$B24:$M38,11,0)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VLOOKUP($B26,'1705'!$B26:$M40,11,0)</f>
        <v>206</v>
      </c>
      <c r="E26" s="10">
        <v>127</v>
      </c>
      <c r="F26" s="9">
        <v>125</v>
      </c>
      <c r="G26" s="11"/>
      <c r="H26" s="9"/>
      <c r="I26" s="9"/>
      <c r="J26" s="9"/>
      <c r="K26" s="9">
        <f t="shared" ref="K26" si="4">D26+E26-F26</f>
        <v>208</v>
      </c>
      <c r="L26" s="9">
        <v>208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VLOOKUP($B27,'1705'!$B27:$M41,11,0)</f>
        <v>109</v>
      </c>
      <c r="E27" s="9">
        <v>57</v>
      </c>
      <c r="F27" s="9">
        <v>51</v>
      </c>
      <c r="G27" s="11"/>
      <c r="H27" s="9"/>
      <c r="I27" s="9"/>
      <c r="J27" s="9"/>
      <c r="K27" s="9">
        <f>D27+E27-F27</f>
        <v>115</v>
      </c>
      <c r="L27" s="9">
        <v>115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VLOOKUP($B28,'1705'!$B28:$M42,11,0)</f>
        <v>328</v>
      </c>
      <c r="E28" s="9">
        <v>147</v>
      </c>
      <c r="F28" s="9">
        <v>108</v>
      </c>
      <c r="G28" s="11"/>
      <c r="H28" s="9"/>
      <c r="I28" s="9"/>
      <c r="J28" s="9"/>
      <c r="K28" s="9">
        <f>D28+E28-F28</f>
        <v>367</v>
      </c>
      <c r="L28" s="9">
        <v>367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VLOOKUP($B29,'1705'!$B29:$M43,11,0)</f>
        <v>201</v>
      </c>
      <c r="E29" s="9"/>
      <c r="F29" s="9">
        <v>66</v>
      </c>
      <c r="G29" s="11"/>
      <c r="H29" s="9"/>
      <c r="I29" s="9"/>
      <c r="J29" s="9"/>
      <c r="K29" s="9">
        <f>D29+E29-F29</f>
        <v>135</v>
      </c>
      <c r="L29" s="9">
        <v>135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DATE(2015,5,18)</f>
        <v>42142</v>
      </c>
      <c r="E5" s="293">
        <f>D5+1</f>
        <v>42143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64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54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VLOOKUP($B8,'1805'!$B8:$M22,11,0)</f>
        <v>283</v>
      </c>
      <c r="E8" s="10">
        <f>94+97+93+46</f>
        <v>330</v>
      </c>
      <c r="F8" s="11">
        <v>40</v>
      </c>
      <c r="G8" s="11">
        <v>60</v>
      </c>
      <c r="H8" s="11"/>
      <c r="I8" s="11"/>
      <c r="J8" s="11"/>
      <c r="K8" s="9">
        <f>D8+E8-SUM(F8:J8)</f>
        <v>513</v>
      </c>
      <c r="L8" s="9">
        <v>513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VLOOKUP($B9,'1805'!$B9:$M23,11,0)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VLOOKUP($B10,'1805'!$B10:$M24,11,0)</f>
        <v>207</v>
      </c>
      <c r="E10" s="10">
        <v>120</v>
      </c>
      <c r="F10" s="11">
        <v>20</v>
      </c>
      <c r="G10" s="11">
        <v>60</v>
      </c>
      <c r="H10" s="11"/>
      <c r="I10" s="11"/>
      <c r="J10" s="11"/>
      <c r="K10" s="9">
        <f t="shared" si="1"/>
        <v>247</v>
      </c>
      <c r="L10" s="9">
        <v>247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VLOOKUP($B11,'1805'!$B11:$M25,11,0)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VLOOKUP($B12,'1805'!$B12:$M26,11,0)</f>
        <v>148</v>
      </c>
      <c r="E12" s="14">
        <v>169</v>
      </c>
      <c r="F12" s="11">
        <v>20</v>
      </c>
      <c r="G12" s="11">
        <v>53</v>
      </c>
      <c r="H12" s="11"/>
      <c r="I12" s="11"/>
      <c r="J12" s="11"/>
      <c r="K12" s="9">
        <f t="shared" si="1"/>
        <v>244</v>
      </c>
      <c r="L12" s="9">
        <v>244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VLOOKUP($B13,'1805'!$B13:$M27,11,0)</f>
        <v>125</v>
      </c>
      <c r="E13" s="14">
        <v>122</v>
      </c>
      <c r="F13" s="11">
        <v>20</v>
      </c>
      <c r="G13" s="11">
        <v>49</v>
      </c>
      <c r="H13" s="11"/>
      <c r="I13" s="11"/>
      <c r="J13" s="11"/>
      <c r="K13" s="9">
        <f t="shared" si="1"/>
        <v>178</v>
      </c>
      <c r="L13" s="9">
        <f>56+122</f>
        <v>178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VLOOKUP($B14,'1805'!$B14:$M28,11,0)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VLOOKUP($B15,'1805'!$B15:$M29,11,0)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VLOOKUP($B16,'1805'!$B16:$M30,11,0)</f>
        <v>4</v>
      </c>
      <c r="E16" s="14">
        <v>2</v>
      </c>
      <c r="F16" s="11">
        <v>1</v>
      </c>
      <c r="G16" s="11"/>
      <c r="H16" s="11"/>
      <c r="I16" s="11"/>
      <c r="J16" s="11"/>
      <c r="K16" s="9">
        <f t="shared" si="1"/>
        <v>5</v>
      </c>
      <c r="L16" s="9">
        <f>3+2</f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VLOOKUP($B17,'1805'!$B17:$M31,11,0)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VLOOKUP($B18,'1805'!$B18:$M32,11,0)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VLOOKUP($B19,'1805'!$B19:$M33,11,0)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VLOOKUP($B20,'1805'!$B20:$M34,11,0)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VLOOKUP($B21,'1805'!$B21:$M35,11,0)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VLOOKUP($B22,'1805'!$B22:$M36,11,0)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VLOOKUP($B24,'1805'!$B24:$M38,11,0)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VLOOKUP($B26,'1805'!$B26:$M40,11,0)</f>
        <v>208</v>
      </c>
      <c r="E26" s="10">
        <v>128</v>
      </c>
      <c r="F26" s="9">
        <v>120</v>
      </c>
      <c r="G26" s="11"/>
      <c r="H26" s="9"/>
      <c r="I26" s="9"/>
      <c r="J26" s="9"/>
      <c r="K26" s="9">
        <f t="shared" ref="K26" si="4">D26+E26-F26</f>
        <v>216</v>
      </c>
      <c r="L26" s="9">
        <v>216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VLOOKUP($B27,'1805'!$B27:$M41,11,0)</f>
        <v>115</v>
      </c>
      <c r="E27" s="9">
        <v>62</v>
      </c>
      <c r="F27" s="9">
        <v>55</v>
      </c>
      <c r="G27" s="11"/>
      <c r="H27" s="9"/>
      <c r="I27" s="9"/>
      <c r="J27" s="9"/>
      <c r="K27" s="9">
        <f>D27+E27-F27</f>
        <v>122</v>
      </c>
      <c r="L27" s="9">
        <v>122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VLOOKUP($B28,'1805'!$B28:$M42,11,0)</f>
        <v>367</v>
      </c>
      <c r="E28" s="9">
        <v>149</v>
      </c>
      <c r="F28" s="9">
        <v>133</v>
      </c>
      <c r="G28" s="11"/>
      <c r="H28" s="9"/>
      <c r="I28" s="9"/>
      <c r="J28" s="9"/>
      <c r="K28" s="9">
        <f>D28+E28-F28</f>
        <v>383</v>
      </c>
      <c r="L28" s="9">
        <v>383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VLOOKUP($B29,'1805'!$B29:$M43,11,0)</f>
        <v>135</v>
      </c>
      <c r="E29" s="9"/>
      <c r="F29" s="9">
        <v>51</v>
      </c>
      <c r="G29" s="11"/>
      <c r="H29" s="9"/>
      <c r="I29" s="9"/>
      <c r="J29" s="9"/>
      <c r="K29" s="9">
        <f>D29+E29-F29</f>
        <v>84</v>
      </c>
      <c r="L29" s="9">
        <v>84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3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0" max="10" width="10.85546875" customWidth="1"/>
    <col min="11" max="11" width="11.5703125" customWidth="1"/>
    <col min="12" max="12" width="11.140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</row>
    <row r="3" spans="1:12" ht="20.25">
      <c r="A3" s="1"/>
      <c r="B3" s="1"/>
      <c r="C3" s="1"/>
      <c r="D3" s="1"/>
      <c r="E3" s="2"/>
      <c r="F3" s="3"/>
      <c r="G3" s="3"/>
      <c r="H3" s="3"/>
      <c r="I3" s="3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.75">
      <c r="A5" s="292" t="s">
        <v>1</v>
      </c>
      <c r="B5" s="292"/>
      <c r="C5" s="292"/>
      <c r="D5" s="4">
        <f>DATE(2015,4,4)</f>
        <v>42098</v>
      </c>
      <c r="E5" s="293">
        <f>D5+1</f>
        <v>42099</v>
      </c>
      <c r="F5" s="294"/>
      <c r="G5" s="294"/>
      <c r="H5" s="294"/>
      <c r="I5" s="294"/>
      <c r="J5" s="294"/>
      <c r="K5" s="294"/>
      <c r="L5" s="294"/>
    </row>
    <row r="6" spans="1:12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302" t="s">
        <v>8</v>
      </c>
      <c r="K6" s="289" t="s">
        <v>9</v>
      </c>
      <c r="L6" s="289" t="s">
        <v>10</v>
      </c>
    </row>
    <row r="7" spans="1:12">
      <c r="A7" s="295"/>
      <c r="B7" s="296"/>
      <c r="C7" s="298"/>
      <c r="D7" s="290"/>
      <c r="E7" s="290"/>
      <c r="F7" s="5" t="s">
        <v>11</v>
      </c>
      <c r="I7" s="5"/>
      <c r="J7" s="302"/>
      <c r="K7" s="290"/>
      <c r="L7" s="290"/>
    </row>
    <row r="8" spans="1:12" ht="18.75">
      <c r="A8" s="6">
        <v>1</v>
      </c>
      <c r="B8" s="7" t="s">
        <v>12</v>
      </c>
      <c r="C8" s="8" t="s">
        <v>13</v>
      </c>
      <c r="D8" s="9">
        <f>VLOOKUP($B8,'0404'!$B8:$K22,10,0)</f>
        <v>100</v>
      </c>
      <c r="E8" s="10">
        <v>118</v>
      </c>
      <c r="F8" s="11">
        <v>30</v>
      </c>
      <c r="G8" s="11"/>
      <c r="H8" s="11"/>
      <c r="I8" s="11"/>
      <c r="J8" s="9">
        <f t="shared" ref="J8:J19" si="0">D8+E8-SUM(F8:I8)</f>
        <v>188</v>
      </c>
      <c r="K8" s="9">
        <v>188</v>
      </c>
      <c r="L8" s="9">
        <f t="shared" ref="L8:L19" si="1">K8-J8</f>
        <v>0</v>
      </c>
    </row>
    <row r="9" spans="1:12" ht="18.75">
      <c r="A9" s="6">
        <v>2</v>
      </c>
      <c r="B9" s="12" t="s">
        <v>14</v>
      </c>
      <c r="C9" s="13" t="s">
        <v>13</v>
      </c>
      <c r="D9" s="9">
        <f>VLOOKUP($B9,'0404'!$B9:$K23,10,0)</f>
        <v>40</v>
      </c>
      <c r="E9" s="14"/>
      <c r="F9" s="11"/>
      <c r="G9" s="11"/>
      <c r="H9" s="11"/>
      <c r="I9" s="11"/>
      <c r="J9" s="9">
        <f t="shared" si="0"/>
        <v>40</v>
      </c>
      <c r="K9" s="9">
        <v>40</v>
      </c>
      <c r="L9" s="9">
        <f t="shared" si="1"/>
        <v>0</v>
      </c>
    </row>
    <row r="10" spans="1:12" ht="18.75">
      <c r="A10" s="6">
        <v>3</v>
      </c>
      <c r="B10" s="12" t="s">
        <v>15</v>
      </c>
      <c r="C10" s="8" t="s">
        <v>13</v>
      </c>
      <c r="D10" s="9">
        <f>VLOOKUP($B10,'0404'!$B10:$K24,10,0)</f>
        <v>37</v>
      </c>
      <c r="E10" s="10">
        <v>66</v>
      </c>
      <c r="F10" s="11">
        <v>13</v>
      </c>
      <c r="G10" s="11"/>
      <c r="H10" s="11"/>
      <c r="I10" s="11"/>
      <c r="J10" s="9">
        <f t="shared" si="0"/>
        <v>90</v>
      </c>
      <c r="K10" s="9">
        <v>90</v>
      </c>
      <c r="L10" s="9">
        <f t="shared" si="1"/>
        <v>0</v>
      </c>
    </row>
    <row r="11" spans="1:12" ht="18.75">
      <c r="A11" s="6">
        <v>4</v>
      </c>
      <c r="B11" s="15" t="s">
        <v>16</v>
      </c>
      <c r="C11" s="6" t="s">
        <v>17</v>
      </c>
      <c r="D11" s="9">
        <f>VLOOKUP($B11,'0404'!$B11:$K25,10,0)</f>
        <v>343</v>
      </c>
      <c r="E11" s="10"/>
      <c r="F11" s="11"/>
      <c r="G11" s="11"/>
      <c r="H11" s="11"/>
      <c r="I11" s="11"/>
      <c r="J11" s="9">
        <f t="shared" si="0"/>
        <v>343</v>
      </c>
      <c r="K11" s="9">
        <v>347</v>
      </c>
      <c r="L11" s="9">
        <f t="shared" si="1"/>
        <v>4</v>
      </c>
    </row>
    <row r="12" spans="1:12" ht="18.75">
      <c r="A12" s="6">
        <v>5</v>
      </c>
      <c r="B12" s="15" t="s">
        <v>18</v>
      </c>
      <c r="C12" s="6" t="s">
        <v>17</v>
      </c>
      <c r="D12" s="9">
        <f>VLOOKUP($B12,'0404'!$B12:$K26,10,0)</f>
        <v>171</v>
      </c>
      <c r="E12" s="14"/>
      <c r="F12" s="11">
        <v>20</v>
      </c>
      <c r="G12" s="11"/>
      <c r="H12" s="11"/>
      <c r="I12" s="11"/>
      <c r="J12" s="9">
        <f t="shared" si="0"/>
        <v>151</v>
      </c>
      <c r="K12" s="9">
        <v>151</v>
      </c>
      <c r="L12" s="9">
        <f t="shared" si="1"/>
        <v>0</v>
      </c>
    </row>
    <row r="13" spans="1:12" ht="18.75">
      <c r="A13" s="6">
        <v>6</v>
      </c>
      <c r="B13" s="16" t="s">
        <v>19</v>
      </c>
      <c r="C13" s="17" t="s">
        <v>17</v>
      </c>
      <c r="D13" s="9">
        <f>VLOOKUP($B13,'0404'!$B13:$K27,10,0)</f>
        <v>56</v>
      </c>
      <c r="E13" s="14">
        <v>88</v>
      </c>
      <c r="F13" s="11">
        <v>10</v>
      </c>
      <c r="G13" s="11"/>
      <c r="H13" s="11"/>
      <c r="I13" s="11"/>
      <c r="J13" s="9">
        <f t="shared" si="0"/>
        <v>134</v>
      </c>
      <c r="K13" s="9">
        <v>134</v>
      </c>
      <c r="L13" s="9">
        <f t="shared" si="1"/>
        <v>0</v>
      </c>
    </row>
    <row r="14" spans="1:12" ht="18.75">
      <c r="A14" s="6">
        <v>7</v>
      </c>
      <c r="B14" s="12" t="s">
        <v>20</v>
      </c>
      <c r="C14" s="6" t="s">
        <v>21</v>
      </c>
      <c r="D14" s="9">
        <f>VLOOKUP($B14,'0404'!$B14:$K28,10,0)</f>
        <v>0</v>
      </c>
      <c r="E14" s="14"/>
      <c r="F14" s="11"/>
      <c r="G14" s="11"/>
      <c r="H14" s="11"/>
      <c r="I14" s="11"/>
      <c r="J14" s="9">
        <f t="shared" si="0"/>
        <v>0</v>
      </c>
      <c r="K14" s="9"/>
      <c r="L14" s="9">
        <f t="shared" si="1"/>
        <v>0</v>
      </c>
    </row>
    <row r="15" spans="1:12" ht="18.75">
      <c r="A15" s="6">
        <v>8</v>
      </c>
      <c r="B15" s="12" t="s">
        <v>22</v>
      </c>
      <c r="C15" s="18" t="s">
        <v>21</v>
      </c>
      <c r="D15" s="9">
        <f>VLOOKUP($B15,'0404'!$B15:$K29,10,0)</f>
        <v>2</v>
      </c>
      <c r="E15" s="14"/>
      <c r="F15" s="11"/>
      <c r="G15" s="11"/>
      <c r="H15" s="11"/>
      <c r="I15" s="11"/>
      <c r="J15" s="9">
        <f t="shared" si="0"/>
        <v>2</v>
      </c>
      <c r="K15" s="9">
        <v>2</v>
      </c>
      <c r="L15" s="9">
        <f t="shared" si="1"/>
        <v>0</v>
      </c>
    </row>
    <row r="16" spans="1:12" ht="18.75">
      <c r="A16" s="6">
        <v>9</v>
      </c>
      <c r="B16" s="15" t="s">
        <v>23</v>
      </c>
      <c r="C16" s="8" t="s">
        <v>24</v>
      </c>
      <c r="D16" s="9">
        <f>VLOOKUP($B16,'0404'!$B16:$K30,10,0)</f>
        <v>1</v>
      </c>
      <c r="E16" s="14">
        <v>2</v>
      </c>
      <c r="F16" s="11"/>
      <c r="G16" s="11"/>
      <c r="H16" s="11"/>
      <c r="I16" s="11"/>
      <c r="J16" s="9">
        <f t="shared" si="0"/>
        <v>3</v>
      </c>
      <c r="K16" s="9">
        <v>3</v>
      </c>
      <c r="L16" s="9">
        <f t="shared" si="1"/>
        <v>0</v>
      </c>
    </row>
    <row r="17" spans="1:12" ht="18.75">
      <c r="A17" s="6">
        <v>10</v>
      </c>
      <c r="B17" s="19" t="s">
        <v>25</v>
      </c>
      <c r="C17" s="6" t="s">
        <v>21</v>
      </c>
      <c r="D17" s="9">
        <f>VLOOKUP($B17,'0404'!$B17:$K31,10,0)</f>
        <v>1</v>
      </c>
      <c r="E17" s="14"/>
      <c r="F17" s="11"/>
      <c r="G17" s="11"/>
      <c r="H17" s="11"/>
      <c r="I17" s="11"/>
      <c r="J17" s="9">
        <f t="shared" si="0"/>
        <v>1</v>
      </c>
      <c r="K17" s="9">
        <v>1</v>
      </c>
      <c r="L17" s="9">
        <f t="shared" si="1"/>
        <v>0</v>
      </c>
    </row>
    <row r="18" spans="1:12" ht="18.75">
      <c r="A18" s="6">
        <v>11</v>
      </c>
      <c r="B18" s="12" t="s">
        <v>26</v>
      </c>
      <c r="C18" s="6" t="s">
        <v>27</v>
      </c>
      <c r="D18" s="9">
        <f>VLOOKUP($B18,'0404'!$B18:$K32,10,0)</f>
        <v>0</v>
      </c>
      <c r="E18" s="14">
        <v>1</v>
      </c>
      <c r="F18" s="11"/>
      <c r="G18" s="11"/>
      <c r="H18" s="11"/>
      <c r="I18" s="11"/>
      <c r="J18" s="9">
        <f t="shared" si="0"/>
        <v>1</v>
      </c>
      <c r="K18" s="9">
        <v>1</v>
      </c>
      <c r="L18" s="9">
        <f t="shared" si="1"/>
        <v>0</v>
      </c>
    </row>
    <row r="19" spans="1:12" ht="18.75">
      <c r="A19" s="6">
        <v>12</v>
      </c>
      <c r="B19" s="12" t="s">
        <v>28</v>
      </c>
      <c r="C19" s="6" t="s">
        <v>27</v>
      </c>
      <c r="D19" s="9">
        <f>VLOOKUP($B19,'0404'!$B19:$K33,10,0)</f>
        <v>0</v>
      </c>
      <c r="E19" s="14">
        <v>1</v>
      </c>
      <c r="F19" s="11"/>
      <c r="G19" s="11"/>
      <c r="H19" s="11"/>
      <c r="I19" s="11"/>
      <c r="J19" s="9">
        <f t="shared" si="0"/>
        <v>1</v>
      </c>
      <c r="K19" s="9">
        <v>1</v>
      </c>
      <c r="L19" s="9">
        <f t="shared" si="1"/>
        <v>0</v>
      </c>
    </row>
    <row r="20" spans="1:12" ht="18.75">
      <c r="A20" s="6">
        <v>13</v>
      </c>
      <c r="B20" s="12" t="s">
        <v>29</v>
      </c>
      <c r="C20" s="6" t="s">
        <v>17</v>
      </c>
      <c r="D20" s="9">
        <f>VLOOKUP($B20,'0404'!$B20:$K34,10,0)</f>
        <v>0</v>
      </c>
      <c r="E20" s="14"/>
      <c r="F20" s="11"/>
      <c r="G20" s="11"/>
      <c r="H20" s="11"/>
      <c r="I20" s="11"/>
      <c r="J20" s="9"/>
      <c r="K20" s="9"/>
      <c r="L20" s="9"/>
    </row>
    <row r="21" spans="1:12" ht="18.75">
      <c r="A21" s="6">
        <v>14</v>
      </c>
      <c r="B21" s="20" t="s">
        <v>30</v>
      </c>
      <c r="C21" s="6" t="s">
        <v>17</v>
      </c>
      <c r="D21" s="9">
        <f>VLOOKUP($B21,'0404'!$B21:$K35,10,0)</f>
        <v>0</v>
      </c>
      <c r="E21" s="14"/>
      <c r="F21" s="11"/>
      <c r="G21" s="11"/>
      <c r="H21" s="11"/>
      <c r="I21" s="11"/>
      <c r="J21" s="9">
        <f>D21+E21-SUM(F21:I21)</f>
        <v>0</v>
      </c>
      <c r="K21" s="9"/>
      <c r="L21" s="9">
        <f t="shared" ref="L21" si="2">K21-J21</f>
        <v>0</v>
      </c>
    </row>
    <row r="22" spans="1:12" ht="18.75">
      <c r="A22" s="6">
        <v>15</v>
      </c>
      <c r="B22" s="20" t="s">
        <v>31</v>
      </c>
      <c r="C22" s="6" t="s">
        <v>17</v>
      </c>
      <c r="D22" s="9">
        <f>VLOOKUP($B22,'0404'!$B22:$K36,10,0)</f>
        <v>0</v>
      </c>
      <c r="E22" s="14"/>
      <c r="F22" s="11"/>
      <c r="G22" s="11"/>
      <c r="H22" s="11"/>
      <c r="I22" s="11"/>
      <c r="J22" s="9">
        <f>D22+E22-SUM(F22:I22)</f>
        <v>0</v>
      </c>
      <c r="K22" s="9"/>
      <c r="L22" s="9">
        <f>K22-J22</f>
        <v>0</v>
      </c>
    </row>
    <row r="23" spans="1:12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>
        <f>K23-J23</f>
        <v>0</v>
      </c>
    </row>
    <row r="24" spans="1:12" ht="18.75">
      <c r="A24" s="6"/>
      <c r="B24" s="20" t="s">
        <v>32</v>
      </c>
      <c r="C24" s="6"/>
      <c r="D24" s="9">
        <f t="shared" ref="D24" si="3">SUM(D8:D22)</f>
        <v>751</v>
      </c>
      <c r="E24" s="9">
        <f t="shared" ref="E24:K24" si="4">SUM(E8:E22)</f>
        <v>276</v>
      </c>
      <c r="F24" s="9">
        <f t="shared" si="4"/>
        <v>73</v>
      </c>
      <c r="G24" s="9">
        <f t="shared" si="4"/>
        <v>0</v>
      </c>
      <c r="H24" s="9">
        <f t="shared" si="4"/>
        <v>0</v>
      </c>
      <c r="I24" s="9">
        <f t="shared" si="4"/>
        <v>0</v>
      </c>
      <c r="J24" s="9">
        <f t="shared" si="4"/>
        <v>954</v>
      </c>
      <c r="K24" s="9">
        <f t="shared" si="4"/>
        <v>958</v>
      </c>
      <c r="L24" s="9">
        <f>K24-J24</f>
        <v>4</v>
      </c>
    </row>
    <row r="25" spans="1:12" ht="18.75">
      <c r="A25" s="22"/>
      <c r="B25" s="23"/>
      <c r="C25" s="22"/>
      <c r="D25" s="24"/>
      <c r="E25" s="24"/>
      <c r="F25" s="25" t="s">
        <v>33</v>
      </c>
      <c r="G25" s="24"/>
      <c r="H25" s="24"/>
      <c r="I25" s="24"/>
      <c r="J25" s="24"/>
      <c r="K25" s="24"/>
      <c r="L25" s="24"/>
    </row>
    <row r="26" spans="1:12" ht="18.75">
      <c r="A26" s="6">
        <v>1</v>
      </c>
      <c r="B26" s="20" t="s">
        <v>34</v>
      </c>
      <c r="C26" s="6" t="s">
        <v>17</v>
      </c>
      <c r="D26" s="9">
        <f>VLOOKUP($B26,'0404'!$B26:$K29,10,0)</f>
        <v>168</v>
      </c>
      <c r="E26" s="10">
        <v>155</v>
      </c>
      <c r="F26" s="9">
        <v>128</v>
      </c>
      <c r="G26" s="11"/>
      <c r="H26" s="9"/>
      <c r="I26" s="9"/>
      <c r="J26" s="9">
        <f t="shared" ref="J26" si="5">D26+E26-F26</f>
        <v>195</v>
      </c>
      <c r="K26" s="9">
        <v>195</v>
      </c>
      <c r="L26" s="9">
        <f t="shared" ref="L26" si="6">K26-J26</f>
        <v>0</v>
      </c>
    </row>
    <row r="27" spans="1:12" ht="18.75">
      <c r="A27" s="6">
        <v>2</v>
      </c>
      <c r="B27" s="20" t="s">
        <v>35</v>
      </c>
      <c r="C27" s="6" t="s">
        <v>17</v>
      </c>
      <c r="D27" s="9">
        <f>VLOOKUP($B27,'0404'!$B27:$K30,10,0)</f>
        <v>126</v>
      </c>
      <c r="E27" s="9">
        <v>35</v>
      </c>
      <c r="F27" s="9">
        <v>69</v>
      </c>
      <c r="G27" s="11"/>
      <c r="H27" s="9"/>
      <c r="I27" s="9"/>
      <c r="J27" s="9">
        <f>D27+E27-F27</f>
        <v>92</v>
      </c>
      <c r="K27" s="9">
        <v>92</v>
      </c>
      <c r="L27" s="9">
        <f>K27-J27</f>
        <v>0</v>
      </c>
    </row>
    <row r="28" spans="1:12" ht="18.75">
      <c r="A28" s="6">
        <v>3</v>
      </c>
      <c r="B28" s="20" t="s">
        <v>36</v>
      </c>
      <c r="C28" s="6" t="s">
        <v>17</v>
      </c>
      <c r="D28" s="9">
        <f>VLOOKUP($B28,'0404'!$B28:$K31,10,0)</f>
        <v>342</v>
      </c>
      <c r="E28" s="9">
        <v>208</v>
      </c>
      <c r="F28" s="9">
        <v>221</v>
      </c>
      <c r="G28" s="11"/>
      <c r="H28" s="9"/>
      <c r="I28" s="9"/>
      <c r="J28" s="9">
        <f>D28+E28-F28</f>
        <v>329</v>
      </c>
      <c r="K28" s="9">
        <v>329</v>
      </c>
      <c r="L28" s="9">
        <f>K28-J28</f>
        <v>0</v>
      </c>
    </row>
    <row r="29" spans="1:12" ht="18.75">
      <c r="A29" s="6">
        <v>4</v>
      </c>
      <c r="B29" s="20" t="s">
        <v>37</v>
      </c>
      <c r="C29" s="6" t="s">
        <v>17</v>
      </c>
      <c r="D29" s="9">
        <f>VLOOKUP($B29,'0404'!$B29:$K32,10,0)</f>
        <v>126</v>
      </c>
      <c r="E29" s="9">
        <v>60</v>
      </c>
      <c r="F29" s="9">
        <v>68</v>
      </c>
      <c r="G29" s="11"/>
      <c r="H29" s="9"/>
      <c r="I29" s="9"/>
      <c r="J29" s="9">
        <f>D29+E29-F29</f>
        <v>118</v>
      </c>
      <c r="K29" s="9">
        <v>118</v>
      </c>
      <c r="L29" s="9">
        <f>K29-J29</f>
        <v>0</v>
      </c>
    </row>
    <row r="30" spans="1:12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</row>
    <row r="31" spans="1:12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</row>
  </sheetData>
  <mergeCells count="12">
    <mergeCell ref="K6:K7"/>
    <mergeCell ref="L6:L7"/>
    <mergeCell ref="B2:L2"/>
    <mergeCell ref="A5:C5"/>
    <mergeCell ref="E5:L5"/>
    <mergeCell ref="A6:A7"/>
    <mergeCell ref="B6:B7"/>
    <mergeCell ref="C6:C7"/>
    <mergeCell ref="D6:D7"/>
    <mergeCell ref="E6:E7"/>
    <mergeCell ref="F6:I6"/>
    <mergeCell ref="J6:J7"/>
  </mergeCells>
  <conditionalFormatting sqref="D23">
    <cfRule type="cellIs" dxfId="4" priority="1" stopIfTrue="1" operator="lessThan">
      <formula>0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DATE(2015,5,19)</f>
        <v>42143</v>
      </c>
      <c r="E5" s="293">
        <f>D5+1</f>
        <v>42144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65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39</v>
      </c>
      <c r="H7" s="5" t="s">
        <v>38</v>
      </c>
      <c r="I7" s="5" t="s">
        <v>40</v>
      </c>
      <c r="J7" s="5" t="s">
        <v>52</v>
      </c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VLOOKUP($B8,'1905'!$B8:$M22,11,0)</f>
        <v>513</v>
      </c>
      <c r="E8" s="10">
        <f>98+55</f>
        <v>153</v>
      </c>
      <c r="F8" s="11">
        <v>80</v>
      </c>
      <c r="G8" s="11">
        <v>41</v>
      </c>
      <c r="H8" s="11">
        <v>20</v>
      </c>
      <c r="I8" s="11">
        <v>60</v>
      </c>
      <c r="J8" s="11"/>
      <c r="K8" s="9">
        <f>D8+E8-SUM(F8:J8)</f>
        <v>465</v>
      </c>
      <c r="L8" s="9">
        <f>100+120+70+22+153</f>
        <v>465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VLOOKUP($B9,'1905'!$B9:$M23,11,0)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VLOOKUP($B10,'1905'!$B10:$M24,11,0)</f>
        <v>247</v>
      </c>
      <c r="E10" s="10">
        <v>120</v>
      </c>
      <c r="F10" s="11"/>
      <c r="G10" s="11">
        <v>60</v>
      </c>
      <c r="H10" s="11">
        <v>30</v>
      </c>
      <c r="I10" s="11">
        <v>37</v>
      </c>
      <c r="J10" s="11"/>
      <c r="K10" s="9">
        <f t="shared" si="1"/>
        <v>240</v>
      </c>
      <c r="L10" s="9">
        <v>240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VLOOKUP($B11,'1905'!$B11:$M25,11,0)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VLOOKUP($B12,'1905'!$B12:$M26,11,0)</f>
        <v>244</v>
      </c>
      <c r="E12" s="14">
        <v>165</v>
      </c>
      <c r="F12" s="11"/>
      <c r="G12" s="11">
        <v>40</v>
      </c>
      <c r="H12" s="11">
        <v>30</v>
      </c>
      <c r="I12" s="11">
        <v>72</v>
      </c>
      <c r="J12" s="11"/>
      <c r="K12" s="9">
        <f t="shared" si="1"/>
        <v>267</v>
      </c>
      <c r="L12" s="9">
        <v>267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VLOOKUP($B13,'1905'!$B13:$M27,11,0)</f>
        <v>178</v>
      </c>
      <c r="E13" s="14">
        <v>93</v>
      </c>
      <c r="F13" s="11">
        <v>40</v>
      </c>
      <c r="G13" s="11">
        <v>40</v>
      </c>
      <c r="H13" s="11"/>
      <c r="I13" s="11">
        <v>60</v>
      </c>
      <c r="J13" s="11"/>
      <c r="K13" s="9">
        <f t="shared" si="1"/>
        <v>131</v>
      </c>
      <c r="L13" s="9">
        <f>38+93</f>
        <v>131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VLOOKUP($B14,'1905'!$B14:$M28,11,0)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VLOOKUP($B15,'1905'!$B15:$M29,11,0)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VLOOKUP($B16,'1905'!$B16:$M30,11,0)</f>
        <v>5</v>
      </c>
      <c r="E16" s="14"/>
      <c r="F16" s="11"/>
      <c r="G16" s="11">
        <v>1</v>
      </c>
      <c r="H16" s="11"/>
      <c r="I16" s="11">
        <v>1</v>
      </c>
      <c r="J16" s="11">
        <v>2</v>
      </c>
      <c r="K16" s="9">
        <f t="shared" si="1"/>
        <v>1</v>
      </c>
      <c r="L16" s="9">
        <v>1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VLOOKUP($B17,'1905'!$B17:$M31,11,0)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VLOOKUP($B18,'1905'!$B18:$M32,11,0)</f>
        <v>1</v>
      </c>
      <c r="E18" s="14"/>
      <c r="F18" s="11"/>
      <c r="G18" s="11">
        <v>1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VLOOKUP($B19,'1905'!$B19:$M33,11,0)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VLOOKUP($B20,'1905'!$B20:$M34,11,0)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VLOOKUP($B21,'1905'!$B21:$M35,11,0)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VLOOKUP($B22,'1905'!$B22:$M36,11,0)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VLOOKUP($B24,'1905'!$B24:$M38,11,0)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VLOOKUP($B26,'1905'!$B26:$M40,11,0)</f>
        <v>216</v>
      </c>
      <c r="E26" s="10">
        <v>67</v>
      </c>
      <c r="F26" s="9">
        <v>105</v>
      </c>
      <c r="G26" s="11"/>
      <c r="H26" s="9"/>
      <c r="I26" s="9"/>
      <c r="J26" s="9"/>
      <c r="K26" s="9">
        <f t="shared" ref="K26" si="4">D26+E26-F26</f>
        <v>178</v>
      </c>
      <c r="L26" s="9">
        <v>178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VLOOKUP($B27,'1905'!$B27:$M41,11,0)</f>
        <v>122</v>
      </c>
      <c r="E27" s="9">
        <v>30</v>
      </c>
      <c r="F27" s="9">
        <v>33</v>
      </c>
      <c r="G27" s="11"/>
      <c r="H27" s="9"/>
      <c r="I27" s="9"/>
      <c r="J27" s="9"/>
      <c r="K27" s="9">
        <f>D27+E27-F27</f>
        <v>119</v>
      </c>
      <c r="L27" s="9">
        <v>119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VLOOKUP($B28,'1905'!$B28:$M42,11,0)</f>
        <v>383</v>
      </c>
      <c r="E28" s="9"/>
      <c r="F28" s="9">
        <v>102</v>
      </c>
      <c r="G28" s="11"/>
      <c r="H28" s="9"/>
      <c r="I28" s="9"/>
      <c r="J28" s="9"/>
      <c r="K28" s="9">
        <f>D28+E28-F28</f>
        <v>281</v>
      </c>
      <c r="L28" s="9">
        <v>281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VLOOKUP($B29,'1905'!$B29:$M43,11,0)</f>
        <v>84</v>
      </c>
      <c r="E29" s="9">
        <v>46</v>
      </c>
      <c r="F29" s="9">
        <v>15</v>
      </c>
      <c r="G29" s="11"/>
      <c r="H29" s="9"/>
      <c r="I29" s="9"/>
      <c r="J29" s="9"/>
      <c r="K29" s="9">
        <f>D29+E29-F29</f>
        <v>115</v>
      </c>
      <c r="L29" s="9">
        <v>115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2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DATE(2015,5,20)</f>
        <v>42144</v>
      </c>
      <c r="E5" s="293">
        <f>D5+1</f>
        <v>42145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66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59</v>
      </c>
      <c r="H7" s="5" t="s">
        <v>52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VLOOKUP($B8,'2005'!$B8:$M22,11,0)</f>
        <v>465</v>
      </c>
      <c r="E8" s="10">
        <f>91+63+40</f>
        <v>194</v>
      </c>
      <c r="F8" s="11">
        <v>40</v>
      </c>
      <c r="G8" s="11">
        <v>150</v>
      </c>
      <c r="H8" s="11">
        <v>300</v>
      </c>
      <c r="I8" s="11"/>
      <c r="J8" s="11"/>
      <c r="K8" s="9">
        <f>D8+E8-SUM(F8:J8)</f>
        <v>169</v>
      </c>
      <c r="L8" s="9">
        <f>15+154</f>
        <v>169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VLOOKUP($B9,'2005'!$B9:$M23,11,0)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VLOOKUP($B10,'2005'!$B10:$M24,11,0)</f>
        <v>240</v>
      </c>
      <c r="E10" s="10">
        <v>80</v>
      </c>
      <c r="F10" s="11">
        <v>20</v>
      </c>
      <c r="G10" s="11"/>
      <c r="H10" s="11">
        <v>150</v>
      </c>
      <c r="I10" s="11"/>
      <c r="J10" s="11"/>
      <c r="K10" s="9">
        <f t="shared" si="1"/>
        <v>150</v>
      </c>
      <c r="L10" s="9">
        <v>150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VLOOKUP($B11,'2005'!$B11:$M25,11,0)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VLOOKUP($B12,'2005'!$B12:$M26,11,0)</f>
        <v>267</v>
      </c>
      <c r="E12" s="14">
        <v>139</v>
      </c>
      <c r="F12" s="11"/>
      <c r="G12" s="11"/>
      <c r="H12" s="11">
        <v>175</v>
      </c>
      <c r="I12" s="11"/>
      <c r="J12" s="11"/>
      <c r="K12" s="9">
        <f t="shared" si="1"/>
        <v>231</v>
      </c>
      <c r="L12" s="9">
        <v>231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VLOOKUP($B13,'2005'!$B13:$M27,11,0)</f>
        <v>131</v>
      </c>
      <c r="E13" s="14">
        <v>118</v>
      </c>
      <c r="F13" s="11">
        <v>33</v>
      </c>
      <c r="G13" s="11"/>
      <c r="H13" s="11">
        <v>151</v>
      </c>
      <c r="I13" s="11"/>
      <c r="J13" s="11"/>
      <c r="K13" s="9">
        <f t="shared" si="1"/>
        <v>65</v>
      </c>
      <c r="L13" s="9">
        <v>65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VLOOKUP($B14,'2005'!$B14:$M28,11,0)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VLOOKUP($B15,'2005'!$B15:$M29,11,0)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VLOOKUP($B16,'2005'!$B16:$M30,11,0)</f>
        <v>1</v>
      </c>
      <c r="E16" s="14">
        <v>2</v>
      </c>
      <c r="F16" s="11"/>
      <c r="G16" s="11">
        <v>1</v>
      </c>
      <c r="H16" s="11">
        <v>2</v>
      </c>
      <c r="I16" s="11"/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VLOOKUP($B17,'2005'!$B17:$M31,11,0)</f>
        <v>2</v>
      </c>
      <c r="E17" s="14">
        <v>1</v>
      </c>
      <c r="F17" s="11"/>
      <c r="G17" s="11">
        <v>2</v>
      </c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VLOOKUP($B18,'2005'!$B18:$M32,11,0)</f>
        <v>0</v>
      </c>
      <c r="E18" s="14">
        <v>1</v>
      </c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VLOOKUP($B19,'2005'!$B19:$M33,11,0)</f>
        <v>1</v>
      </c>
      <c r="E19" s="14">
        <v>2</v>
      </c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VLOOKUP($B20,'2005'!$B20:$M34,11,0)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VLOOKUP($B21,'2005'!$B21:$M35,11,0)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VLOOKUP($B22,'2005'!$B22:$M36,11,0)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VLOOKUP($B24,'2005'!$B24:$M38,11,0)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VLOOKUP($B26,'2005'!$B26:$M40,11,0)</f>
        <v>178</v>
      </c>
      <c r="E26" s="10">
        <v>131</v>
      </c>
      <c r="F26" s="9">
        <v>105</v>
      </c>
      <c r="G26" s="11"/>
      <c r="H26" s="9"/>
      <c r="I26" s="9"/>
      <c r="J26" s="9"/>
      <c r="K26" s="9">
        <f t="shared" ref="K26" si="4">D26+E26-F26</f>
        <v>204</v>
      </c>
      <c r="L26" s="9">
        <v>204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VLOOKUP($B27,'2005'!$B27:$M41,11,0)</f>
        <v>119</v>
      </c>
      <c r="E27" s="9">
        <v>33</v>
      </c>
      <c r="F27" s="9">
        <v>34</v>
      </c>
      <c r="G27" s="11"/>
      <c r="H27" s="9"/>
      <c r="I27" s="9"/>
      <c r="J27" s="9"/>
      <c r="K27" s="9">
        <f>D27+E27-F27</f>
        <v>118</v>
      </c>
      <c r="L27" s="9">
        <v>118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VLOOKUP($B28,'2005'!$B28:$M42,11,0)</f>
        <v>281</v>
      </c>
      <c r="E28" s="9">
        <v>230</v>
      </c>
      <c r="F28" s="9">
        <v>141</v>
      </c>
      <c r="G28" s="11"/>
      <c r="H28" s="9"/>
      <c r="I28" s="9"/>
      <c r="J28" s="9"/>
      <c r="K28" s="9">
        <f>D28+E28-F28</f>
        <v>370</v>
      </c>
      <c r="L28" s="9">
        <v>370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VLOOKUP($B29,'2005'!$B29:$M43,11,0)</f>
        <v>115</v>
      </c>
      <c r="E29" s="9">
        <v>48</v>
      </c>
      <c r="F29" s="9">
        <v>40</v>
      </c>
      <c r="G29" s="11"/>
      <c r="H29" s="9"/>
      <c r="I29" s="9"/>
      <c r="J29" s="9"/>
      <c r="K29" s="9">
        <f>D29+E29-F29</f>
        <v>123</v>
      </c>
      <c r="L29" s="9">
        <v>123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8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DATE(2015,5,21)</f>
        <v>42145</v>
      </c>
      <c r="E5" s="293">
        <f>D5+1</f>
        <v>42146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67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49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VLOOKUP($B8,'2105'!$B8:$M22,11,0)</f>
        <v>169</v>
      </c>
      <c r="E8" s="10"/>
      <c r="F8" s="11">
        <v>40</v>
      </c>
      <c r="G8" s="11">
        <v>48</v>
      </c>
      <c r="H8" s="11"/>
      <c r="I8" s="11"/>
      <c r="J8" s="11"/>
      <c r="K8" s="9">
        <f>D8+E8-SUM(F8:J8)</f>
        <v>81</v>
      </c>
      <c r="L8" s="9">
        <v>81</v>
      </c>
      <c r="M8" s="9">
        <f t="shared" ref="M8:M20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VLOOKUP($B9,'2105'!$B9:$M23,11,0)</f>
        <v>0</v>
      </c>
      <c r="E9" s="14">
        <f>72+80</f>
        <v>152</v>
      </c>
      <c r="F9" s="11"/>
      <c r="G9" s="11"/>
      <c r="H9" s="11"/>
      <c r="I9" s="11"/>
      <c r="J9" s="11"/>
      <c r="K9" s="9">
        <f t="shared" ref="K9:K20" si="1">D9+E9-SUM(F9:J9)</f>
        <v>152</v>
      </c>
      <c r="L9" s="9">
        <v>152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VLOOKUP($B10,'2105'!$B10:$M24,11,0)</f>
        <v>150</v>
      </c>
      <c r="E10" s="10"/>
      <c r="F10" s="11"/>
      <c r="G10" s="11">
        <v>80</v>
      </c>
      <c r="H10" s="11"/>
      <c r="I10" s="11"/>
      <c r="J10" s="11"/>
      <c r="K10" s="9">
        <f t="shared" si="1"/>
        <v>70</v>
      </c>
      <c r="L10" s="9">
        <v>70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VLOOKUP($B11,'2105'!$B11:$M25,11,0)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VLOOKUP($B12,'2105'!$B12:$M26,11,0)</f>
        <v>231</v>
      </c>
      <c r="E12" s="14">
        <v>36</v>
      </c>
      <c r="F12" s="11"/>
      <c r="G12" s="11">
        <v>120</v>
      </c>
      <c r="H12" s="11"/>
      <c r="I12" s="11"/>
      <c r="J12" s="11"/>
      <c r="K12" s="9">
        <f t="shared" si="1"/>
        <v>147</v>
      </c>
      <c r="L12" s="9">
        <v>147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VLOOKUP($B13,'2105'!$B13:$M27,11,0)</f>
        <v>65</v>
      </c>
      <c r="E13" s="14">
        <v>121</v>
      </c>
      <c r="F13" s="11"/>
      <c r="G13" s="11">
        <v>80</v>
      </c>
      <c r="H13" s="11"/>
      <c r="I13" s="11"/>
      <c r="J13" s="11"/>
      <c r="K13" s="9">
        <f t="shared" si="1"/>
        <v>106</v>
      </c>
      <c r="L13" s="9">
        <f>28+78</f>
        <v>106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VLOOKUP($B14,'2105'!$B14:$M28,11,0)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VLOOKUP($B15,'2105'!$B15:$M29,11,0)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VLOOKUP($B16,'2105'!$B16:$M30,11,0)</f>
        <v>0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VLOOKUP($B17,'2105'!$B17:$M31,11,0)</f>
        <v>1</v>
      </c>
      <c r="E17" s="14"/>
      <c r="F17" s="11"/>
      <c r="G17" s="11">
        <v>1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VLOOKUP($B18,'2105'!$B18:$M32,11,0)</f>
        <v>1</v>
      </c>
      <c r="E18" s="14">
        <v>2</v>
      </c>
      <c r="F18" s="11"/>
      <c r="G18" s="11">
        <v>1</v>
      </c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VLOOKUP($B19,'2105'!$B19:$M33,11,0)</f>
        <v>3</v>
      </c>
      <c r="E19" s="14"/>
      <c r="F19" s="11"/>
      <c r="G19" s="11">
        <v>2</v>
      </c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VLOOKUP($B20,'2105'!$B20:$M34,11,0)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>
        <f t="shared" si="0"/>
        <v>0</v>
      </c>
    </row>
    <row r="21" spans="1:13" ht="18.75">
      <c r="A21" s="6">
        <v>14</v>
      </c>
      <c r="B21" s="20" t="s">
        <v>30</v>
      </c>
      <c r="C21" s="6" t="s">
        <v>17</v>
      </c>
      <c r="D21" s="9">
        <f>VLOOKUP($B21,'2105'!$B21:$M35,11,0)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VLOOKUP($B22,'2105'!$B22:$M36,11,0)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VLOOKUP($B24,'2105'!$B24:$M38,11,0)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VLOOKUP($B26,'2105'!$B26:$M40,11,0)</f>
        <v>204</v>
      </c>
      <c r="E26" s="10">
        <v>134</v>
      </c>
      <c r="F26" s="9">
        <v>151</v>
      </c>
      <c r="G26" s="11"/>
      <c r="H26" s="9"/>
      <c r="I26" s="9"/>
      <c r="J26" s="9"/>
      <c r="K26" s="9">
        <f t="shared" ref="K26" si="4">D26+E26-F26</f>
        <v>187</v>
      </c>
      <c r="L26" s="9">
        <v>187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VLOOKUP($B27,'2105'!$B27:$M41,11,0)</f>
        <v>118</v>
      </c>
      <c r="E27" s="9">
        <v>70</v>
      </c>
      <c r="F27" s="9">
        <v>62</v>
      </c>
      <c r="G27" s="11"/>
      <c r="H27" s="9"/>
      <c r="I27" s="9"/>
      <c r="J27" s="9"/>
      <c r="K27" s="9">
        <f>D27+E27-F27</f>
        <v>126</v>
      </c>
      <c r="L27" s="9">
        <v>126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VLOOKUP($B28,'2105'!$B28:$M42,11,0)</f>
        <v>370</v>
      </c>
      <c r="E28" s="9">
        <v>140</v>
      </c>
      <c r="F28" s="9">
        <v>168</v>
      </c>
      <c r="G28" s="11"/>
      <c r="H28" s="9"/>
      <c r="I28" s="9"/>
      <c r="J28" s="9"/>
      <c r="K28" s="9">
        <f>D28+E28-F28</f>
        <v>342</v>
      </c>
      <c r="L28" s="9">
        <v>342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VLOOKUP($B29,'2105'!$B29:$M43,11,0)</f>
        <v>123</v>
      </c>
      <c r="E29" s="9">
        <v>89</v>
      </c>
      <c r="F29" s="9">
        <v>75</v>
      </c>
      <c r="G29" s="11"/>
      <c r="H29" s="9"/>
      <c r="I29" s="9"/>
      <c r="J29" s="9"/>
      <c r="K29" s="9">
        <f>D29+E29-F29</f>
        <v>137</v>
      </c>
      <c r="L29" s="9">
        <v>137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DATE(2015,5,22)</f>
        <v>42146</v>
      </c>
      <c r="E5" s="293">
        <f>D5+1</f>
        <v>42147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68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43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VLOOKUP($B8,'2205'!$B8:$M22,11,0)</f>
        <v>81</v>
      </c>
      <c r="E8" s="10"/>
      <c r="F8" s="11">
        <v>40</v>
      </c>
      <c r="G8" s="11"/>
      <c r="H8" s="11"/>
      <c r="I8" s="11"/>
      <c r="J8" s="11"/>
      <c r="K8" s="9">
        <f>D8+E8-SUM(F8:J8)</f>
        <v>41</v>
      </c>
      <c r="L8" s="9">
        <v>41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VLOOKUP($B9,'2205'!$B9:$M23,11,0)</f>
        <v>152</v>
      </c>
      <c r="E9" s="14"/>
      <c r="F9" s="11"/>
      <c r="G9" s="11">
        <v>50</v>
      </c>
      <c r="H9" s="11"/>
      <c r="I9" s="11"/>
      <c r="J9" s="11"/>
      <c r="K9" s="9">
        <f t="shared" ref="K9:K19" si="1">D9+E9-SUM(F9:J9)</f>
        <v>102</v>
      </c>
      <c r="L9" s="9">
        <v>102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VLOOKUP($B10,'2205'!$B10:$M24,11,0)</f>
        <v>70</v>
      </c>
      <c r="E10" s="10"/>
      <c r="F10" s="11"/>
      <c r="G10" s="11">
        <v>40</v>
      </c>
      <c r="H10" s="11"/>
      <c r="I10" s="11"/>
      <c r="J10" s="11"/>
      <c r="K10" s="9">
        <f t="shared" si="1"/>
        <v>30</v>
      </c>
      <c r="L10" s="9">
        <v>33</v>
      </c>
      <c r="M10" s="9">
        <f t="shared" si="0"/>
        <v>3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VLOOKUP($B11,'2205'!$B11:$M25,11,0)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VLOOKUP($B12,'2205'!$B12:$M26,11,0)</f>
        <v>147</v>
      </c>
      <c r="E12" s="14"/>
      <c r="F12" s="11">
        <v>40</v>
      </c>
      <c r="G12" s="11">
        <v>50</v>
      </c>
      <c r="H12" s="11"/>
      <c r="I12" s="11"/>
      <c r="J12" s="11"/>
      <c r="K12" s="9">
        <f t="shared" si="1"/>
        <v>57</v>
      </c>
      <c r="L12" s="9">
        <v>57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VLOOKUP($B13,'2205'!$B13:$M27,11,0)</f>
        <v>106</v>
      </c>
      <c r="E13" s="14"/>
      <c r="F13" s="11">
        <v>20</v>
      </c>
      <c r="G13" s="11"/>
      <c r="H13" s="11"/>
      <c r="I13" s="11"/>
      <c r="J13" s="11"/>
      <c r="K13" s="9">
        <f t="shared" si="1"/>
        <v>86</v>
      </c>
      <c r="L13" s="9">
        <v>86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VLOOKUP($B14,'2205'!$B14:$M28,11,0)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VLOOKUP($B15,'2205'!$B15:$M29,11,0)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VLOOKUP($B16,'2205'!$B16:$M30,11,0)</f>
        <v>0</v>
      </c>
      <c r="E16" s="14">
        <v>8</v>
      </c>
      <c r="F16" s="11"/>
      <c r="G16" s="11">
        <v>2</v>
      </c>
      <c r="H16" s="11"/>
      <c r="I16" s="11"/>
      <c r="J16" s="11"/>
      <c r="K16" s="9">
        <f t="shared" si="1"/>
        <v>6</v>
      </c>
      <c r="L16" s="9">
        <v>6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VLOOKUP($B17,'2205'!$B17:$M31,11,0)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VLOOKUP($B18,'2205'!$B18:$M32,11,0)</f>
        <v>2</v>
      </c>
      <c r="E18" s="14"/>
      <c r="F18" s="11"/>
      <c r="G18" s="11">
        <v>2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VLOOKUP($B19,'2205'!$B19:$M33,11,0)</f>
        <v>1</v>
      </c>
      <c r="E19" s="14">
        <v>2</v>
      </c>
      <c r="F19" s="11"/>
      <c r="G19" s="11">
        <v>2</v>
      </c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VLOOKUP($B20,'2205'!$B20:$M34,11,0)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VLOOKUP($B21,'2205'!$B21:$M35,11,0)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VLOOKUP($B22,'2205'!$B22:$M36,11,0)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VLOOKUP($B24,'2205'!$B24:$M38,11,0)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VLOOKUP($B26,'2205'!$B26:$M40,11,0)</f>
        <v>187</v>
      </c>
      <c r="E26" s="10">
        <f>126+144</f>
        <v>270</v>
      </c>
      <c r="F26" s="9">
        <v>110</v>
      </c>
      <c r="G26" s="11"/>
      <c r="H26" s="9"/>
      <c r="I26" s="9"/>
      <c r="J26" s="9"/>
      <c r="K26" s="9">
        <f t="shared" ref="K26" si="4">D26+E26-F26</f>
        <v>347</v>
      </c>
      <c r="L26" s="9">
        <v>347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VLOOKUP($B27,'2205'!$B27:$M41,11,0)</f>
        <v>126</v>
      </c>
      <c r="E27" s="9">
        <v>68</v>
      </c>
      <c r="F27" s="9">
        <v>39</v>
      </c>
      <c r="G27" s="11"/>
      <c r="H27" s="9"/>
      <c r="I27" s="9"/>
      <c r="J27" s="9"/>
      <c r="K27" s="9">
        <f>D27+E27-F27</f>
        <v>155</v>
      </c>
      <c r="L27" s="9">
        <v>155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VLOOKUP($B28,'2205'!$B28:$M42,11,0)</f>
        <v>342</v>
      </c>
      <c r="E28" s="9">
        <v>160</v>
      </c>
      <c r="F28" s="9">
        <v>117</v>
      </c>
      <c r="G28" s="11"/>
      <c r="H28" s="9"/>
      <c r="I28" s="9"/>
      <c r="J28" s="9"/>
      <c r="K28" s="9">
        <f>D28+E28-F28</f>
        <v>385</v>
      </c>
      <c r="L28" s="9">
        <v>385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VLOOKUP($B29,'2205'!$B29:$M43,11,0)</f>
        <v>137</v>
      </c>
      <c r="E29" s="9">
        <v>90</v>
      </c>
      <c r="F29" s="9">
        <v>60</v>
      </c>
      <c r="G29" s="11"/>
      <c r="H29" s="9"/>
      <c r="I29" s="9"/>
      <c r="J29" s="9"/>
      <c r="K29" s="9">
        <f>D29+E29-F29</f>
        <v>167</v>
      </c>
      <c r="L29" s="9">
        <v>167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5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DATE(2015,5,23)</f>
        <v>42147</v>
      </c>
      <c r="E5" s="293">
        <f>D5+1</f>
        <v>42148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69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/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VLOOKUP($B8,'2305'!$B8:$M22,11,0)</f>
        <v>41</v>
      </c>
      <c r="E8" s="10">
        <v>206</v>
      </c>
      <c r="F8" s="11">
        <v>40</v>
      </c>
      <c r="G8" s="11"/>
      <c r="H8" s="11"/>
      <c r="I8" s="11"/>
      <c r="J8" s="11"/>
      <c r="K8" s="9">
        <f>D8+E8-SUM(F8:J8)</f>
        <v>207</v>
      </c>
      <c r="L8" s="9">
        <v>207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VLOOKUP($B9,'2305'!$B9:$M23,11,0)</f>
        <v>102</v>
      </c>
      <c r="E9" s="14">
        <f>43+86+89</f>
        <v>218</v>
      </c>
      <c r="F9" s="11"/>
      <c r="G9" s="11"/>
      <c r="H9" s="11"/>
      <c r="I9" s="11"/>
      <c r="J9" s="11"/>
      <c r="K9" s="9">
        <f t="shared" ref="K9:K19" si="1">D9+E9-SUM(F9:J9)</f>
        <v>320</v>
      </c>
      <c r="L9" s="9">
        <f>102+218</f>
        <v>320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VLOOKUP($B10,'2305'!$B10:$M24,11,0)</f>
        <v>33</v>
      </c>
      <c r="E10" s="10">
        <v>90</v>
      </c>
      <c r="F10" s="11">
        <v>19</v>
      </c>
      <c r="G10" s="11"/>
      <c r="H10" s="11"/>
      <c r="I10" s="11"/>
      <c r="J10" s="11"/>
      <c r="K10" s="9">
        <f t="shared" si="1"/>
        <v>104</v>
      </c>
      <c r="L10" s="9">
        <f>104</f>
        <v>104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VLOOKUP($B11,'2305'!$B11:$M25,11,0)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VLOOKUP($B12,'2305'!$B12:$M26,11,0)</f>
        <v>57</v>
      </c>
      <c r="E12" s="14">
        <v>150</v>
      </c>
      <c r="F12" s="11"/>
      <c r="G12" s="11"/>
      <c r="H12" s="11"/>
      <c r="I12" s="11"/>
      <c r="J12" s="11"/>
      <c r="K12" s="9">
        <f t="shared" si="1"/>
        <v>207</v>
      </c>
      <c r="L12" s="9">
        <v>207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VLOOKUP($B13,'2305'!$B13:$M27,11,0)</f>
        <v>86</v>
      </c>
      <c r="E13" s="14">
        <v>144</v>
      </c>
      <c r="F13" s="11"/>
      <c r="G13" s="11"/>
      <c r="H13" s="11"/>
      <c r="I13" s="11"/>
      <c r="J13" s="11"/>
      <c r="K13" s="9">
        <f t="shared" si="1"/>
        <v>230</v>
      </c>
      <c r="L13" s="9">
        <f>164+66</f>
        <v>230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VLOOKUP($B14,'2305'!$B14:$M28,11,0)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VLOOKUP($B15,'2305'!$B15:$M29,11,0)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VLOOKUP($B16,'2305'!$B16:$M30,11,0)</f>
        <v>6</v>
      </c>
      <c r="E16" s="14"/>
      <c r="F16" s="11"/>
      <c r="G16" s="11"/>
      <c r="H16" s="11"/>
      <c r="I16" s="11"/>
      <c r="J16" s="11"/>
      <c r="K16" s="9">
        <f t="shared" si="1"/>
        <v>6</v>
      </c>
      <c r="L16" s="9">
        <v>6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VLOOKUP($B17,'2305'!$B17:$M31,11,0)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VLOOKUP($B18,'2305'!$B18:$M32,11,0)</f>
        <v>0</v>
      </c>
      <c r="E18" s="14">
        <v>2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VLOOKUP($B19,'2305'!$B19:$M33,11,0)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VLOOKUP($B20,'2305'!$B20:$M34,11,0)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VLOOKUP($B21,'2305'!$B21:$M35,11,0)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VLOOKUP($B22,'2305'!$B22:$M36,11,0)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VLOOKUP($B24,'2305'!$B24:$M38,11,0)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VLOOKUP($B26,'2305'!$B26:$M40,11,0)</f>
        <v>347</v>
      </c>
      <c r="E26" s="10"/>
      <c r="F26" s="9">
        <v>96</v>
      </c>
      <c r="G26" s="11"/>
      <c r="H26" s="9"/>
      <c r="I26" s="9"/>
      <c r="J26" s="9"/>
      <c r="K26" s="9">
        <f t="shared" ref="K26" si="4">D26+E26-F26</f>
        <v>251</v>
      </c>
      <c r="L26" s="9">
        <v>251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VLOOKUP($B27,'2305'!$B27:$M41,11,0)</f>
        <v>155</v>
      </c>
      <c r="E27" s="9"/>
      <c r="F27" s="9">
        <v>40</v>
      </c>
      <c r="G27" s="11"/>
      <c r="H27" s="9"/>
      <c r="I27" s="9"/>
      <c r="J27" s="9"/>
      <c r="K27" s="9">
        <f>D27+E27-F27</f>
        <v>115</v>
      </c>
      <c r="L27" s="9">
        <v>115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VLOOKUP($B28,'2305'!$B28:$M42,11,0)</f>
        <v>385</v>
      </c>
      <c r="E28" s="9"/>
      <c r="F28" s="9">
        <v>121</v>
      </c>
      <c r="G28" s="11"/>
      <c r="H28" s="9"/>
      <c r="I28" s="9"/>
      <c r="J28" s="9"/>
      <c r="K28" s="9">
        <f>D28+E28-F28</f>
        <v>264</v>
      </c>
      <c r="L28" s="9">
        <v>264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VLOOKUP($B29,'2305'!$B29:$M43,11,0)</f>
        <v>167</v>
      </c>
      <c r="E29" s="9"/>
      <c r="F29" s="9">
        <v>45</v>
      </c>
      <c r="G29" s="11"/>
      <c r="H29" s="9"/>
      <c r="I29" s="9"/>
      <c r="J29" s="9"/>
      <c r="K29" s="9">
        <f>D29+E29-F29</f>
        <v>122</v>
      </c>
      <c r="L29" s="9">
        <v>122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DATE(2015,5,24)</f>
        <v>42148</v>
      </c>
      <c r="E5" s="293">
        <f>D5+1</f>
        <v>42149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69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45</v>
      </c>
      <c r="H7" s="5" t="s">
        <v>53</v>
      </c>
      <c r="I7" s="5" t="s">
        <v>52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VLOOKUP($B8,'2405'!$B8:$M22,11,0)</f>
        <v>207</v>
      </c>
      <c r="E8" s="10">
        <v>223</v>
      </c>
      <c r="F8" s="11">
        <v>40</v>
      </c>
      <c r="G8" s="11">
        <v>30</v>
      </c>
      <c r="H8" s="11">
        <v>20</v>
      </c>
      <c r="I8" s="11"/>
      <c r="J8" s="11"/>
      <c r="K8" s="9">
        <f>D8+E8-SUM(F8:J8)</f>
        <v>340</v>
      </c>
      <c r="L8" s="9">
        <f>117+8+215</f>
        <v>340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VLOOKUP($B9,'2405'!$B9:$M23,11,0)</f>
        <v>320</v>
      </c>
      <c r="E9" s="14"/>
      <c r="F9" s="11"/>
      <c r="G9" s="11">
        <v>72</v>
      </c>
      <c r="H9" s="11">
        <v>60</v>
      </c>
      <c r="I9" s="11"/>
      <c r="J9" s="11"/>
      <c r="K9" s="9">
        <f t="shared" ref="K9:K19" si="1">D9+E9-SUM(F9:J9)</f>
        <v>188</v>
      </c>
      <c r="L9" s="9">
        <f>120+66</f>
        <v>186</v>
      </c>
      <c r="M9" s="9">
        <f t="shared" si="0"/>
        <v>-2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VLOOKUP($B10,'2405'!$B10:$M24,11,0)</f>
        <v>104</v>
      </c>
      <c r="E10" s="10">
        <v>137</v>
      </c>
      <c r="F10" s="11"/>
      <c r="G10" s="11">
        <v>56</v>
      </c>
      <c r="H10" s="11">
        <v>40</v>
      </c>
      <c r="I10" s="11"/>
      <c r="J10" s="11"/>
      <c r="K10" s="9">
        <f t="shared" si="1"/>
        <v>145</v>
      </c>
      <c r="L10" s="9">
        <f>65+80</f>
        <v>145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VLOOKUP($B11,'2405'!$B11:$M25,11,0)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VLOOKUP($B12,'2405'!$B12:$M26,11,0)</f>
        <v>207</v>
      </c>
      <c r="E12" s="14">
        <v>160</v>
      </c>
      <c r="F12" s="11">
        <v>20</v>
      </c>
      <c r="G12" s="11">
        <v>67</v>
      </c>
      <c r="H12" s="11">
        <v>20</v>
      </c>
      <c r="I12" s="11"/>
      <c r="J12" s="11"/>
      <c r="K12" s="9">
        <f t="shared" si="1"/>
        <v>260</v>
      </c>
      <c r="L12" s="9">
        <v>260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VLOOKUP($B13,'2405'!$B13:$M27,11,0)</f>
        <v>230</v>
      </c>
      <c r="E13" s="14"/>
      <c r="F13" s="11">
        <v>20</v>
      </c>
      <c r="G13" s="11"/>
      <c r="H13" s="11">
        <v>40</v>
      </c>
      <c r="I13" s="11"/>
      <c r="J13" s="11"/>
      <c r="K13" s="9">
        <f t="shared" si="1"/>
        <v>170</v>
      </c>
      <c r="L13" s="9">
        <v>170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VLOOKUP($B14,'2405'!$B14:$M28,11,0)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VLOOKUP($B15,'2405'!$B15:$M29,11,0)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VLOOKUP($B16,'2405'!$B16:$M30,11,0)</f>
        <v>6</v>
      </c>
      <c r="E16" s="14">
        <v>4</v>
      </c>
      <c r="F16" s="11">
        <v>1</v>
      </c>
      <c r="G16" s="11"/>
      <c r="H16" s="11">
        <v>1</v>
      </c>
      <c r="I16" s="11">
        <v>2</v>
      </c>
      <c r="J16" s="11"/>
      <c r="K16" s="9">
        <f t="shared" si="1"/>
        <v>6</v>
      </c>
      <c r="L16" s="9">
        <v>6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VLOOKUP($B17,'2405'!$B17:$M31,11,0)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VLOOKUP($B18,'2405'!$B18:$M32,11,0)</f>
        <v>2</v>
      </c>
      <c r="E18" s="14"/>
      <c r="F18" s="11"/>
      <c r="G18" s="11"/>
      <c r="H18" s="11">
        <v>1</v>
      </c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VLOOKUP($B19,'2405'!$B19:$M33,11,0)</f>
        <v>1</v>
      </c>
      <c r="E19" s="14"/>
      <c r="F19" s="11"/>
      <c r="G19" s="11"/>
      <c r="H19" s="11">
        <v>1</v>
      </c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VLOOKUP($B20,'2405'!$B20:$M34,11,0)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VLOOKUP($B21,'2405'!$B21:$M35,11,0)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VLOOKUP($B22,'2405'!$B22:$M36,11,0)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VLOOKUP($B24,'2405'!$B24:$M38,11,0)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VLOOKUP($B26,'2405'!$B26:$M40,11,0)</f>
        <v>251</v>
      </c>
      <c r="E26" s="10">
        <v>129</v>
      </c>
      <c r="F26" s="9">
        <v>96</v>
      </c>
      <c r="G26" s="11"/>
      <c r="H26" s="9"/>
      <c r="I26" s="9"/>
      <c r="J26" s="9"/>
      <c r="K26" s="9">
        <f t="shared" ref="K26" si="4">D26+E26-F26</f>
        <v>284</v>
      </c>
      <c r="L26" s="9">
        <v>284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VLOOKUP($B27,'2405'!$B27:$M41,11,0)</f>
        <v>115</v>
      </c>
      <c r="E27" s="9"/>
      <c r="F27" s="9">
        <v>35</v>
      </c>
      <c r="G27" s="11"/>
      <c r="H27" s="9"/>
      <c r="I27" s="9"/>
      <c r="J27" s="9"/>
      <c r="K27" s="9">
        <f>D27+E27-F27</f>
        <v>80</v>
      </c>
      <c r="L27" s="9">
        <v>80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VLOOKUP($B28,'2405'!$B28:$M42,11,0)</f>
        <v>264</v>
      </c>
      <c r="E28" s="9">
        <f>75+140</f>
        <v>215</v>
      </c>
      <c r="F28" s="9">
        <v>103</v>
      </c>
      <c r="G28" s="11"/>
      <c r="H28" s="9"/>
      <c r="I28" s="9"/>
      <c r="J28" s="9"/>
      <c r="K28" s="9">
        <f>D28+E28-F28</f>
        <v>376</v>
      </c>
      <c r="L28" s="9">
        <v>376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VLOOKUP($B29,'2405'!$B29:$M43,11,0)</f>
        <v>122</v>
      </c>
      <c r="E29" s="9">
        <v>93</v>
      </c>
      <c r="F29" s="9">
        <v>57</v>
      </c>
      <c r="G29" s="11"/>
      <c r="H29" s="9"/>
      <c r="I29" s="9"/>
      <c r="J29" s="9"/>
      <c r="K29" s="9">
        <f>D29+E29-F29</f>
        <v>158</v>
      </c>
      <c r="L29" s="9">
        <v>158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8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DATE(2015,5,25)</f>
        <v>42149</v>
      </c>
      <c r="E5" s="293">
        <f>D5+1</f>
        <v>42150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70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54</v>
      </c>
      <c r="H7" s="5" t="s">
        <v>60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VLOOKUP($B8,'2505'!$B8:$M22,11,0)</f>
        <v>340</v>
      </c>
      <c r="E8" s="10">
        <f>86+35+104</f>
        <v>225</v>
      </c>
      <c r="F8" s="11">
        <v>40</v>
      </c>
      <c r="G8" s="11">
        <v>30</v>
      </c>
      <c r="H8" s="11">
        <v>272</v>
      </c>
      <c r="I8" s="11"/>
      <c r="J8" s="11"/>
      <c r="K8" s="9">
        <f>D8+E8-SUM(F8:J8)</f>
        <v>223</v>
      </c>
      <c r="L8" s="9">
        <v>223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VLOOKUP($B9,'2505'!$B9:$M23,11,0)</f>
        <v>186</v>
      </c>
      <c r="E9" s="14"/>
      <c r="F9" s="11"/>
      <c r="G9" s="11">
        <v>60</v>
      </c>
      <c r="H9" s="11"/>
      <c r="I9" s="11"/>
      <c r="J9" s="11"/>
      <c r="K9" s="9">
        <f t="shared" ref="K9:K19" si="1">D9+E9-SUM(F9:J9)</f>
        <v>126</v>
      </c>
      <c r="L9" s="9">
        <v>126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VLOOKUP($B10,'2505'!$B10:$M24,11,0)</f>
        <v>145</v>
      </c>
      <c r="E10" s="10">
        <v>167</v>
      </c>
      <c r="F10" s="11">
        <v>10</v>
      </c>
      <c r="G10" s="11"/>
      <c r="H10" s="11">
        <v>115</v>
      </c>
      <c r="I10" s="11"/>
      <c r="J10" s="11"/>
      <c r="K10" s="9">
        <f t="shared" si="1"/>
        <v>187</v>
      </c>
      <c r="L10" s="9">
        <f>20+167</f>
        <v>187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VLOOKUP($B11,'2505'!$B11:$M25,11,0)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VLOOKUP($B12,'2505'!$B12:$M26,11,0)</f>
        <v>260</v>
      </c>
      <c r="E12" s="14">
        <v>178</v>
      </c>
      <c r="F12" s="11">
        <v>50</v>
      </c>
      <c r="G12" s="11">
        <v>20</v>
      </c>
      <c r="H12" s="11">
        <v>110</v>
      </c>
      <c r="I12" s="11"/>
      <c r="J12" s="11"/>
      <c r="K12" s="9">
        <f t="shared" si="1"/>
        <v>258</v>
      </c>
      <c r="L12" s="9">
        <f>80+178</f>
        <v>258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VLOOKUP($B13,'2505'!$B13:$M27,11,0)</f>
        <v>170</v>
      </c>
      <c r="E13" s="14">
        <v>129</v>
      </c>
      <c r="F13" s="11">
        <v>20</v>
      </c>
      <c r="G13" s="11">
        <v>10</v>
      </c>
      <c r="H13" s="11">
        <v>116</v>
      </c>
      <c r="I13" s="11"/>
      <c r="J13" s="11"/>
      <c r="K13" s="9">
        <f t="shared" si="1"/>
        <v>153</v>
      </c>
      <c r="L13" s="9">
        <f>24+129</f>
        <v>153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VLOOKUP($B14,'2505'!$B14:$M28,11,0)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VLOOKUP($B15,'2505'!$B15:$M29,11,0)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VLOOKUP($B16,'2505'!$B16:$M30,11,0)</f>
        <v>6</v>
      </c>
      <c r="E16" s="14">
        <v>2</v>
      </c>
      <c r="F16" s="11"/>
      <c r="G16" s="11">
        <v>1</v>
      </c>
      <c r="H16" s="11">
        <v>2</v>
      </c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VLOOKUP($B17,'2505'!$B17:$M31,11,0)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VLOOKUP($B18,'2505'!$B18:$M32,11,0)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VLOOKUP($B19,'2505'!$B19:$M33,11,0)</f>
        <v>0</v>
      </c>
      <c r="E19" s="14">
        <v>2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VLOOKUP($B20,'2505'!$B20:$M34,11,0)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VLOOKUP($B21,'2505'!$B21:$M35,11,0)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VLOOKUP($B22,'2505'!$B22:$M36,11,0)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VLOOKUP($B24,'2505'!$B24:$M38,11,0)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VLOOKUP($B26,'2505'!$B26:$M40,11,0)</f>
        <v>284</v>
      </c>
      <c r="E26" s="10">
        <v>136</v>
      </c>
      <c r="F26" s="9">
        <v>121</v>
      </c>
      <c r="G26" s="11"/>
      <c r="H26" s="9"/>
      <c r="I26" s="9"/>
      <c r="J26" s="9"/>
      <c r="K26" s="9">
        <f t="shared" ref="K26" si="4">D26+E26-F26</f>
        <v>299</v>
      </c>
      <c r="L26" s="9">
        <v>299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VLOOKUP($B27,'2505'!$B27:$M41,11,0)</f>
        <v>80</v>
      </c>
      <c r="E27" s="9">
        <v>67</v>
      </c>
      <c r="F27" s="9">
        <v>30</v>
      </c>
      <c r="G27" s="11"/>
      <c r="H27" s="9"/>
      <c r="I27" s="9"/>
      <c r="J27" s="9"/>
      <c r="K27" s="9">
        <f>D27+E27-F27</f>
        <v>117</v>
      </c>
      <c r="L27" s="9">
        <v>117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VLOOKUP($B28,'2505'!$B28:$M42,11,0)</f>
        <v>376</v>
      </c>
      <c r="E28" s="9">
        <v>160</v>
      </c>
      <c r="F28" s="9">
        <v>134</v>
      </c>
      <c r="G28" s="11"/>
      <c r="H28" s="9"/>
      <c r="I28" s="9"/>
      <c r="J28" s="9"/>
      <c r="K28" s="9">
        <f>D28+E28-F28</f>
        <v>402</v>
      </c>
      <c r="L28" s="9">
        <v>402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VLOOKUP($B29,'2505'!$B29:$M43,11,0)</f>
        <v>158</v>
      </c>
      <c r="E29" s="9">
        <v>50</v>
      </c>
      <c r="F29" s="9">
        <v>65</v>
      </c>
      <c r="G29" s="11"/>
      <c r="H29" s="9"/>
      <c r="I29" s="9"/>
      <c r="J29" s="9"/>
      <c r="K29" s="9">
        <f>D29+E29-F29</f>
        <v>143</v>
      </c>
      <c r="L29" s="9">
        <v>143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DATE(2015,5,26)</f>
        <v>42150</v>
      </c>
      <c r="E5" s="293">
        <f>D5+1</f>
        <v>42151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71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39</v>
      </c>
      <c r="H7" s="5" t="s">
        <v>38</v>
      </c>
      <c r="I7" s="5" t="s">
        <v>40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VLOOKUP($B8,'2605'!$B8:$M22,11,0)</f>
        <v>223</v>
      </c>
      <c r="E8" s="10">
        <f>92+98+117</f>
        <v>307</v>
      </c>
      <c r="F8" s="11">
        <v>40</v>
      </c>
      <c r="G8" s="11">
        <v>30</v>
      </c>
      <c r="H8" s="11">
        <v>40</v>
      </c>
      <c r="I8" s="11">
        <v>40</v>
      </c>
      <c r="J8" s="11"/>
      <c r="K8" s="9">
        <f>D8+E8-SUM(F8:J8)</f>
        <v>380</v>
      </c>
      <c r="L8" s="9">
        <f>75+305</f>
        <v>380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VLOOKUP($B9,'2605'!$B9:$M23,11,0)</f>
        <v>126</v>
      </c>
      <c r="E9" s="14"/>
      <c r="F9" s="11"/>
      <c r="G9" s="11">
        <v>40</v>
      </c>
      <c r="H9" s="11">
        <v>40</v>
      </c>
      <c r="I9" s="11">
        <v>30</v>
      </c>
      <c r="J9" s="11"/>
      <c r="K9" s="9">
        <f t="shared" ref="K9:K20" si="1">D9+E9-SUM(F9:J9)</f>
        <v>16</v>
      </c>
      <c r="L9" s="9">
        <v>16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VLOOKUP($B10,'2605'!$B10:$M24,11,0)</f>
        <v>187</v>
      </c>
      <c r="E10" s="10">
        <v>165</v>
      </c>
      <c r="F10" s="11"/>
      <c r="G10" s="11">
        <v>40</v>
      </c>
      <c r="H10" s="11">
        <v>20</v>
      </c>
      <c r="I10" s="11">
        <v>40</v>
      </c>
      <c r="J10" s="11"/>
      <c r="K10" s="9">
        <f t="shared" si="1"/>
        <v>252</v>
      </c>
      <c r="L10" s="9">
        <f>87+165</f>
        <v>252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VLOOKUP($B11,'2605'!$B11:$M25,11,0)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VLOOKUP($B12,'2605'!$B12:$M26,11,0)</f>
        <v>258</v>
      </c>
      <c r="E12" s="14">
        <v>130</v>
      </c>
      <c r="F12" s="11">
        <v>30</v>
      </c>
      <c r="G12" s="11">
        <v>30</v>
      </c>
      <c r="H12" s="11">
        <v>40</v>
      </c>
      <c r="I12" s="11">
        <v>80</v>
      </c>
      <c r="J12" s="11"/>
      <c r="K12" s="9">
        <f t="shared" si="1"/>
        <v>208</v>
      </c>
      <c r="L12" s="9">
        <f>78+130</f>
        <v>208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VLOOKUP($B13,'2605'!$B13:$M27,11,0)</f>
        <v>153</v>
      </c>
      <c r="E13" s="14">
        <v>74</v>
      </c>
      <c r="F13" s="11">
        <v>20</v>
      </c>
      <c r="G13" s="11">
        <v>40</v>
      </c>
      <c r="H13" s="11"/>
      <c r="I13" s="11">
        <v>40</v>
      </c>
      <c r="J13" s="11"/>
      <c r="K13" s="9">
        <f t="shared" si="1"/>
        <v>127</v>
      </c>
      <c r="L13" s="9">
        <f>53+74</f>
        <v>127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VLOOKUP($B14,'2605'!$B14:$M28,11,0)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VLOOKUP($B15,'2605'!$B15:$M29,11,0)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VLOOKUP($B16,'2605'!$B16:$M30,11,0)</f>
        <v>5</v>
      </c>
      <c r="E16" s="14">
        <v>2</v>
      </c>
      <c r="F16" s="11">
        <v>1</v>
      </c>
      <c r="G16" s="11">
        <v>1</v>
      </c>
      <c r="H16" s="11">
        <v>1</v>
      </c>
      <c r="I16" s="11">
        <v>1</v>
      </c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VLOOKUP($B17,'2605'!$B17:$M31,11,0)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VLOOKUP($B18,'2605'!$B18:$M32,11,0)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VLOOKUP($B19,'2605'!$B19:$M33,11,0)</f>
        <v>2</v>
      </c>
      <c r="E19" s="14">
        <v>2</v>
      </c>
      <c r="F19" s="11"/>
      <c r="G19" s="11"/>
      <c r="H19" s="11"/>
      <c r="I19" s="11">
        <v>1</v>
      </c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VLOOKUP($B20,'2605'!$B20:$M34,11,0)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VLOOKUP($B21,'2605'!$B21:$M35,11,0)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VLOOKUP($B22,'2605'!$B22:$M36,11,0)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VLOOKUP($B24,'2605'!$B24:$M38,11,0)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VLOOKUP($B26,'2605'!$B26:$M40,11,0)</f>
        <v>299</v>
      </c>
      <c r="E26" s="10"/>
      <c r="F26" s="9">
        <v>80</v>
      </c>
      <c r="G26" s="11"/>
      <c r="H26" s="9"/>
      <c r="I26" s="9"/>
      <c r="J26" s="9"/>
      <c r="K26" s="9">
        <f t="shared" ref="K26" si="4">D26+E26-F26</f>
        <v>219</v>
      </c>
      <c r="L26" s="9">
        <v>219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VLOOKUP($B27,'2605'!$B27:$M41,11,0)</f>
        <v>117</v>
      </c>
      <c r="E27" s="9"/>
      <c r="F27" s="9">
        <v>10</v>
      </c>
      <c r="G27" s="11"/>
      <c r="H27" s="9"/>
      <c r="I27" s="9"/>
      <c r="J27" s="9"/>
      <c r="K27" s="9">
        <f>D27+E27-F27</f>
        <v>107</v>
      </c>
      <c r="L27" s="9">
        <v>107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VLOOKUP($B28,'2605'!$B28:$M42,11,0)</f>
        <v>402</v>
      </c>
      <c r="E28" s="9"/>
      <c r="F28" s="9">
        <v>97</v>
      </c>
      <c r="G28" s="11"/>
      <c r="H28" s="9"/>
      <c r="I28" s="9"/>
      <c r="J28" s="9"/>
      <c r="K28" s="9">
        <f>D28+E28-F28</f>
        <v>305</v>
      </c>
      <c r="L28" s="9">
        <v>305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VLOOKUP($B29,'2605'!$B29:$M43,11,0)</f>
        <v>143</v>
      </c>
      <c r="E29" s="9">
        <v>92</v>
      </c>
      <c r="F29" s="9">
        <v>86</v>
      </c>
      <c r="G29" s="11"/>
      <c r="H29" s="9"/>
      <c r="I29" s="9"/>
      <c r="J29" s="9"/>
      <c r="K29" s="9">
        <f>D29+E29-F29</f>
        <v>149</v>
      </c>
      <c r="L29" s="9">
        <v>149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DATE(2015,5,27)</f>
        <v>42151</v>
      </c>
      <c r="E5" s="293">
        <f>D5+1</f>
        <v>42152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72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52</v>
      </c>
      <c r="H7" s="5" t="s">
        <v>55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VLOOKUP($B8,'2705'!$B8:$M22,11,0)</f>
        <v>380</v>
      </c>
      <c r="E8" s="10">
        <v>190</v>
      </c>
      <c r="F8" s="11">
        <v>40</v>
      </c>
      <c r="G8" s="11">
        <v>180</v>
      </c>
      <c r="H8" s="11">
        <v>200</v>
      </c>
      <c r="I8" s="11"/>
      <c r="J8" s="11"/>
      <c r="K8" s="9">
        <f>D8+E8-SUM(F8:J8)</f>
        <v>150</v>
      </c>
      <c r="L8" s="9">
        <v>150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VLOOKUP($B9,'2705'!$B9:$M23,11,0)</f>
        <v>16</v>
      </c>
      <c r="E9" s="14"/>
      <c r="F9" s="11"/>
      <c r="G9" s="11"/>
      <c r="H9" s="11">
        <v>16</v>
      </c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VLOOKUP($B10,'2705'!$B10:$M24,11,0)</f>
        <v>252</v>
      </c>
      <c r="E10" s="10">
        <v>105</v>
      </c>
      <c r="F10" s="11">
        <v>10</v>
      </c>
      <c r="G10" s="11">
        <v>100</v>
      </c>
      <c r="H10" s="11">
        <v>142</v>
      </c>
      <c r="I10" s="11"/>
      <c r="J10" s="11"/>
      <c r="K10" s="9">
        <f t="shared" si="1"/>
        <v>105</v>
      </c>
      <c r="L10" s="9">
        <v>105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VLOOKUP($B11,'2705'!$B11:$M25,11,0)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VLOOKUP($B12,'2705'!$B12:$M26,11,0)</f>
        <v>208</v>
      </c>
      <c r="E12" s="14">
        <v>178</v>
      </c>
      <c r="F12" s="11">
        <v>30</v>
      </c>
      <c r="G12" s="11">
        <v>148</v>
      </c>
      <c r="H12" s="11"/>
      <c r="I12" s="11"/>
      <c r="J12" s="11"/>
      <c r="K12" s="9">
        <f t="shared" si="1"/>
        <v>208</v>
      </c>
      <c r="L12" s="9">
        <f>30+178</f>
        <v>208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VLOOKUP($B13,'2705'!$B13:$M27,11,0)</f>
        <v>127</v>
      </c>
      <c r="E13" s="14">
        <v>157</v>
      </c>
      <c r="F13" s="11">
        <v>20</v>
      </c>
      <c r="G13" s="11">
        <v>127</v>
      </c>
      <c r="H13" s="11"/>
      <c r="I13" s="11"/>
      <c r="J13" s="11"/>
      <c r="K13" s="9">
        <f t="shared" si="1"/>
        <v>137</v>
      </c>
      <c r="L13" s="9">
        <v>137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VLOOKUP($B14,'2705'!$B14:$M28,11,0)</f>
        <v>2</v>
      </c>
      <c r="E14" s="14"/>
      <c r="F14" s="11"/>
      <c r="G14" s="11"/>
      <c r="H14" s="11">
        <v>2</v>
      </c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VLOOKUP($B15,'2705'!$B15:$M29,11,0)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VLOOKUP($B16,'2705'!$B16:$M30,11,0)</f>
        <v>3</v>
      </c>
      <c r="E16" s="14">
        <v>4</v>
      </c>
      <c r="F16" s="11"/>
      <c r="G16" s="11">
        <v>1</v>
      </c>
      <c r="H16" s="11">
        <v>2</v>
      </c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VLOOKUP($B17,'2705'!$B17:$M31,11,0)</f>
        <v>2</v>
      </c>
      <c r="E17" s="14"/>
      <c r="F17" s="11"/>
      <c r="G17" s="11"/>
      <c r="H17" s="11">
        <v>2</v>
      </c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VLOOKUP($B18,'2705'!$B18:$M32,11,0)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VLOOKUP($B19,'2705'!$B19:$M33,11,0)</f>
        <v>3</v>
      </c>
      <c r="E19" s="14"/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VLOOKUP($B20,'2705'!$B20:$M34,11,0)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VLOOKUP($B21,'2705'!$B21:$M35,11,0)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VLOOKUP($B22,'2705'!$B22:$M36,11,0)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VLOOKUP($B24,'2705'!$B24:$M38,11,0)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VLOOKUP($B26,'2705'!$B26:$M40,11,0)</f>
        <v>219</v>
      </c>
      <c r="E26" s="10">
        <v>143</v>
      </c>
      <c r="F26" s="9">
        <v>133</v>
      </c>
      <c r="G26" s="11"/>
      <c r="H26" s="9"/>
      <c r="I26" s="9"/>
      <c r="J26" s="9"/>
      <c r="K26" s="9">
        <f t="shared" ref="K26" si="4">D26+E26-F26</f>
        <v>229</v>
      </c>
      <c r="L26" s="9">
        <v>229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VLOOKUP($B27,'2705'!$B27:$M41,11,0)</f>
        <v>107</v>
      </c>
      <c r="E27" s="9">
        <v>64</v>
      </c>
      <c r="F27" s="9">
        <v>70</v>
      </c>
      <c r="G27" s="11"/>
      <c r="H27" s="9"/>
      <c r="I27" s="9"/>
      <c r="J27" s="9"/>
      <c r="K27" s="9">
        <f>D27+E27-F27</f>
        <v>101</v>
      </c>
      <c r="L27" s="9">
        <v>101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VLOOKUP($B28,'2705'!$B28:$M42,11,0)</f>
        <v>305</v>
      </c>
      <c r="E28" s="9">
        <v>154</v>
      </c>
      <c r="F28" s="9">
        <v>132</v>
      </c>
      <c r="G28" s="11"/>
      <c r="H28" s="9"/>
      <c r="I28" s="9"/>
      <c r="J28" s="9"/>
      <c r="K28" s="9">
        <f>D28+E28-F28</f>
        <v>327</v>
      </c>
      <c r="L28" s="9">
        <v>327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VLOOKUP($B29,'2705'!$B29:$M43,11,0)</f>
        <v>149</v>
      </c>
      <c r="E29" s="9">
        <v>95</v>
      </c>
      <c r="F29" s="9">
        <v>67</v>
      </c>
      <c r="G29" s="11"/>
      <c r="H29" s="9"/>
      <c r="I29" s="9"/>
      <c r="J29" s="9"/>
      <c r="K29" s="9">
        <f>D29+E29-F29</f>
        <v>177</v>
      </c>
      <c r="L29" s="9">
        <v>177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3" workbookViewId="0">
      <pane xSplit="1" topLeftCell="E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DATE(2015,5,28)</f>
        <v>42152</v>
      </c>
      <c r="E5" s="293">
        <f>D5+1</f>
        <v>42153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73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61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VLOOKUP($B8,'2805'!$B8:$M22,11,0)</f>
        <v>150</v>
      </c>
      <c r="E8" s="10">
        <f>90+66</f>
        <v>156</v>
      </c>
      <c r="F8" s="11">
        <v>30</v>
      </c>
      <c r="G8" s="11">
        <v>120</v>
      </c>
      <c r="H8" s="11"/>
      <c r="I8" s="11"/>
      <c r="J8" s="11"/>
      <c r="K8" s="9">
        <f>D8+E8-SUM(F8:J8)</f>
        <v>156</v>
      </c>
      <c r="L8" s="9">
        <v>156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VLOOKUP($B9,'2805'!$B9:$M23,11,0)</f>
        <v>0</v>
      </c>
      <c r="E9" s="14">
        <f>34+76</f>
        <v>110</v>
      </c>
      <c r="F9" s="11"/>
      <c r="G9" s="11"/>
      <c r="H9" s="11"/>
      <c r="I9" s="11"/>
      <c r="J9" s="11"/>
      <c r="K9" s="9">
        <f t="shared" ref="K9:K20" si="1">D9+E9-SUM(F9:J9)</f>
        <v>110</v>
      </c>
      <c r="L9" s="9">
        <v>110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VLOOKUP($B10,'2805'!$B10:$M24,11,0)</f>
        <v>105</v>
      </c>
      <c r="E10" s="10">
        <v>80</v>
      </c>
      <c r="F10" s="11"/>
      <c r="G10" s="11">
        <v>105</v>
      </c>
      <c r="H10" s="11"/>
      <c r="I10" s="11"/>
      <c r="J10" s="11"/>
      <c r="K10" s="9">
        <f t="shared" si="1"/>
        <v>80</v>
      </c>
      <c r="L10" s="9">
        <v>80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VLOOKUP($B11,'2805'!$B11:$M25,11,0)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VLOOKUP($B12,'2805'!$B12:$M26,11,0)</f>
        <v>208</v>
      </c>
      <c r="E12" s="14">
        <v>200</v>
      </c>
      <c r="F12" s="11">
        <v>20</v>
      </c>
      <c r="G12" s="11">
        <v>150</v>
      </c>
      <c r="H12" s="11"/>
      <c r="I12" s="11"/>
      <c r="J12" s="11"/>
      <c r="K12" s="9">
        <f t="shared" si="1"/>
        <v>238</v>
      </c>
      <c r="L12" s="9">
        <f>38+200</f>
        <v>238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VLOOKUP($B13,'2805'!$B13:$M27,11,0)</f>
        <v>137</v>
      </c>
      <c r="E13" s="14">
        <v>110</v>
      </c>
      <c r="F13" s="11">
        <v>20</v>
      </c>
      <c r="G13" s="11">
        <v>100</v>
      </c>
      <c r="H13" s="11"/>
      <c r="I13" s="11"/>
      <c r="J13" s="11"/>
      <c r="K13" s="9">
        <f t="shared" si="1"/>
        <v>127</v>
      </c>
      <c r="L13" s="9">
        <f>17+110</f>
        <v>127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VLOOKUP($B14,'2805'!$B14:$M28,11,0)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VLOOKUP($B15,'2805'!$B15:$M29,11,0)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VLOOKUP($B16,'2805'!$B16:$M30,11,0)</f>
        <v>4</v>
      </c>
      <c r="E16" s="14">
        <v>2</v>
      </c>
      <c r="F16" s="11">
        <v>1</v>
      </c>
      <c r="G16" s="11">
        <v>1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VLOOKUP($B17,'2805'!$B17:$M31,11,0)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VLOOKUP($B18,'2805'!$B18:$M32,11,0)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VLOOKUP($B19,'2805'!$B19:$M33,11,0)</f>
        <v>3</v>
      </c>
      <c r="E19" s="14">
        <v>2</v>
      </c>
      <c r="F19" s="11"/>
      <c r="G19" s="11"/>
      <c r="H19" s="11"/>
      <c r="I19" s="11"/>
      <c r="J19" s="11"/>
      <c r="K19" s="9">
        <f t="shared" si="1"/>
        <v>5</v>
      </c>
      <c r="L19" s="9">
        <v>5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VLOOKUP($B20,'2805'!$B20:$M34,11,0)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VLOOKUP($B21,'2805'!$B21:$M35,11,0)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VLOOKUP($B22,'2805'!$B22:$M36,11,0)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VLOOKUP($B24,'2805'!$B24:$M38,11,0)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VLOOKUP($B26,'2805'!$B26:$M40,11,0)</f>
        <v>229</v>
      </c>
      <c r="E26" s="10">
        <v>69</v>
      </c>
      <c r="F26" s="9">
        <v>111</v>
      </c>
      <c r="G26" s="11"/>
      <c r="H26" s="9"/>
      <c r="I26" s="9"/>
      <c r="J26" s="9"/>
      <c r="K26" s="9">
        <f t="shared" ref="K26" si="4">D26+E26-F26</f>
        <v>187</v>
      </c>
      <c r="L26" s="9">
        <v>187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VLOOKUP($B27,'2805'!$B27:$M41,11,0)</f>
        <v>101</v>
      </c>
      <c r="E27" s="9">
        <v>65</v>
      </c>
      <c r="F27" s="9">
        <v>37</v>
      </c>
      <c r="G27" s="11"/>
      <c r="H27" s="9"/>
      <c r="I27" s="9"/>
      <c r="J27" s="9"/>
      <c r="K27" s="9">
        <f>D27+E27-F27</f>
        <v>129</v>
      </c>
      <c r="L27" s="9">
        <v>129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VLOOKUP($B28,'2805'!$B28:$M42,11,0)</f>
        <v>327</v>
      </c>
      <c r="E28" s="9">
        <v>146</v>
      </c>
      <c r="F28" s="9">
        <v>122</v>
      </c>
      <c r="G28" s="11"/>
      <c r="H28" s="9"/>
      <c r="I28" s="9"/>
      <c r="J28" s="9"/>
      <c r="K28" s="9">
        <f>D28+E28-F28</f>
        <v>351</v>
      </c>
      <c r="L28" s="9">
        <v>351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VLOOKUP($B29,'2805'!$B29:$M43,11,0)</f>
        <v>177</v>
      </c>
      <c r="E29" s="9">
        <v>90</v>
      </c>
      <c r="F29" s="9">
        <v>55</v>
      </c>
      <c r="G29" s="11"/>
      <c r="H29" s="9"/>
      <c r="I29" s="9"/>
      <c r="J29" s="9"/>
      <c r="K29" s="9">
        <f>D29+E29-F29</f>
        <v>212</v>
      </c>
      <c r="L29" s="9">
        <v>212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2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0" max="10" width="10.85546875" customWidth="1"/>
    <col min="11" max="11" width="11.5703125" customWidth="1"/>
    <col min="12" max="12" width="11.140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</row>
    <row r="3" spans="1:12" ht="20.25">
      <c r="A3" s="1"/>
      <c r="B3" s="1"/>
      <c r="C3" s="1"/>
      <c r="D3" s="1"/>
      <c r="E3" s="2"/>
      <c r="F3" s="3"/>
      <c r="G3" s="3"/>
      <c r="H3" s="3"/>
      <c r="I3" s="3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.75">
      <c r="A5" s="292" t="s">
        <v>1</v>
      </c>
      <c r="B5" s="292"/>
      <c r="C5" s="292"/>
      <c r="D5" s="4">
        <f>DATE(2015,4,5)</f>
        <v>42099</v>
      </c>
      <c r="E5" s="293">
        <f>D5+1</f>
        <v>42100</v>
      </c>
      <c r="F5" s="294"/>
      <c r="G5" s="294"/>
      <c r="H5" s="294"/>
      <c r="I5" s="294"/>
      <c r="J5" s="294"/>
      <c r="K5" s="294"/>
      <c r="L5" s="294"/>
    </row>
    <row r="6" spans="1:12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302" t="s">
        <v>8</v>
      </c>
      <c r="K6" s="289" t="s">
        <v>9</v>
      </c>
      <c r="L6" s="289" t="s">
        <v>10</v>
      </c>
    </row>
    <row r="7" spans="1:12">
      <c r="A7" s="295"/>
      <c r="B7" s="296"/>
      <c r="C7" s="298"/>
      <c r="D7" s="290"/>
      <c r="E7" s="290"/>
      <c r="F7" s="5" t="s">
        <v>11</v>
      </c>
      <c r="G7" s="5" t="s">
        <v>44</v>
      </c>
      <c r="H7" s="5" t="s">
        <v>45</v>
      </c>
      <c r="I7" s="5"/>
      <c r="J7" s="302"/>
      <c r="K7" s="290"/>
      <c r="L7" s="290"/>
    </row>
    <row r="8" spans="1:12" ht="18.75">
      <c r="A8" s="6">
        <v>1</v>
      </c>
      <c r="B8" s="7" t="s">
        <v>12</v>
      </c>
      <c r="C8" s="8" t="s">
        <v>13</v>
      </c>
      <c r="D8" s="9">
        <f>VLOOKUP($B8,'0504'!$B8:$K22,10,0)</f>
        <v>188</v>
      </c>
      <c r="E8" s="10">
        <v>126</v>
      </c>
      <c r="F8" s="11">
        <v>30</v>
      </c>
      <c r="G8" s="11">
        <v>50</v>
      </c>
      <c r="H8" s="11">
        <v>41</v>
      </c>
      <c r="I8" s="11"/>
      <c r="J8" s="9">
        <f t="shared" ref="J8:J19" si="0">D8+E8-SUM(F8:I8)</f>
        <v>193</v>
      </c>
      <c r="K8" s="9">
        <v>193</v>
      </c>
      <c r="L8" s="9">
        <f t="shared" ref="L8:L19" si="1">K8-J8</f>
        <v>0</v>
      </c>
    </row>
    <row r="9" spans="1:12" ht="18.75">
      <c r="A9" s="6">
        <v>2</v>
      </c>
      <c r="B9" s="12" t="s">
        <v>14</v>
      </c>
      <c r="C9" s="13" t="s">
        <v>13</v>
      </c>
      <c r="D9" s="9">
        <f>VLOOKUP($B9,'0504'!$B9:$K23,10,0)</f>
        <v>40</v>
      </c>
      <c r="E9" s="14">
        <f>77+37</f>
        <v>114</v>
      </c>
      <c r="F9" s="11"/>
      <c r="G9" s="11"/>
      <c r="H9" s="11">
        <v>40</v>
      </c>
      <c r="I9" s="11"/>
      <c r="J9" s="9">
        <f t="shared" si="0"/>
        <v>114</v>
      </c>
      <c r="K9" s="9">
        <v>114</v>
      </c>
      <c r="L9" s="9">
        <f t="shared" si="1"/>
        <v>0</v>
      </c>
    </row>
    <row r="10" spans="1:12" ht="18.75">
      <c r="A10" s="6">
        <v>3</v>
      </c>
      <c r="B10" s="12" t="s">
        <v>15</v>
      </c>
      <c r="C10" s="8" t="s">
        <v>13</v>
      </c>
      <c r="D10" s="9">
        <f>VLOOKUP($B10,'0504'!$B10:$K24,10,0)</f>
        <v>90</v>
      </c>
      <c r="E10" s="10"/>
      <c r="F10" s="11"/>
      <c r="G10" s="11"/>
      <c r="H10" s="11">
        <v>30</v>
      </c>
      <c r="I10" s="11"/>
      <c r="J10" s="9">
        <f t="shared" si="0"/>
        <v>60</v>
      </c>
      <c r="K10" s="9">
        <v>60</v>
      </c>
      <c r="L10" s="9">
        <f t="shared" si="1"/>
        <v>0</v>
      </c>
    </row>
    <row r="11" spans="1:12" ht="18.75">
      <c r="A11" s="6">
        <v>4</v>
      </c>
      <c r="B11" s="15" t="s">
        <v>16</v>
      </c>
      <c r="C11" s="6" t="s">
        <v>17</v>
      </c>
      <c r="D11" s="9">
        <f>VLOOKUP($B11,'0504'!$B11:$K25,10,0)</f>
        <v>347</v>
      </c>
      <c r="E11" s="10">
        <v>298</v>
      </c>
      <c r="F11" s="11"/>
      <c r="G11" s="11">
        <v>195</v>
      </c>
      <c r="H11" s="11">
        <v>80</v>
      </c>
      <c r="I11" s="11"/>
      <c r="J11" s="9">
        <f t="shared" si="0"/>
        <v>370</v>
      </c>
      <c r="K11" s="9">
        <f>80+290</f>
        <v>370</v>
      </c>
      <c r="L11" s="9">
        <f t="shared" si="1"/>
        <v>0</v>
      </c>
    </row>
    <row r="12" spans="1:12" ht="18.75">
      <c r="A12" s="6">
        <v>5</v>
      </c>
      <c r="B12" s="15" t="s">
        <v>18</v>
      </c>
      <c r="C12" s="6" t="s">
        <v>17</v>
      </c>
      <c r="D12" s="9">
        <f>VLOOKUP($B12,'0504'!$B12:$K26,10,0)</f>
        <v>151</v>
      </c>
      <c r="E12" s="14">
        <v>182</v>
      </c>
      <c r="F12" s="11"/>
      <c r="G12" s="11">
        <v>44</v>
      </c>
      <c r="H12" s="11">
        <v>47</v>
      </c>
      <c r="I12" s="11"/>
      <c r="J12" s="9">
        <f t="shared" si="0"/>
        <v>242</v>
      </c>
      <c r="K12" s="9">
        <f>80+162</f>
        <v>242</v>
      </c>
      <c r="L12" s="9">
        <f t="shared" si="1"/>
        <v>0</v>
      </c>
    </row>
    <row r="13" spans="1:12" ht="18.75">
      <c r="A13" s="6">
        <v>6</v>
      </c>
      <c r="B13" s="16" t="s">
        <v>19</v>
      </c>
      <c r="C13" s="17" t="s">
        <v>17</v>
      </c>
      <c r="D13" s="9">
        <f>VLOOKUP($B13,'0504'!$B13:$K27,10,0)</f>
        <v>134</v>
      </c>
      <c r="E13" s="14"/>
      <c r="F13" s="11"/>
      <c r="G13" s="11">
        <v>36</v>
      </c>
      <c r="H13" s="11"/>
      <c r="I13" s="11"/>
      <c r="J13" s="9">
        <f t="shared" si="0"/>
        <v>98</v>
      </c>
      <c r="K13" s="9">
        <v>98</v>
      </c>
      <c r="L13" s="9">
        <f t="shared" si="1"/>
        <v>0</v>
      </c>
    </row>
    <row r="14" spans="1:12" ht="18.75">
      <c r="A14" s="6">
        <v>7</v>
      </c>
      <c r="B14" s="12" t="s">
        <v>20</v>
      </c>
      <c r="C14" s="6" t="s">
        <v>21</v>
      </c>
      <c r="D14" s="9">
        <f>VLOOKUP($B14,'0504'!$B14:$K28,10,0)</f>
        <v>0</v>
      </c>
      <c r="E14" s="14"/>
      <c r="F14" s="11"/>
      <c r="G14" s="11"/>
      <c r="H14" s="11"/>
      <c r="I14" s="11"/>
      <c r="J14" s="9">
        <f t="shared" si="0"/>
        <v>0</v>
      </c>
      <c r="K14" s="9"/>
      <c r="L14" s="9">
        <f t="shared" si="1"/>
        <v>0</v>
      </c>
    </row>
    <row r="15" spans="1:12" ht="18.75">
      <c r="A15" s="6">
        <v>8</v>
      </c>
      <c r="B15" s="12" t="s">
        <v>22</v>
      </c>
      <c r="C15" s="18" t="s">
        <v>21</v>
      </c>
      <c r="D15" s="9">
        <f>VLOOKUP($B15,'0504'!$B15:$K29,10,0)</f>
        <v>2</v>
      </c>
      <c r="E15" s="14"/>
      <c r="F15" s="11"/>
      <c r="G15" s="11"/>
      <c r="H15" s="11"/>
      <c r="I15" s="11"/>
      <c r="J15" s="9">
        <f t="shared" si="0"/>
        <v>2</v>
      </c>
      <c r="K15" s="9">
        <v>2</v>
      </c>
      <c r="L15" s="9">
        <f t="shared" si="1"/>
        <v>0</v>
      </c>
    </row>
    <row r="16" spans="1:12" ht="18.75">
      <c r="A16" s="6">
        <v>9</v>
      </c>
      <c r="B16" s="15" t="s">
        <v>23</v>
      </c>
      <c r="C16" s="8" t="s">
        <v>24</v>
      </c>
      <c r="D16" s="9">
        <f>VLOOKUP($B16,'0504'!$B16:$K30,10,0)</f>
        <v>3</v>
      </c>
      <c r="E16" s="14">
        <v>2</v>
      </c>
      <c r="F16" s="11"/>
      <c r="G16" s="11">
        <v>1</v>
      </c>
      <c r="H16" s="11">
        <v>1</v>
      </c>
      <c r="I16" s="11"/>
      <c r="J16" s="9">
        <f t="shared" si="0"/>
        <v>3</v>
      </c>
      <c r="K16" s="9">
        <v>3</v>
      </c>
      <c r="L16" s="9">
        <f t="shared" si="1"/>
        <v>0</v>
      </c>
    </row>
    <row r="17" spans="1:12" ht="18.75">
      <c r="A17" s="6">
        <v>10</v>
      </c>
      <c r="B17" s="19" t="s">
        <v>25</v>
      </c>
      <c r="C17" s="6" t="s">
        <v>21</v>
      </c>
      <c r="D17" s="9">
        <f>VLOOKUP($B17,'0504'!$B17:$K31,10,0)</f>
        <v>1</v>
      </c>
      <c r="E17" s="14">
        <v>1</v>
      </c>
      <c r="F17" s="11"/>
      <c r="G17" s="11"/>
      <c r="H17" s="11"/>
      <c r="I17" s="11"/>
      <c r="J17" s="9">
        <f t="shared" si="0"/>
        <v>2</v>
      </c>
      <c r="K17" s="9">
        <v>2</v>
      </c>
      <c r="L17" s="9">
        <f t="shared" si="1"/>
        <v>0</v>
      </c>
    </row>
    <row r="18" spans="1:12" ht="18.75">
      <c r="A18" s="6">
        <v>11</v>
      </c>
      <c r="B18" s="12" t="s">
        <v>26</v>
      </c>
      <c r="C18" s="6" t="s">
        <v>27</v>
      </c>
      <c r="D18" s="9">
        <f>VLOOKUP($B18,'0504'!$B18:$K32,10,0)</f>
        <v>1</v>
      </c>
      <c r="E18" s="14">
        <v>2</v>
      </c>
      <c r="F18" s="11"/>
      <c r="G18" s="11">
        <v>1</v>
      </c>
      <c r="H18" s="11"/>
      <c r="I18" s="11"/>
      <c r="J18" s="9">
        <f t="shared" si="0"/>
        <v>2</v>
      </c>
      <c r="K18" s="9">
        <v>2</v>
      </c>
      <c r="L18" s="9">
        <f t="shared" si="1"/>
        <v>0</v>
      </c>
    </row>
    <row r="19" spans="1:12" ht="18.75">
      <c r="A19" s="6">
        <v>12</v>
      </c>
      <c r="B19" s="12" t="s">
        <v>28</v>
      </c>
      <c r="C19" s="6" t="s">
        <v>27</v>
      </c>
      <c r="D19" s="9">
        <f>VLOOKUP($B19,'0504'!$B19:$K33,10,0)</f>
        <v>1</v>
      </c>
      <c r="E19" s="14"/>
      <c r="F19" s="11"/>
      <c r="G19" s="11">
        <v>1</v>
      </c>
      <c r="H19" s="11"/>
      <c r="I19" s="11"/>
      <c r="J19" s="9">
        <f t="shared" si="0"/>
        <v>0</v>
      </c>
      <c r="K19" s="9"/>
      <c r="L19" s="9">
        <f t="shared" si="1"/>
        <v>0</v>
      </c>
    </row>
    <row r="20" spans="1:12" ht="18.75">
      <c r="A20" s="6">
        <v>13</v>
      </c>
      <c r="B20" s="12" t="s">
        <v>29</v>
      </c>
      <c r="C20" s="6" t="s">
        <v>17</v>
      </c>
      <c r="D20" s="9">
        <f>VLOOKUP($B20,'0504'!$B20:$K34,10,0)</f>
        <v>0</v>
      </c>
      <c r="E20" s="14"/>
      <c r="F20" s="11"/>
      <c r="G20" s="11"/>
      <c r="H20" s="11"/>
      <c r="I20" s="11"/>
      <c r="J20" s="9"/>
      <c r="K20" s="9"/>
      <c r="L20" s="9"/>
    </row>
    <row r="21" spans="1:12" ht="18.75">
      <c r="A21" s="6">
        <v>14</v>
      </c>
      <c r="B21" s="20" t="s">
        <v>30</v>
      </c>
      <c r="C21" s="6" t="s">
        <v>17</v>
      </c>
      <c r="D21" s="9">
        <f>VLOOKUP($B21,'0504'!$B21:$K35,10,0)</f>
        <v>0</v>
      </c>
      <c r="E21" s="14"/>
      <c r="F21" s="11"/>
      <c r="G21" s="11"/>
      <c r="H21" s="11"/>
      <c r="I21" s="11"/>
      <c r="J21" s="9">
        <f>D21+E21-SUM(F21:I21)</f>
        <v>0</v>
      </c>
      <c r="K21" s="9"/>
      <c r="L21" s="9">
        <f t="shared" ref="L21" si="2">K21-J21</f>
        <v>0</v>
      </c>
    </row>
    <row r="22" spans="1:12" ht="18.75">
      <c r="A22" s="6">
        <v>15</v>
      </c>
      <c r="B22" s="20" t="s">
        <v>31</v>
      </c>
      <c r="C22" s="6" t="s">
        <v>17</v>
      </c>
      <c r="D22" s="9">
        <f>VLOOKUP($B22,'0504'!$B22:$K36,10,0)</f>
        <v>0</v>
      </c>
      <c r="E22" s="14"/>
      <c r="F22" s="11"/>
      <c r="G22" s="11"/>
      <c r="H22" s="11"/>
      <c r="I22" s="11"/>
      <c r="J22" s="9">
        <f>D22+E22-SUM(F22:I22)</f>
        <v>0</v>
      </c>
      <c r="K22" s="9"/>
      <c r="L22" s="9">
        <f>K22-J22</f>
        <v>0</v>
      </c>
    </row>
    <row r="23" spans="1:12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>
        <f>K23-J23</f>
        <v>0</v>
      </c>
    </row>
    <row r="24" spans="1:12" ht="18.75">
      <c r="A24" s="6"/>
      <c r="B24" s="20" t="s">
        <v>32</v>
      </c>
      <c r="C24" s="6"/>
      <c r="D24" s="9">
        <f t="shared" ref="D24" si="3">SUM(D8:D22)</f>
        <v>958</v>
      </c>
      <c r="E24" s="9">
        <f t="shared" ref="E24:K24" si="4">SUM(E8:E22)</f>
        <v>725</v>
      </c>
      <c r="F24" s="9">
        <f t="shared" si="4"/>
        <v>30</v>
      </c>
      <c r="G24" s="9">
        <f t="shared" si="4"/>
        <v>328</v>
      </c>
      <c r="H24" s="9">
        <f t="shared" si="4"/>
        <v>239</v>
      </c>
      <c r="I24" s="9">
        <f t="shared" si="4"/>
        <v>0</v>
      </c>
      <c r="J24" s="9">
        <f t="shared" si="4"/>
        <v>1086</v>
      </c>
      <c r="K24" s="9">
        <f t="shared" si="4"/>
        <v>1086</v>
      </c>
      <c r="L24" s="9">
        <f>K24-J24</f>
        <v>0</v>
      </c>
    </row>
    <row r="25" spans="1:12" ht="18.75">
      <c r="A25" s="22"/>
      <c r="B25" s="23"/>
      <c r="C25" s="22"/>
      <c r="D25" s="24"/>
      <c r="E25" s="24"/>
      <c r="F25" s="25" t="s">
        <v>33</v>
      </c>
      <c r="G25" s="24"/>
      <c r="H25" s="24"/>
      <c r="I25" s="24"/>
      <c r="J25" s="24"/>
      <c r="K25" s="24"/>
      <c r="L25" s="24"/>
    </row>
    <row r="26" spans="1:12" ht="18.75">
      <c r="A26" s="6">
        <v>1</v>
      </c>
      <c r="B26" s="20" t="s">
        <v>34</v>
      </c>
      <c r="C26" s="6" t="s">
        <v>17</v>
      </c>
      <c r="D26" s="9">
        <f>VLOOKUP($B26,'0504'!$B26:$K29,10,0)</f>
        <v>195</v>
      </c>
      <c r="E26" s="10">
        <v>129</v>
      </c>
      <c r="F26" s="9">
        <v>115</v>
      </c>
      <c r="G26" s="11"/>
      <c r="H26" s="9"/>
      <c r="I26" s="9"/>
      <c r="J26" s="9">
        <f t="shared" ref="J26" si="5">D26+E26-F26</f>
        <v>209</v>
      </c>
      <c r="K26" s="9">
        <v>209</v>
      </c>
      <c r="L26" s="9">
        <f t="shared" ref="L26" si="6">K26-J26</f>
        <v>0</v>
      </c>
    </row>
    <row r="27" spans="1:12" ht="18.75">
      <c r="A27" s="6">
        <v>2</v>
      </c>
      <c r="B27" s="20" t="s">
        <v>35</v>
      </c>
      <c r="C27" s="6" t="s">
        <v>17</v>
      </c>
      <c r="D27" s="9">
        <f>VLOOKUP($B27,'0504'!$B27:$K30,10,0)</f>
        <v>92</v>
      </c>
      <c r="E27" s="9">
        <v>60</v>
      </c>
      <c r="F27" s="9">
        <v>45</v>
      </c>
      <c r="G27" s="11"/>
      <c r="H27" s="9"/>
      <c r="I27" s="9"/>
      <c r="J27" s="9">
        <f>D27+E27-F27</f>
        <v>107</v>
      </c>
      <c r="K27" s="9">
        <v>107</v>
      </c>
      <c r="L27" s="9">
        <f>K27-J27</f>
        <v>0</v>
      </c>
    </row>
    <row r="28" spans="1:12" ht="18.75">
      <c r="A28" s="6">
        <v>3</v>
      </c>
      <c r="B28" s="20" t="s">
        <v>36</v>
      </c>
      <c r="C28" s="6" t="s">
        <v>17</v>
      </c>
      <c r="D28" s="9">
        <f>VLOOKUP($B28,'0504'!$B28:$K31,10,0)</f>
        <v>329</v>
      </c>
      <c r="E28" s="9">
        <v>140</v>
      </c>
      <c r="F28" s="9">
        <v>151</v>
      </c>
      <c r="G28" s="11"/>
      <c r="H28" s="9"/>
      <c r="I28" s="9"/>
      <c r="J28" s="9">
        <f>D28+E28-F28</f>
        <v>318</v>
      </c>
      <c r="K28" s="9">
        <v>318</v>
      </c>
      <c r="L28" s="9">
        <f>K28-J28</f>
        <v>0</v>
      </c>
    </row>
    <row r="29" spans="1:12" ht="18.75">
      <c r="A29" s="6">
        <v>4</v>
      </c>
      <c r="B29" s="20" t="s">
        <v>37</v>
      </c>
      <c r="C29" s="6" t="s">
        <v>17</v>
      </c>
      <c r="D29" s="9">
        <f>VLOOKUP($B29,'0504'!$B29:$K32,10,0)</f>
        <v>118</v>
      </c>
      <c r="E29" s="9">
        <v>100</v>
      </c>
      <c r="F29" s="9">
        <v>80</v>
      </c>
      <c r="G29" s="11"/>
      <c r="H29" s="9"/>
      <c r="I29" s="9"/>
      <c r="J29" s="9">
        <f>D29+E29-F29</f>
        <v>138</v>
      </c>
      <c r="K29" s="9">
        <v>138</v>
      </c>
      <c r="L29" s="9">
        <f>K29-J29</f>
        <v>0</v>
      </c>
    </row>
    <row r="30" spans="1:12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</row>
    <row r="31" spans="1:12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</row>
  </sheetData>
  <mergeCells count="12">
    <mergeCell ref="K6:K7"/>
    <mergeCell ref="L6:L7"/>
    <mergeCell ref="B2:L2"/>
    <mergeCell ref="A5:C5"/>
    <mergeCell ref="E5:L5"/>
    <mergeCell ref="A6:A7"/>
    <mergeCell ref="B6:B7"/>
    <mergeCell ref="C6:C7"/>
    <mergeCell ref="D6:D7"/>
    <mergeCell ref="E6:E7"/>
    <mergeCell ref="F6:I6"/>
    <mergeCell ref="J6:J7"/>
  </mergeCells>
  <conditionalFormatting sqref="D23">
    <cfRule type="cellIs" dxfId="3" priority="1" stopIfTrue="1" operator="lessThan">
      <formula>0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DATE(2015,5,29)</f>
        <v>42153</v>
      </c>
      <c r="E5" s="293">
        <f>D5+1</f>
        <v>42154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74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43</v>
      </c>
      <c r="H7" s="5" t="s">
        <v>55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VLOOKUP($B8,'2905'!$B8:$M22,11,0)</f>
        <v>156</v>
      </c>
      <c r="E8" s="10">
        <v>38</v>
      </c>
      <c r="F8" s="11">
        <v>30</v>
      </c>
      <c r="G8" s="11">
        <v>126</v>
      </c>
      <c r="H8" s="11"/>
      <c r="I8" s="11"/>
      <c r="J8" s="11"/>
      <c r="K8" s="9">
        <f>D8+E8-SUM(F8:J8)</f>
        <v>38</v>
      </c>
      <c r="L8" s="9">
        <v>38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VLOOKUP($B9,'2905'!$B9:$M23,11,0)</f>
        <v>110</v>
      </c>
      <c r="E9" s="14"/>
      <c r="F9" s="11"/>
      <c r="G9" s="11"/>
      <c r="H9" s="11"/>
      <c r="I9" s="11"/>
      <c r="J9" s="11"/>
      <c r="K9" s="9">
        <f t="shared" ref="K9:K20" si="1">D9+E9-SUM(F9:J9)</f>
        <v>110</v>
      </c>
      <c r="L9" s="9">
        <v>110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VLOOKUP($B10,'2905'!$B10:$M24,11,0)</f>
        <v>80</v>
      </c>
      <c r="E10" s="10">
        <v>123</v>
      </c>
      <c r="F10" s="11">
        <v>20</v>
      </c>
      <c r="G10" s="11">
        <v>60</v>
      </c>
      <c r="H10" s="11"/>
      <c r="I10" s="11"/>
      <c r="J10" s="11"/>
      <c r="K10" s="9">
        <f t="shared" si="1"/>
        <v>123</v>
      </c>
      <c r="L10" s="9">
        <v>123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VLOOKUP($B11,'2905'!$B11:$M25,11,0)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VLOOKUP($B12,'2905'!$B12:$M26,11,0)</f>
        <v>238</v>
      </c>
      <c r="E12" s="14"/>
      <c r="F12" s="11">
        <v>10</v>
      </c>
      <c r="G12" s="11">
        <v>100</v>
      </c>
      <c r="H12" s="11"/>
      <c r="I12" s="11"/>
      <c r="J12" s="11"/>
      <c r="K12" s="9">
        <f t="shared" si="1"/>
        <v>128</v>
      </c>
      <c r="L12" s="9">
        <v>128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VLOOKUP($B13,'2905'!$B13:$M27,11,0)</f>
        <v>127</v>
      </c>
      <c r="E13" s="14"/>
      <c r="F13" s="11">
        <v>20</v>
      </c>
      <c r="G13" s="11">
        <v>50</v>
      </c>
      <c r="H13" s="11"/>
      <c r="I13" s="11"/>
      <c r="J13" s="11"/>
      <c r="K13" s="9">
        <f t="shared" si="1"/>
        <v>57</v>
      </c>
      <c r="L13" s="9">
        <v>57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VLOOKUP($B14,'2905'!$B14:$M28,11,0)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VLOOKUP($B15,'2905'!$B15:$M29,11,0)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VLOOKUP($B16,'2905'!$B16:$M30,11,0)</f>
        <v>4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VLOOKUP($B17,'2905'!$B17:$M31,11,0)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VLOOKUP($B18,'2905'!$B18:$M32,11,0)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VLOOKUP($B19,'2905'!$B19:$M33,11,0)</f>
        <v>5</v>
      </c>
      <c r="E19" s="14"/>
      <c r="F19" s="11"/>
      <c r="G19" s="11">
        <v>2</v>
      </c>
      <c r="H19" s="11">
        <v>1</v>
      </c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VLOOKUP($B20,'2905'!$B20:$M34,11,0)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VLOOKUP($B21,'2905'!$B21:$M35,11,0)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VLOOKUP($B22,'2905'!$B22:$M36,11,0)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VLOOKUP($B24,'2905'!$B24:$M38,11,0)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VLOOKUP($B26,'2905'!$B26:$M40,11,0)</f>
        <v>187</v>
      </c>
      <c r="E26" s="10">
        <v>132</v>
      </c>
      <c r="F26" s="9">
        <v>90</v>
      </c>
      <c r="G26" s="11"/>
      <c r="H26" s="9"/>
      <c r="I26" s="9"/>
      <c r="J26" s="9"/>
      <c r="K26" s="9">
        <f t="shared" ref="K26" si="4">D26+E26-F26</f>
        <v>229</v>
      </c>
      <c r="L26" s="9">
        <v>229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VLOOKUP($B27,'2905'!$B27:$M41,11,0)</f>
        <v>129</v>
      </c>
      <c r="E27" s="9"/>
      <c r="F27" s="9">
        <v>35</v>
      </c>
      <c r="G27" s="11"/>
      <c r="H27" s="9"/>
      <c r="I27" s="9"/>
      <c r="J27" s="9"/>
      <c r="K27" s="9">
        <f>D27+E27-F27</f>
        <v>94</v>
      </c>
      <c r="L27" s="9">
        <v>94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VLOOKUP($B28,'2905'!$B28:$M42,11,0)</f>
        <v>351</v>
      </c>
      <c r="E28" s="9">
        <v>147</v>
      </c>
      <c r="F28" s="9">
        <v>119</v>
      </c>
      <c r="G28" s="11"/>
      <c r="H28" s="9"/>
      <c r="I28" s="9"/>
      <c r="J28" s="9"/>
      <c r="K28" s="9">
        <f>D28+E28-F28</f>
        <v>379</v>
      </c>
      <c r="L28" s="9">
        <v>379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VLOOKUP($B29,'2905'!$B29:$M43,11,0)</f>
        <v>212</v>
      </c>
      <c r="E29" s="9"/>
      <c r="F29" s="9">
        <v>57</v>
      </c>
      <c r="G29" s="11"/>
      <c r="H29" s="9"/>
      <c r="I29" s="9"/>
      <c r="J29" s="9"/>
      <c r="K29" s="9">
        <f>D29+E29-F29</f>
        <v>155</v>
      </c>
      <c r="L29" s="9">
        <v>155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L27" sqref="L27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DATE(2015,5,30)</f>
        <v>42154</v>
      </c>
      <c r="E5" s="293">
        <f>D5+1</f>
        <v>42155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74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/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VLOOKUP($B8,'3005'!$B8:$M22,11,0)</f>
        <v>38</v>
      </c>
      <c r="E8" s="10">
        <f>90+88+45</f>
        <v>223</v>
      </c>
      <c r="F8" s="11">
        <v>38</v>
      </c>
      <c r="G8" s="11"/>
      <c r="H8" s="11"/>
      <c r="I8" s="11"/>
      <c r="J8" s="11"/>
      <c r="K8" s="9">
        <f>D8+E8-SUM(F8:J8)</f>
        <v>223</v>
      </c>
      <c r="L8" s="9">
        <v>223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VLOOKUP($B9,'3005'!$B9:$M23,11,0)</f>
        <v>110</v>
      </c>
      <c r="E9" s="14"/>
      <c r="F9" s="11"/>
      <c r="G9" s="11"/>
      <c r="H9" s="11"/>
      <c r="I9" s="11"/>
      <c r="J9" s="11"/>
      <c r="K9" s="9">
        <f t="shared" ref="K9:K20" si="1">D9+E9-SUM(F9:J9)</f>
        <v>110</v>
      </c>
      <c r="L9" s="9">
        <v>110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VLOOKUP($B10,'3005'!$B10:$M24,11,0)</f>
        <v>123</v>
      </c>
      <c r="E10" s="10">
        <v>84</v>
      </c>
      <c r="F10" s="11"/>
      <c r="G10" s="11"/>
      <c r="H10" s="11"/>
      <c r="I10" s="11"/>
      <c r="J10" s="11"/>
      <c r="K10" s="9">
        <f t="shared" si="1"/>
        <v>207</v>
      </c>
      <c r="L10" s="9">
        <f>123+84</f>
        <v>207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VLOOKUP($B11,'3005'!$B11:$M25,11,0)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VLOOKUP($B12,'3005'!$B12:$M26,11,0)</f>
        <v>128</v>
      </c>
      <c r="E12" s="14">
        <v>122</v>
      </c>
      <c r="F12" s="11"/>
      <c r="G12" s="11"/>
      <c r="H12" s="11"/>
      <c r="I12" s="11"/>
      <c r="J12" s="11"/>
      <c r="K12" s="9">
        <f t="shared" si="1"/>
        <v>250</v>
      </c>
      <c r="L12" s="9">
        <f>128+122</f>
        <v>250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VLOOKUP($B13,'3005'!$B13:$M27,11,0)</f>
        <v>57</v>
      </c>
      <c r="E13" s="14">
        <v>76</v>
      </c>
      <c r="F13" s="11">
        <v>20</v>
      </c>
      <c r="G13" s="11"/>
      <c r="H13" s="11"/>
      <c r="I13" s="11"/>
      <c r="J13" s="11"/>
      <c r="K13" s="9">
        <f t="shared" si="1"/>
        <v>113</v>
      </c>
      <c r="L13" s="9">
        <f>37+76</f>
        <v>113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VLOOKUP($B14,'3005'!$B14:$M28,11,0)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VLOOKUP($B15,'3005'!$B15:$M29,11,0)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VLOOKUP($B16,'3005'!$B16:$M30,11,0)</f>
        <v>4</v>
      </c>
      <c r="E16" s="14">
        <v>2</v>
      </c>
      <c r="F16" s="11"/>
      <c r="G16" s="11"/>
      <c r="H16" s="11"/>
      <c r="I16" s="11"/>
      <c r="J16" s="11"/>
      <c r="K16" s="9">
        <f t="shared" si="1"/>
        <v>6</v>
      </c>
      <c r="L16" s="9">
        <v>6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VLOOKUP($B17,'3005'!$B17:$M31,11,0)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VLOOKUP($B18,'3005'!$B18:$M32,11,0)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VLOOKUP($B19,'3005'!$B19:$M33,11,0)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VLOOKUP($B20,'3005'!$B20:$M34,11,0)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VLOOKUP($B21,'3005'!$B21:$M35,11,0)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VLOOKUP($B22,'3005'!$B22:$M36,11,0)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VLOOKUP($B24,'3005'!$B24:$M38,11,0)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VLOOKUP($B26,'3005'!$B26:$M40,11,0)</f>
        <v>229</v>
      </c>
      <c r="E26" s="10">
        <v>160</v>
      </c>
      <c r="F26" s="9">
        <v>100</v>
      </c>
      <c r="G26" s="11"/>
      <c r="H26" s="9"/>
      <c r="I26" s="9"/>
      <c r="J26" s="9"/>
      <c r="K26" s="9">
        <f t="shared" ref="K26" si="4">D26+E26-F26</f>
        <v>289</v>
      </c>
      <c r="L26" s="9">
        <v>289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VLOOKUP($B27,'3005'!$B27:$M41,11,0)</f>
        <v>94</v>
      </c>
      <c r="E27" s="9">
        <v>61</v>
      </c>
      <c r="F27" s="9">
        <v>34</v>
      </c>
      <c r="G27" s="11"/>
      <c r="H27" s="9"/>
      <c r="I27" s="9"/>
      <c r="J27" s="9"/>
      <c r="K27" s="9">
        <f>D27+E27-F27</f>
        <v>121</v>
      </c>
      <c r="L27" s="9">
        <v>121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VLOOKUP($B28,'3005'!$B28:$M42,11,0)</f>
        <v>379</v>
      </c>
      <c r="E28" s="9">
        <v>153</v>
      </c>
      <c r="F28" s="9">
        <v>84</v>
      </c>
      <c r="G28" s="11"/>
      <c r="H28" s="9"/>
      <c r="I28" s="9"/>
      <c r="J28" s="9"/>
      <c r="K28" s="9">
        <f>D28+E28-F28</f>
        <v>448</v>
      </c>
      <c r="L28" s="9">
        <v>448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VLOOKUP($B29,'3005'!$B29:$M43,11,0)</f>
        <v>155</v>
      </c>
      <c r="E29" s="9"/>
      <c r="F29" s="9">
        <v>55</v>
      </c>
      <c r="G29" s="11"/>
      <c r="H29" s="9"/>
      <c r="I29" s="9"/>
      <c r="J29" s="9"/>
      <c r="K29" s="9">
        <f>D29+E29-F29</f>
        <v>100</v>
      </c>
      <c r="L29" s="9">
        <v>100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2" workbookViewId="0">
      <pane xSplit="1" topLeftCell="F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DATE(2015,5,31)</f>
        <v>42155</v>
      </c>
      <c r="E5" s="293">
        <f>D5+1</f>
        <v>42156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75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45</v>
      </c>
      <c r="H7" s="5" t="s">
        <v>62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VLOOKUP($B8,'3105'!$B8:$M22,11,0)</f>
        <v>223</v>
      </c>
      <c r="E8" s="10">
        <f>92+94</f>
        <v>186</v>
      </c>
      <c r="F8" s="11">
        <v>50</v>
      </c>
      <c r="G8" s="11">
        <v>70</v>
      </c>
      <c r="H8" s="11"/>
      <c r="I8" s="11"/>
      <c r="J8" s="11"/>
      <c r="K8" s="9">
        <f>D8+E8-SUM(F8:J8)</f>
        <v>289</v>
      </c>
      <c r="L8" s="9">
        <v>289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VLOOKUP($B9,'3105'!$B9:$M23,11,0)</f>
        <v>110</v>
      </c>
      <c r="E9" s="14"/>
      <c r="F9" s="11"/>
      <c r="G9" s="11">
        <v>40</v>
      </c>
      <c r="H9" s="11">
        <v>20</v>
      </c>
      <c r="I9" s="11"/>
      <c r="J9" s="11"/>
      <c r="K9" s="9">
        <f t="shared" ref="K9:K20" si="1">D9+E9-SUM(F9:J9)</f>
        <v>50</v>
      </c>
      <c r="L9" s="9">
        <v>50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VLOOKUP($B10,'3105'!$B10:$M24,11,0)</f>
        <v>207</v>
      </c>
      <c r="E10" s="10">
        <v>84</v>
      </c>
      <c r="F10" s="11">
        <v>20</v>
      </c>
      <c r="G10" s="11">
        <v>68</v>
      </c>
      <c r="H10" s="11">
        <v>30</v>
      </c>
      <c r="I10" s="11"/>
      <c r="J10" s="11"/>
      <c r="K10" s="9">
        <f t="shared" si="1"/>
        <v>173</v>
      </c>
      <c r="L10" s="9">
        <v>173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VLOOKUP($B11,'3105'!$B11:$M25,11,0)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VLOOKUP($B12,'3105'!$B12:$M26,11,0)</f>
        <v>250</v>
      </c>
      <c r="E12" s="14">
        <v>113</v>
      </c>
      <c r="F12" s="11">
        <v>20</v>
      </c>
      <c r="G12" s="11">
        <v>68</v>
      </c>
      <c r="H12" s="11">
        <v>30</v>
      </c>
      <c r="I12" s="11"/>
      <c r="J12" s="11"/>
      <c r="K12" s="9">
        <f t="shared" si="1"/>
        <v>245</v>
      </c>
      <c r="L12" s="9">
        <f>113+20+113</f>
        <v>246</v>
      </c>
      <c r="M12" s="9">
        <f t="shared" si="0"/>
        <v>1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VLOOKUP($B13,'3105'!$B13:$M27,11,0)</f>
        <v>113</v>
      </c>
      <c r="E13" s="14">
        <v>123</v>
      </c>
      <c r="F13" s="11">
        <v>20</v>
      </c>
      <c r="G13" s="11"/>
      <c r="H13" s="11">
        <v>30</v>
      </c>
      <c r="I13" s="11"/>
      <c r="J13" s="11"/>
      <c r="K13" s="9">
        <f t="shared" si="1"/>
        <v>186</v>
      </c>
      <c r="L13" s="9">
        <v>186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VLOOKUP($B14,'3105'!$B14:$M28,11,0)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VLOOKUP($B15,'3105'!$B15:$M29,11,0)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VLOOKUP($B16,'3105'!$B16:$M30,11,0)</f>
        <v>6</v>
      </c>
      <c r="E16" s="14">
        <v>2</v>
      </c>
      <c r="F16" s="11"/>
      <c r="G16" s="11"/>
      <c r="H16" s="11">
        <v>1</v>
      </c>
      <c r="I16" s="11"/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VLOOKUP($B17,'3105'!$B17:$M31,11,0)</f>
        <v>2</v>
      </c>
      <c r="E17" s="14"/>
      <c r="F17" s="11"/>
      <c r="G17" s="11">
        <v>1</v>
      </c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VLOOKUP($B18,'3105'!$B18:$M32,11,0)</f>
        <v>1</v>
      </c>
      <c r="E18" s="14"/>
      <c r="F18" s="11"/>
      <c r="G18" s="11"/>
      <c r="H18" s="11">
        <v>1</v>
      </c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VLOOKUP($B19,'3105'!$B19:$M33,11,0)</f>
        <v>2</v>
      </c>
      <c r="E19" s="14"/>
      <c r="F19" s="11"/>
      <c r="G19" s="11"/>
      <c r="H19" s="11">
        <v>1</v>
      </c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VLOOKUP($B20,'3105'!$B20:$M34,11,0)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VLOOKUP($B21,'3105'!$B21:$M35,11,0)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VLOOKUP($B22,'3105'!$B22:$M36,11,0)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VLOOKUP($B24,'3105'!$B24:$M38,11,0)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VLOOKUP($B26,'3105'!$B26:$M40,11,0)</f>
        <v>289</v>
      </c>
      <c r="E26" s="10">
        <v>62</v>
      </c>
      <c r="F26" s="9">
        <v>145</v>
      </c>
      <c r="G26" s="11"/>
      <c r="H26" s="9"/>
      <c r="I26" s="9"/>
      <c r="J26" s="9"/>
      <c r="K26" s="9">
        <f t="shared" ref="K26" si="4">D26+E26-F26</f>
        <v>206</v>
      </c>
      <c r="L26" s="9">
        <v>206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VLOOKUP($B27,'3105'!$B27:$M41,11,0)</f>
        <v>121</v>
      </c>
      <c r="E27" s="9"/>
      <c r="F27" s="9">
        <v>36</v>
      </c>
      <c r="G27" s="11"/>
      <c r="H27" s="9"/>
      <c r="I27" s="9"/>
      <c r="J27" s="9"/>
      <c r="K27" s="9">
        <f>D27+E27-F27</f>
        <v>85</v>
      </c>
      <c r="L27" s="9">
        <v>85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VLOOKUP($B28,'3105'!$B28:$M42,11,0)</f>
        <v>448</v>
      </c>
      <c r="E28" s="9">
        <v>75</v>
      </c>
      <c r="F28" s="9">
        <v>96</v>
      </c>
      <c r="G28" s="11"/>
      <c r="H28" s="9"/>
      <c r="I28" s="9"/>
      <c r="J28" s="9"/>
      <c r="K28" s="9">
        <f>D28+E28-F28</f>
        <v>427</v>
      </c>
      <c r="L28" s="9">
        <v>427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VLOOKUP($B29,'3105'!$B29:$M43,11,0)</f>
        <v>100</v>
      </c>
      <c r="E29" s="9">
        <v>75</v>
      </c>
      <c r="F29" s="9">
        <v>69</v>
      </c>
      <c r="G29" s="11"/>
      <c r="H29" s="9"/>
      <c r="I29" s="9"/>
      <c r="J29" s="9"/>
      <c r="K29" s="9">
        <f>D29+E29-F29</f>
        <v>106</v>
      </c>
      <c r="L29" s="9">
        <v>106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8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DATE(2015,6,1)</f>
        <v>42156</v>
      </c>
      <c r="E5" s="293">
        <f>D5+1</f>
        <v>42157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76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54</v>
      </c>
      <c r="H7" s="5" t="s">
        <v>52</v>
      </c>
      <c r="I7" s="5" t="s">
        <v>42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VLOOKUP($B8,'0106'!$B8:$M22,11,0)</f>
        <v>289</v>
      </c>
      <c r="E8" s="10">
        <f>90+100+101</f>
        <v>291</v>
      </c>
      <c r="F8" s="11">
        <v>50</v>
      </c>
      <c r="G8" s="11">
        <v>70</v>
      </c>
      <c r="H8" s="11">
        <v>146</v>
      </c>
      <c r="I8" s="11"/>
      <c r="J8" s="11"/>
      <c r="K8" s="9">
        <f>D8+E8-SUM(F8:J8)</f>
        <v>314</v>
      </c>
      <c r="L8" s="9">
        <f>20+291</f>
        <v>311</v>
      </c>
      <c r="M8" s="9">
        <f t="shared" ref="M8:M19" si="0">L8-K8</f>
        <v>-3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VLOOKUP($B9,'0106'!$B9:$M23,11,0)</f>
        <v>50</v>
      </c>
      <c r="E9" s="14"/>
      <c r="F9" s="11"/>
      <c r="G9" s="11">
        <v>50</v>
      </c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VLOOKUP($B10,'0106'!$B10:$M24,11,0)</f>
        <v>173</v>
      </c>
      <c r="E10" s="10">
        <v>163</v>
      </c>
      <c r="F10" s="11">
        <v>20</v>
      </c>
      <c r="G10" s="11">
        <v>50</v>
      </c>
      <c r="H10" s="11">
        <v>104</v>
      </c>
      <c r="I10" s="11"/>
      <c r="J10" s="11"/>
      <c r="K10" s="9">
        <f t="shared" si="1"/>
        <v>162</v>
      </c>
      <c r="L10" s="9">
        <v>163</v>
      </c>
      <c r="M10" s="9">
        <f t="shared" si="0"/>
        <v>1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VLOOKUP($B11,'0106'!$B11:$M25,11,0)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VLOOKUP($B12,'0106'!$B12:$M26,11,0)</f>
        <v>246</v>
      </c>
      <c r="E12" s="14">
        <v>170</v>
      </c>
      <c r="F12" s="11">
        <v>29</v>
      </c>
      <c r="G12" s="11">
        <v>40</v>
      </c>
      <c r="H12" s="11">
        <v>150</v>
      </c>
      <c r="I12" s="11"/>
      <c r="J12" s="11"/>
      <c r="K12" s="9">
        <f t="shared" si="1"/>
        <v>197</v>
      </c>
      <c r="L12" s="9">
        <f>27+170</f>
        <v>197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VLOOKUP($B13,'0106'!$B13:$M27,11,0)</f>
        <v>186</v>
      </c>
      <c r="E13" s="14">
        <v>73</v>
      </c>
      <c r="F13" s="11">
        <v>20</v>
      </c>
      <c r="G13" s="11">
        <v>57</v>
      </c>
      <c r="H13" s="11">
        <v>109</v>
      </c>
      <c r="I13" s="11"/>
      <c r="J13" s="11"/>
      <c r="K13" s="9">
        <f t="shared" si="1"/>
        <v>73</v>
      </c>
      <c r="L13" s="9">
        <v>73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VLOOKUP($B14,'0106'!$B14:$M28,11,0)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VLOOKUP($B15,'0106'!$B15:$M29,11,0)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VLOOKUP($B16,'0106'!$B16:$M30,11,0)</f>
        <v>7</v>
      </c>
      <c r="E16" s="14">
        <v>2</v>
      </c>
      <c r="F16" s="11">
        <v>1</v>
      </c>
      <c r="G16" s="11">
        <v>2</v>
      </c>
      <c r="H16" s="11">
        <v>2</v>
      </c>
      <c r="I16" s="11">
        <v>2</v>
      </c>
      <c r="J16" s="11"/>
      <c r="K16" s="9">
        <f t="shared" si="1"/>
        <v>2</v>
      </c>
      <c r="L16" s="9">
        <v>2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VLOOKUP($B17,'0106'!$B17:$M31,11,0)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VLOOKUP($B18,'0106'!$B18:$M32,11,0)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VLOOKUP($B19,'0106'!$B19:$M33,11,0)</f>
        <v>1</v>
      </c>
      <c r="E19" s="14"/>
      <c r="F19" s="11"/>
      <c r="G19" s="11"/>
      <c r="H19" s="11"/>
      <c r="I19" s="11">
        <v>1</v>
      </c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VLOOKUP($B20,'0106'!$B20:$M34,11,0)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VLOOKUP($B21,'0106'!$B21:$M35,11,0)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VLOOKUP($B22,'0106'!$B22:$M36,11,0)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VLOOKUP($B24,'0106'!$B24:$M38,11,0)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VLOOKUP($B26,'0106'!$B26:$M40,11,0)</f>
        <v>206</v>
      </c>
      <c r="E26" s="10">
        <v>71</v>
      </c>
      <c r="F26" s="9">
        <v>61</v>
      </c>
      <c r="G26" s="11"/>
      <c r="H26" s="9"/>
      <c r="I26" s="9"/>
      <c r="J26" s="9"/>
      <c r="K26" s="9">
        <f t="shared" ref="K26" si="4">D26+E26-F26</f>
        <v>216</v>
      </c>
      <c r="L26" s="9">
        <v>216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VLOOKUP($B27,'0106'!$B27:$M41,11,0)</f>
        <v>85</v>
      </c>
      <c r="E27" s="9">
        <v>83</v>
      </c>
      <c r="F27" s="9">
        <v>85</v>
      </c>
      <c r="G27" s="11"/>
      <c r="H27" s="9"/>
      <c r="I27" s="9"/>
      <c r="J27" s="9"/>
      <c r="K27" s="9">
        <f>D27+E27-F27</f>
        <v>83</v>
      </c>
      <c r="L27" s="9">
        <v>83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VLOOKUP($B28,'0106'!$B28:$M42,11,0)</f>
        <v>427</v>
      </c>
      <c r="E28" s="9">
        <v>140</v>
      </c>
      <c r="F28" s="9">
        <v>159</v>
      </c>
      <c r="G28" s="11"/>
      <c r="H28" s="9"/>
      <c r="I28" s="9"/>
      <c r="J28" s="9"/>
      <c r="K28" s="9">
        <f>D28+E28-F28</f>
        <v>408</v>
      </c>
      <c r="L28" s="9">
        <v>408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VLOOKUP($B29,'0106'!$B29:$M43,11,0)</f>
        <v>106</v>
      </c>
      <c r="E29" s="9">
        <v>42</v>
      </c>
      <c r="F29" s="9">
        <v>46</v>
      </c>
      <c r="G29" s="11"/>
      <c r="H29" s="9"/>
      <c r="I29" s="9"/>
      <c r="J29" s="9"/>
      <c r="K29" s="9">
        <f>D29+E29-F29</f>
        <v>102</v>
      </c>
      <c r="L29" s="9">
        <v>102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9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DATE(2015,6,2)</f>
        <v>42157</v>
      </c>
      <c r="E5" s="293">
        <f>D5+1</f>
        <v>42158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78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39</v>
      </c>
      <c r="H7" s="5" t="s">
        <v>40</v>
      </c>
      <c r="I7" s="5" t="s">
        <v>38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VLOOKUP($B8,'0206'!$B8:$M22,11,0)</f>
        <v>311</v>
      </c>
      <c r="E8" s="10">
        <v>71</v>
      </c>
      <c r="F8" s="11">
        <v>40</v>
      </c>
      <c r="G8" s="11">
        <v>20</v>
      </c>
      <c r="H8" s="11">
        <v>20</v>
      </c>
      <c r="I8" s="11">
        <v>20</v>
      </c>
      <c r="J8" s="11"/>
      <c r="K8" s="9">
        <f>D8+E8-SUM(F8:J8)</f>
        <v>282</v>
      </c>
      <c r="L8" s="9">
        <f>211+71</f>
        <v>282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VLOOKUP($B9,'0206'!$B9:$M23,11,0)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VLOOKUP($B10,'0206'!$B10:$M24,11,0)</f>
        <v>163</v>
      </c>
      <c r="E10" s="10">
        <v>163</v>
      </c>
      <c r="F10" s="11">
        <v>20</v>
      </c>
      <c r="G10" s="11">
        <v>40</v>
      </c>
      <c r="H10" s="11">
        <v>80</v>
      </c>
      <c r="I10" s="11">
        <v>20</v>
      </c>
      <c r="J10" s="11"/>
      <c r="K10" s="9">
        <f t="shared" si="1"/>
        <v>166</v>
      </c>
      <c r="L10" s="9">
        <f>3+163</f>
        <v>166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VLOOKUP($B11,'0206'!$B11:$M25,11,0)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VLOOKUP($B12,'0206'!$B12:$M26,11,0)</f>
        <v>197</v>
      </c>
      <c r="E12" s="14">
        <v>124</v>
      </c>
      <c r="F12" s="11">
        <v>27</v>
      </c>
      <c r="G12" s="11">
        <v>60</v>
      </c>
      <c r="H12" s="11">
        <v>70</v>
      </c>
      <c r="I12" s="11">
        <v>20</v>
      </c>
      <c r="J12" s="11"/>
      <c r="K12" s="9">
        <f t="shared" si="1"/>
        <v>144</v>
      </c>
      <c r="L12" s="9">
        <f>20+124</f>
        <v>144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VLOOKUP($B13,'0206'!$B13:$M27,11,0)</f>
        <v>73</v>
      </c>
      <c r="E13" s="14">
        <v>115</v>
      </c>
      <c r="F13" s="11">
        <v>20</v>
      </c>
      <c r="G13" s="11">
        <v>40</v>
      </c>
      <c r="H13" s="11">
        <v>10</v>
      </c>
      <c r="I13" s="11"/>
      <c r="J13" s="11"/>
      <c r="K13" s="9">
        <f t="shared" si="1"/>
        <v>118</v>
      </c>
      <c r="L13" s="9">
        <f>3+115</f>
        <v>118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VLOOKUP($B14,'0206'!$B14:$M28,11,0)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VLOOKUP($B15,'0206'!$B15:$M29,11,0)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VLOOKUP($B16,'0206'!$B16:$M30,11,0)</f>
        <v>2</v>
      </c>
      <c r="E16" s="14">
        <v>4</v>
      </c>
      <c r="F16" s="11"/>
      <c r="G16" s="11">
        <v>1</v>
      </c>
      <c r="H16" s="11">
        <v>1</v>
      </c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VLOOKUP($B17,'0206'!$B17:$M31,11,0)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VLOOKUP($B18,'0206'!$B18:$M32,11,0)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VLOOKUP($B19,'0206'!$B19:$M33,11,0)</f>
        <v>0</v>
      </c>
      <c r="E19" s="14">
        <v>1</v>
      </c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VLOOKUP($B20,'0206'!$B20:$M34,11,0)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VLOOKUP($B21,'0206'!$B21:$M35,11,0)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VLOOKUP($B22,'0206'!$B22:$M36,11,0)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VLOOKUP($B24,'0206'!$B24:$M38,11,0)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VLOOKUP($B26,'0206'!$B26:$M40,11,0)</f>
        <v>216</v>
      </c>
      <c r="E26" s="10">
        <v>123</v>
      </c>
      <c r="F26" s="9">
        <v>110</v>
      </c>
      <c r="G26" s="11"/>
      <c r="H26" s="9"/>
      <c r="I26" s="9"/>
      <c r="J26" s="9"/>
      <c r="K26" s="9">
        <f t="shared" ref="K26" si="4">D26+E26-F26</f>
        <v>229</v>
      </c>
      <c r="L26" s="9">
        <v>229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VLOOKUP($B27,'0206'!$B27:$M41,11,0)</f>
        <v>83</v>
      </c>
      <c r="E27" s="9">
        <v>59</v>
      </c>
      <c r="F27" s="9">
        <v>22</v>
      </c>
      <c r="G27" s="11"/>
      <c r="H27" s="9"/>
      <c r="I27" s="9"/>
      <c r="J27" s="9"/>
      <c r="K27" s="9">
        <f>D27+E27-F27</f>
        <v>120</v>
      </c>
      <c r="L27" s="9">
        <v>120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VLOOKUP($B28,'0206'!$B28:$M42,11,0)</f>
        <v>408</v>
      </c>
      <c r="E28" s="9">
        <v>144</v>
      </c>
      <c r="F28" s="9">
        <v>178</v>
      </c>
      <c r="G28" s="11"/>
      <c r="H28" s="9"/>
      <c r="I28" s="9"/>
      <c r="J28" s="9"/>
      <c r="K28" s="9">
        <f>D28+E28-F28</f>
        <v>374</v>
      </c>
      <c r="L28" s="9">
        <v>374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VLOOKUP($B29,'0206'!$B29:$M43,11,0)</f>
        <v>102</v>
      </c>
      <c r="E29" s="9">
        <v>74</v>
      </c>
      <c r="F29" s="9">
        <v>46</v>
      </c>
      <c r="G29" s="11"/>
      <c r="H29" s="9"/>
      <c r="I29" s="9"/>
      <c r="J29" s="9"/>
      <c r="K29" s="9">
        <f>D29+E29-F29</f>
        <v>130</v>
      </c>
      <c r="L29" s="9">
        <v>130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DATE(2015,6,3)</f>
        <v>42158</v>
      </c>
      <c r="E5" s="293">
        <f>D5+1</f>
        <v>42159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79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51</v>
      </c>
      <c r="H7" s="5" t="s">
        <v>52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VLOOKUP($B8,'0306'!$B8:$M22,11,0)</f>
        <v>282</v>
      </c>
      <c r="E8" s="10">
        <f>71+85</f>
        <v>156</v>
      </c>
      <c r="F8" s="11">
        <v>40</v>
      </c>
      <c r="G8" s="11">
        <v>130</v>
      </c>
      <c r="H8" s="11">
        <v>150</v>
      </c>
      <c r="I8" s="11"/>
      <c r="J8" s="11"/>
      <c r="K8" s="9">
        <f>D8+E8-SUM(F8:J8)</f>
        <v>118</v>
      </c>
      <c r="L8" s="9">
        <v>118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VLOOKUP($B9,'0306'!$B9:$M23,11,0)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VLOOKUP($B10,'0306'!$B10:$M24,11,0)</f>
        <v>166</v>
      </c>
      <c r="E10" s="10">
        <v>105</v>
      </c>
      <c r="F10" s="11">
        <v>20</v>
      </c>
      <c r="G10" s="11">
        <v>40</v>
      </c>
      <c r="H10" s="11">
        <v>126</v>
      </c>
      <c r="I10" s="11"/>
      <c r="J10" s="11"/>
      <c r="K10" s="9">
        <f t="shared" si="1"/>
        <v>85</v>
      </c>
      <c r="L10" s="9">
        <v>85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VLOOKUP($B11,'0306'!$B11:$M25,11,0)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VLOOKUP($B12,'0306'!$B12:$M26,11,0)</f>
        <v>144</v>
      </c>
      <c r="E12" s="14">
        <v>118</v>
      </c>
      <c r="F12" s="11">
        <v>30</v>
      </c>
      <c r="G12" s="11">
        <v>57</v>
      </c>
      <c r="H12" s="11">
        <v>85</v>
      </c>
      <c r="I12" s="11"/>
      <c r="J12" s="11"/>
      <c r="K12" s="9">
        <f t="shared" si="1"/>
        <v>90</v>
      </c>
      <c r="L12" s="9">
        <v>90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VLOOKUP($B13,'0306'!$B13:$M27,11,0)</f>
        <v>118</v>
      </c>
      <c r="E13" s="14">
        <v>83</v>
      </c>
      <c r="F13" s="11">
        <v>10</v>
      </c>
      <c r="G13" s="11">
        <v>50</v>
      </c>
      <c r="H13" s="11">
        <v>58</v>
      </c>
      <c r="I13" s="11"/>
      <c r="J13" s="11"/>
      <c r="K13" s="9">
        <f t="shared" si="1"/>
        <v>83</v>
      </c>
      <c r="L13" s="9">
        <v>83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VLOOKUP($B14,'0306'!$B14:$M28,11,0)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VLOOKUP($B15,'0306'!$B15:$M29,11,0)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VLOOKUP($B16,'0306'!$B16:$M30,11,0)</f>
        <v>4</v>
      </c>
      <c r="E16" s="14">
        <v>2</v>
      </c>
      <c r="F16" s="11"/>
      <c r="G16" s="11">
        <v>2</v>
      </c>
      <c r="H16" s="11">
        <v>2</v>
      </c>
      <c r="I16" s="11"/>
      <c r="J16" s="11"/>
      <c r="K16" s="9">
        <f t="shared" si="1"/>
        <v>2</v>
      </c>
      <c r="L16" s="9">
        <v>2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VLOOKUP($B17,'0306'!$B17:$M31,11,0)</f>
        <v>1</v>
      </c>
      <c r="E17" s="14">
        <v>2</v>
      </c>
      <c r="F17" s="11"/>
      <c r="G17" s="11">
        <v>1</v>
      </c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VLOOKUP($B18,'0306'!$B18:$M32,11,0)</f>
        <v>0</v>
      </c>
      <c r="E18" s="14">
        <v>1</v>
      </c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VLOOKUP($B19,'0306'!$B19:$M33,11,0)</f>
        <v>1</v>
      </c>
      <c r="E19" s="14">
        <v>2</v>
      </c>
      <c r="F19" s="11"/>
      <c r="G19" s="11">
        <v>1</v>
      </c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VLOOKUP($B20,'0306'!$B20:$M34,11,0)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VLOOKUP($B21,'0306'!$B21:$M35,11,0)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VLOOKUP($B22,'0306'!$B22:$M36,11,0)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VLOOKUP($B24,'0306'!$B24:$M38,11,0)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VLOOKUP($B26,'0306'!$B26:$M40,11,0)</f>
        <v>229</v>
      </c>
      <c r="E26" s="10">
        <v>129</v>
      </c>
      <c r="F26" s="9">
        <v>130</v>
      </c>
      <c r="G26" s="11"/>
      <c r="H26" s="9"/>
      <c r="I26" s="9"/>
      <c r="J26" s="9"/>
      <c r="K26" s="9">
        <f t="shared" ref="K26" si="4">D26+E26-F26</f>
        <v>228</v>
      </c>
      <c r="L26" s="9">
        <v>228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VLOOKUP($B27,'0306'!$B27:$M41,11,0)</f>
        <v>120</v>
      </c>
      <c r="E27" s="9">
        <v>69</v>
      </c>
      <c r="F27" s="9">
        <v>82</v>
      </c>
      <c r="G27" s="11"/>
      <c r="H27" s="9"/>
      <c r="I27" s="9"/>
      <c r="J27" s="9"/>
      <c r="K27" s="9">
        <f>D27+E27-F27</f>
        <v>107</v>
      </c>
      <c r="L27" s="9">
        <v>107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VLOOKUP($B28,'0306'!$B28:$M42,11,0)</f>
        <v>374</v>
      </c>
      <c r="E28" s="9">
        <v>224</v>
      </c>
      <c r="F28" s="9">
        <v>185</v>
      </c>
      <c r="G28" s="11"/>
      <c r="H28" s="9"/>
      <c r="I28" s="9"/>
      <c r="J28" s="9"/>
      <c r="K28" s="9">
        <f>D28+E28-F28</f>
        <v>413</v>
      </c>
      <c r="L28" s="9">
        <v>413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VLOOKUP($B29,'0306'!$B29:$M43,11,0)</f>
        <v>130</v>
      </c>
      <c r="E29" s="9">
        <v>88</v>
      </c>
      <c r="F29" s="9">
        <v>93</v>
      </c>
      <c r="G29" s="11"/>
      <c r="H29" s="9"/>
      <c r="I29" s="9"/>
      <c r="J29" s="9"/>
      <c r="K29" s="9">
        <f>D29+E29-F29</f>
        <v>125</v>
      </c>
      <c r="L29" s="9">
        <v>125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9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DATE(2015,6,4)</f>
        <v>42159</v>
      </c>
      <c r="E5" s="293">
        <f>D5+1</f>
        <v>42160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79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42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VLOOKUP($B8,'0406'!$B8:$M22,11,0)</f>
        <v>118</v>
      </c>
      <c r="E8" s="10">
        <f>88+110</f>
        <v>198</v>
      </c>
      <c r="F8" s="11">
        <v>40</v>
      </c>
      <c r="G8" s="11">
        <v>100</v>
      </c>
      <c r="H8" s="11"/>
      <c r="I8" s="11"/>
      <c r="J8" s="11"/>
      <c r="K8" s="9">
        <f>D8+E8-SUM(F8:J8)</f>
        <v>176</v>
      </c>
      <c r="L8" s="9">
        <v>176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VLOOKUP($B9,'0406'!$B9:$M23,11,0)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VLOOKUP($B10,'0406'!$B10:$M24,11,0)</f>
        <v>85</v>
      </c>
      <c r="E10" s="10">
        <v>127</v>
      </c>
      <c r="F10" s="11">
        <v>20</v>
      </c>
      <c r="G10" s="11">
        <v>65</v>
      </c>
      <c r="H10" s="11"/>
      <c r="I10" s="11"/>
      <c r="J10" s="11"/>
      <c r="K10" s="9">
        <f t="shared" si="1"/>
        <v>127</v>
      </c>
      <c r="L10" s="9">
        <v>127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VLOOKUP($B11,'0406'!$B11:$M25,11,0)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VLOOKUP($B12,'0406'!$B12:$M26,11,0)</f>
        <v>90</v>
      </c>
      <c r="E12" s="14">
        <v>91</v>
      </c>
      <c r="F12" s="11">
        <v>20</v>
      </c>
      <c r="G12" s="11">
        <v>88</v>
      </c>
      <c r="H12" s="11"/>
      <c r="I12" s="11"/>
      <c r="J12" s="11"/>
      <c r="K12" s="9">
        <f t="shared" si="1"/>
        <v>73</v>
      </c>
      <c r="L12" s="9">
        <v>73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VLOOKUP($B13,'0406'!$B13:$M27,11,0)</f>
        <v>83</v>
      </c>
      <c r="E13" s="14">
        <v>70</v>
      </c>
      <c r="F13" s="11">
        <v>20</v>
      </c>
      <c r="G13" s="11">
        <v>63</v>
      </c>
      <c r="H13" s="11"/>
      <c r="I13" s="11"/>
      <c r="J13" s="11"/>
      <c r="K13" s="9">
        <f t="shared" si="1"/>
        <v>70</v>
      </c>
      <c r="L13" s="9">
        <v>70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VLOOKUP($B14,'0406'!$B14:$M28,11,0)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VLOOKUP($B15,'0406'!$B15:$M29,11,0)</f>
        <v>0</v>
      </c>
      <c r="E15" s="14">
        <v>2</v>
      </c>
      <c r="F15" s="11"/>
      <c r="G15" s="11">
        <v>2</v>
      </c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VLOOKUP($B16,'0406'!$B16:$M30,11,0)</f>
        <v>2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2</v>
      </c>
      <c r="L16" s="9">
        <v>2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VLOOKUP($B17,'0406'!$B17:$M31,11,0)</f>
        <v>2</v>
      </c>
      <c r="E17" s="14"/>
      <c r="F17" s="11"/>
      <c r="G17" s="11">
        <v>2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VLOOKUP($B18,'0406'!$B18:$M32,11,0)</f>
        <v>1</v>
      </c>
      <c r="E18" s="14"/>
      <c r="F18" s="11"/>
      <c r="G18" s="11">
        <v>1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VLOOKUP($B19,'0406'!$B19:$M33,11,0)</f>
        <v>2</v>
      </c>
      <c r="E19" s="14"/>
      <c r="F19" s="11"/>
      <c r="G19" s="11">
        <v>2</v>
      </c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VLOOKUP($B20,'0406'!$B20:$M34,11,0)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VLOOKUP($B21,'0406'!$B21:$M35,11,0)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VLOOKUP($B22,'0406'!$B22:$M36,11,0)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VLOOKUP($B24,'0406'!$B24:$M38,11,0)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VLOOKUP($B26,'0406'!$B26:$M40,11,0)</f>
        <v>228</v>
      </c>
      <c r="E26" s="10">
        <v>66</v>
      </c>
      <c r="F26" s="9">
        <v>110</v>
      </c>
      <c r="G26" s="11"/>
      <c r="H26" s="9"/>
      <c r="I26" s="9"/>
      <c r="J26" s="9"/>
      <c r="K26" s="9">
        <f t="shared" ref="K26" si="4">D26+E26-F26</f>
        <v>184</v>
      </c>
      <c r="L26" s="9">
        <v>184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VLOOKUP($B27,'0406'!$B27:$M41,11,0)</f>
        <v>107</v>
      </c>
      <c r="E27" s="9">
        <v>60</v>
      </c>
      <c r="F27" s="9">
        <v>40</v>
      </c>
      <c r="G27" s="11"/>
      <c r="H27" s="9"/>
      <c r="I27" s="9"/>
      <c r="J27" s="9"/>
      <c r="K27" s="9">
        <f>D27+E27-F27</f>
        <v>127</v>
      </c>
      <c r="L27" s="9">
        <v>127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VLOOKUP($B28,'0406'!$B28:$M42,11,0)</f>
        <v>413</v>
      </c>
      <c r="E28" s="9">
        <v>75</v>
      </c>
      <c r="F28" s="9">
        <v>193</v>
      </c>
      <c r="G28" s="11"/>
      <c r="H28" s="9"/>
      <c r="I28" s="9"/>
      <c r="J28" s="9"/>
      <c r="K28" s="9">
        <f>D28+E28-F28</f>
        <v>295</v>
      </c>
      <c r="L28" s="9">
        <v>295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VLOOKUP($B29,'0406'!$B29:$M43,11,0)</f>
        <v>125</v>
      </c>
      <c r="E29" s="9">
        <v>85</v>
      </c>
      <c r="F29" s="9">
        <v>44</v>
      </c>
      <c r="G29" s="11"/>
      <c r="H29" s="9"/>
      <c r="I29" s="9"/>
      <c r="J29" s="9"/>
      <c r="K29" s="9">
        <f>D29+E29-F29</f>
        <v>166</v>
      </c>
      <c r="L29" s="9">
        <v>166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DATE(2015,6,5)</f>
        <v>42160</v>
      </c>
      <c r="E5" s="293">
        <f>D5+1</f>
        <v>42161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80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43</v>
      </c>
      <c r="H7" s="5" t="s">
        <v>66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VLOOKUP($B8,'0506'!$B8:$M22,11,0)</f>
        <v>176</v>
      </c>
      <c r="E8" s="10">
        <f>76+78</f>
        <v>154</v>
      </c>
      <c r="F8" s="11">
        <v>40</v>
      </c>
      <c r="G8" s="11">
        <v>170</v>
      </c>
      <c r="H8" s="11"/>
      <c r="I8" s="11"/>
      <c r="J8" s="11"/>
      <c r="K8" s="9">
        <f>D8+E8-SUM(F8:J8)</f>
        <v>120</v>
      </c>
      <c r="L8" s="9">
        <v>120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VLOOKUP($B9,'0506'!$B9:$M23,11,0)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VLOOKUP($B10,'0506'!$B10:$M24,11,0)</f>
        <v>127</v>
      </c>
      <c r="E10" s="10">
        <v>80</v>
      </c>
      <c r="F10" s="11">
        <v>10</v>
      </c>
      <c r="G10" s="11">
        <v>117</v>
      </c>
      <c r="H10" s="11"/>
      <c r="I10" s="11"/>
      <c r="J10" s="11"/>
      <c r="K10" s="9">
        <f t="shared" si="1"/>
        <v>80</v>
      </c>
      <c r="L10" s="9">
        <v>80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VLOOKUP($B11,'0506'!$B11:$M25,11,0)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VLOOKUP($B12,'0506'!$B12:$M26,11,0)</f>
        <v>73</v>
      </c>
      <c r="E12" s="14">
        <v>129</v>
      </c>
      <c r="F12" s="11"/>
      <c r="G12" s="11">
        <v>120</v>
      </c>
      <c r="H12" s="11"/>
      <c r="I12" s="11"/>
      <c r="J12" s="11"/>
      <c r="K12" s="9">
        <f t="shared" si="1"/>
        <v>82</v>
      </c>
      <c r="L12" s="9">
        <v>82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VLOOKUP($B13,'0506'!$B13:$M27,11,0)</f>
        <v>70</v>
      </c>
      <c r="E13" s="14">
        <v>119</v>
      </c>
      <c r="F13" s="11"/>
      <c r="G13" s="11">
        <v>70</v>
      </c>
      <c r="H13" s="11"/>
      <c r="I13" s="11"/>
      <c r="J13" s="11"/>
      <c r="K13" s="9">
        <f t="shared" si="1"/>
        <v>119</v>
      </c>
      <c r="L13" s="9">
        <v>119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VLOOKUP($B14,'0506'!$B14:$M28,11,0)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VLOOKUP($B15,'0506'!$B15:$M29,11,0)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VLOOKUP($B16,'0506'!$B16:$M30,11,0)</f>
        <v>2</v>
      </c>
      <c r="E16" s="14">
        <v>4</v>
      </c>
      <c r="F16" s="11">
        <v>1</v>
      </c>
      <c r="G16" s="11">
        <v>1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VLOOKUP($B17,'0506'!$B17:$M31,11,0)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VLOOKUP($B18,'0506'!$B18:$M32,11,0)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VLOOKUP($B19,'0506'!$B19:$M33,11,0)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VLOOKUP($B20,'0506'!$B20:$M34,11,0)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VLOOKUP($B21,'0506'!$B21:$M35,11,0)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VLOOKUP($B22,'0506'!$B22:$M36,11,0)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64</v>
      </c>
      <c r="D23" s="9">
        <v>0</v>
      </c>
      <c r="E23" s="14">
        <v>70</v>
      </c>
      <c r="F23" s="9"/>
      <c r="G23" s="9"/>
      <c r="H23" s="9">
        <v>70</v>
      </c>
      <c r="I23" s="9"/>
      <c r="J23" s="9"/>
      <c r="K23" s="9">
        <f t="shared" ref="K23:K24" si="3">D23+E23-SUM(F23:I23)</f>
        <v>0</v>
      </c>
      <c r="L23" s="9">
        <v>0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VLOOKUP($B24,'0506'!$B24:$M38,11,0)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VLOOKUP($B26,'0506'!$B26:$M40,11,0)</f>
        <v>184</v>
      </c>
      <c r="E26" s="10">
        <v>140</v>
      </c>
      <c r="F26" s="9">
        <v>115</v>
      </c>
      <c r="G26" s="11"/>
      <c r="H26" s="9"/>
      <c r="I26" s="9"/>
      <c r="J26" s="9"/>
      <c r="K26" s="9">
        <f t="shared" ref="K26" si="4">D26+E26-F26</f>
        <v>209</v>
      </c>
      <c r="L26" s="9">
        <v>209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VLOOKUP($B27,'0506'!$B27:$M41,11,0)</f>
        <v>127</v>
      </c>
      <c r="E27" s="9">
        <v>69</v>
      </c>
      <c r="F27" s="9">
        <v>91</v>
      </c>
      <c r="G27" s="11"/>
      <c r="H27" s="9"/>
      <c r="I27" s="9"/>
      <c r="J27" s="9"/>
      <c r="K27" s="9">
        <f>D27+E27-F27</f>
        <v>105</v>
      </c>
      <c r="L27" s="9">
        <v>105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VLOOKUP($B28,'0506'!$B28:$M42,11,0)</f>
        <v>295</v>
      </c>
      <c r="E28" s="9">
        <v>162</v>
      </c>
      <c r="F28" s="9">
        <v>92</v>
      </c>
      <c r="G28" s="11"/>
      <c r="H28" s="9"/>
      <c r="I28" s="9"/>
      <c r="J28" s="9"/>
      <c r="K28" s="9">
        <f>D28+E28-F28</f>
        <v>365</v>
      </c>
      <c r="L28" s="9">
        <v>365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VLOOKUP($B29,'0506'!$B29:$M43,11,0)</f>
        <v>166</v>
      </c>
      <c r="E29" s="9">
        <v>85</v>
      </c>
      <c r="F29" s="9">
        <v>125</v>
      </c>
      <c r="G29" s="11"/>
      <c r="H29" s="9"/>
      <c r="I29" s="9"/>
      <c r="J29" s="9"/>
      <c r="K29" s="9">
        <f>D29+E29-F29</f>
        <v>126</v>
      </c>
      <c r="L29" s="9">
        <v>126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DATE(2015,6,6)</f>
        <v>42161</v>
      </c>
      <c r="E5" s="293">
        <f>D5+1</f>
        <v>42162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81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52</v>
      </c>
      <c r="H7" s="5" t="s">
        <v>65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VLOOKUP($B8,'0606'!$B8:$M22,11,0)</f>
        <v>120</v>
      </c>
      <c r="E8" s="10">
        <v>195</v>
      </c>
      <c r="F8" s="11">
        <v>40</v>
      </c>
      <c r="G8" s="11">
        <v>60</v>
      </c>
      <c r="H8" s="11"/>
      <c r="I8" s="11"/>
      <c r="J8" s="11"/>
      <c r="K8" s="9">
        <f>D8+E8-SUM(F8:J8)</f>
        <v>215</v>
      </c>
      <c r="L8" s="9">
        <v>215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VLOOKUP($B9,'0606'!$B9:$M23,11,0)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VLOOKUP($B10,'0606'!$B10:$M24,11,0)</f>
        <v>80</v>
      </c>
      <c r="E10" s="10">
        <v>167</v>
      </c>
      <c r="F10" s="11">
        <v>20</v>
      </c>
      <c r="G10" s="11">
        <v>60</v>
      </c>
      <c r="H10" s="11"/>
      <c r="I10" s="11"/>
      <c r="J10" s="11"/>
      <c r="K10" s="9">
        <f t="shared" si="1"/>
        <v>167</v>
      </c>
      <c r="L10" s="9">
        <v>167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VLOOKUP($B11,'0606'!$B11:$M25,11,0)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VLOOKUP($B12,'0606'!$B12:$M26,11,0)</f>
        <v>82</v>
      </c>
      <c r="E12" s="14">
        <f>130+135</f>
        <v>265</v>
      </c>
      <c r="F12" s="11">
        <v>10</v>
      </c>
      <c r="G12" s="11">
        <v>60</v>
      </c>
      <c r="H12" s="11"/>
      <c r="I12" s="11"/>
      <c r="J12" s="11"/>
      <c r="K12" s="9">
        <f t="shared" si="1"/>
        <v>277</v>
      </c>
      <c r="L12" s="9">
        <v>277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VLOOKUP($B13,'0606'!$B13:$M27,11,0)</f>
        <v>119</v>
      </c>
      <c r="E13" s="14">
        <v>120</v>
      </c>
      <c r="F13" s="11">
        <v>20</v>
      </c>
      <c r="G13" s="11">
        <v>60</v>
      </c>
      <c r="H13" s="11"/>
      <c r="I13" s="11"/>
      <c r="J13" s="11"/>
      <c r="K13" s="9">
        <f t="shared" si="1"/>
        <v>159</v>
      </c>
      <c r="L13" s="9">
        <v>159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VLOOKUP($B14,'0606'!$B14:$M28,11,0)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VLOOKUP($B15,'0606'!$B15:$M29,11,0)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VLOOKUP($B16,'0606'!$B16:$M30,11,0)</f>
        <v>4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VLOOKUP($B17,'0606'!$B17:$M31,11,0)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VLOOKUP($B18,'0606'!$B18:$M32,11,0)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VLOOKUP($B19,'0606'!$B19:$M33,11,0)</f>
        <v>0</v>
      </c>
      <c r="E19" s="14">
        <v>2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VLOOKUP($B20,'0606'!$B20:$M34,11,0)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VLOOKUP($B21,'0606'!$B21:$M35,11,0)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VLOOKUP($B22,'0606'!$B22:$M36,11,0)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VLOOKUP($B23,'0606'!$B23:$M37,11,0)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VLOOKUP($B24,'0606'!$B24:$M38,11,0)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VLOOKUP($B26,'0606'!$B26:$M40,11,0)</f>
        <v>209</v>
      </c>
      <c r="E26" s="10">
        <v>65</v>
      </c>
      <c r="F26" s="9">
        <v>85</v>
      </c>
      <c r="G26" s="11"/>
      <c r="H26" s="9"/>
      <c r="I26" s="9"/>
      <c r="J26" s="9"/>
      <c r="K26" s="9">
        <f t="shared" ref="K26" si="4">D26+E26-F26</f>
        <v>189</v>
      </c>
      <c r="L26" s="9">
        <v>189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VLOOKUP($B27,'0606'!$B27:$M41,11,0)</f>
        <v>105</v>
      </c>
      <c r="E27" s="9"/>
      <c r="F27" s="9">
        <v>19</v>
      </c>
      <c r="G27" s="11"/>
      <c r="H27" s="9"/>
      <c r="I27" s="9"/>
      <c r="J27" s="9"/>
      <c r="K27" s="9">
        <f>D27+E27-F27</f>
        <v>86</v>
      </c>
      <c r="L27" s="9">
        <v>86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VLOOKUP($B28,'0606'!$B28:$M42,11,0)</f>
        <v>365</v>
      </c>
      <c r="E28" s="9">
        <v>161</v>
      </c>
      <c r="F28" s="9">
        <v>95</v>
      </c>
      <c r="G28" s="11"/>
      <c r="H28" s="9"/>
      <c r="I28" s="9"/>
      <c r="J28" s="9"/>
      <c r="K28" s="9">
        <f>D28+E28-F28</f>
        <v>431</v>
      </c>
      <c r="L28" s="9">
        <v>431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VLOOKUP($B29,'0606'!$B29:$M43,11,0)</f>
        <v>126</v>
      </c>
      <c r="E29" s="9">
        <v>100</v>
      </c>
      <c r="F29" s="9">
        <v>68</v>
      </c>
      <c r="G29" s="11"/>
      <c r="H29" s="9"/>
      <c r="I29" s="9"/>
      <c r="J29" s="9"/>
      <c r="K29" s="9">
        <f>D29+E29-F29</f>
        <v>158</v>
      </c>
      <c r="L29" s="9">
        <v>158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2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9" max="9" width="14.57031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DATE(2015,6,7)</f>
        <v>42162</v>
      </c>
      <c r="E5" s="293">
        <f>D5+1</f>
        <v>42163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81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62</v>
      </c>
      <c r="H7" s="5" t="s">
        <v>45</v>
      </c>
      <c r="I7" s="5" t="s">
        <v>66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VLOOKUP($B8,'0706'!$B8:$M22,11,0)</f>
        <v>215</v>
      </c>
      <c r="E8" s="10">
        <f>71+77</f>
        <v>148</v>
      </c>
      <c r="F8" s="11">
        <v>40</v>
      </c>
      <c r="G8" s="11">
        <v>70</v>
      </c>
      <c r="H8" s="11">
        <v>68</v>
      </c>
      <c r="I8" s="11"/>
      <c r="J8" s="11"/>
      <c r="K8" s="9">
        <f>D8+E8-SUM(F8:J8)</f>
        <v>185</v>
      </c>
      <c r="L8" s="9">
        <v>185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VLOOKUP($B9,'0706'!$B9:$M23,11,0)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VLOOKUP($B10,'0706'!$B10:$M24,11,0)</f>
        <v>167</v>
      </c>
      <c r="E10" s="10">
        <v>80</v>
      </c>
      <c r="F10" s="11">
        <v>10</v>
      </c>
      <c r="G10" s="11">
        <v>50</v>
      </c>
      <c r="H10" s="11">
        <v>67</v>
      </c>
      <c r="I10" s="11"/>
      <c r="J10" s="11"/>
      <c r="K10" s="9">
        <f t="shared" si="1"/>
        <v>120</v>
      </c>
      <c r="L10" s="9">
        <f>40+80</f>
        <v>120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VLOOKUP($B11,'0706'!$B11:$M25,11,0)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VLOOKUP($B12,'0706'!$B12:$M26,11,0)</f>
        <v>277</v>
      </c>
      <c r="E12" s="14">
        <v>122</v>
      </c>
      <c r="F12" s="11">
        <v>20</v>
      </c>
      <c r="G12" s="11">
        <v>70</v>
      </c>
      <c r="H12" s="11">
        <v>70</v>
      </c>
      <c r="I12" s="11"/>
      <c r="J12" s="11"/>
      <c r="K12" s="9">
        <f t="shared" si="1"/>
        <v>239</v>
      </c>
      <c r="L12" s="9">
        <v>239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VLOOKUP($B13,'0706'!$B13:$M27,11,0)</f>
        <v>159</v>
      </c>
      <c r="E13" s="14">
        <v>76</v>
      </c>
      <c r="F13" s="11">
        <v>20</v>
      </c>
      <c r="G13" s="11">
        <v>69</v>
      </c>
      <c r="H13" s="11"/>
      <c r="I13" s="11"/>
      <c r="J13" s="11"/>
      <c r="K13" s="9">
        <f t="shared" si="1"/>
        <v>146</v>
      </c>
      <c r="L13" s="9">
        <v>146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VLOOKUP($B14,'0706'!$B14:$M28,11,0)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VLOOKUP($B15,'0706'!$B15:$M29,11,0)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VLOOKUP($B16,'0706'!$B16:$M30,11,0)</f>
        <v>4</v>
      </c>
      <c r="E16" s="14">
        <v>4</v>
      </c>
      <c r="F16" s="11"/>
      <c r="G16" s="11"/>
      <c r="H16" s="11"/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VLOOKUP($B17,'0706'!$B17:$M31,11,0)</f>
        <v>2</v>
      </c>
      <c r="E17" s="14"/>
      <c r="F17" s="11"/>
      <c r="G17" s="11"/>
      <c r="H17" s="11">
        <v>2</v>
      </c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VLOOKUP($B18,'0706'!$B18:$M32,11,0)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VLOOKUP($B19,'0706'!$B19:$M33,11,0)</f>
        <v>2</v>
      </c>
      <c r="E19" s="14"/>
      <c r="F19" s="11"/>
      <c r="G19" s="11">
        <v>1</v>
      </c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VLOOKUP($B20,'0706'!$B20:$M34,11,0)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VLOOKUP($B21,'0706'!$B21:$M35,11,0)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VLOOKUP($B22,'0706'!$B22:$M36,11,0)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v>0</v>
      </c>
      <c r="E23" s="14">
        <v>60</v>
      </c>
      <c r="F23" s="9"/>
      <c r="G23" s="9"/>
      <c r="H23" s="9"/>
      <c r="I23" s="9">
        <v>60</v>
      </c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VLOOKUP($B24,'0706'!$B24:$M38,11,0)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VLOOKUP($B26,'0706'!$B26:$M40,11,0)</f>
        <v>189</v>
      </c>
      <c r="E26" s="10">
        <v>136</v>
      </c>
      <c r="F26" s="9">
        <v>85</v>
      </c>
      <c r="G26" s="11"/>
      <c r="H26" s="9"/>
      <c r="I26" s="9"/>
      <c r="J26" s="9"/>
      <c r="K26" s="9">
        <f t="shared" ref="K26" si="4">D26+E26-F26</f>
        <v>240</v>
      </c>
      <c r="L26" s="9">
        <v>240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VLOOKUP($B27,'0706'!$B27:$M41,11,0)</f>
        <v>86</v>
      </c>
      <c r="E27" s="9">
        <v>63</v>
      </c>
      <c r="F27" s="9">
        <v>26</v>
      </c>
      <c r="G27" s="11"/>
      <c r="H27" s="9"/>
      <c r="I27" s="9"/>
      <c r="J27" s="9"/>
      <c r="K27" s="9">
        <f>D27+E27-F27</f>
        <v>123</v>
      </c>
      <c r="L27" s="9">
        <v>123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VLOOKUP($B28,'0706'!$B28:$M42,11,0)</f>
        <v>431</v>
      </c>
      <c r="E28" s="9"/>
      <c r="F28" s="9">
        <v>89</v>
      </c>
      <c r="G28" s="11"/>
      <c r="H28" s="9"/>
      <c r="I28" s="9"/>
      <c r="J28" s="9"/>
      <c r="K28" s="9">
        <f>D28+E28-F28</f>
        <v>342</v>
      </c>
      <c r="L28" s="9">
        <v>342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VLOOKUP($B29,'0706'!$B29:$M43,11,0)</f>
        <v>158</v>
      </c>
      <c r="E29" s="9"/>
      <c r="F29" s="9">
        <v>47</v>
      </c>
      <c r="G29" s="11"/>
      <c r="H29" s="9"/>
      <c r="I29" s="9"/>
      <c r="J29" s="9"/>
      <c r="K29" s="9">
        <f>D29+E29-F29</f>
        <v>111</v>
      </c>
      <c r="L29" s="9">
        <v>111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1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0" max="10" width="10.85546875" customWidth="1"/>
    <col min="11" max="11" width="11.5703125" customWidth="1"/>
    <col min="12" max="12" width="11.140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</row>
    <row r="3" spans="1:12" ht="20.25">
      <c r="A3" s="1"/>
      <c r="B3" s="1"/>
      <c r="C3" s="1"/>
      <c r="D3" s="1"/>
      <c r="E3" s="2"/>
      <c r="F3" s="3"/>
      <c r="G3" s="3"/>
      <c r="H3" s="3"/>
      <c r="I3" s="3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.75">
      <c r="A5" s="292" t="s">
        <v>1</v>
      </c>
      <c r="B5" s="292"/>
      <c r="C5" s="292"/>
      <c r="D5" s="4">
        <f>DATE(2015,4,6)</f>
        <v>42100</v>
      </c>
      <c r="E5" s="293">
        <f>D5+1</f>
        <v>42101</v>
      </c>
      <c r="F5" s="294"/>
      <c r="G5" s="294"/>
      <c r="H5" s="294"/>
      <c r="I5" s="294"/>
      <c r="J5" s="294"/>
      <c r="K5" s="294"/>
      <c r="L5" s="294"/>
    </row>
    <row r="6" spans="1:12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302" t="s">
        <v>8</v>
      </c>
      <c r="K6" s="289" t="s">
        <v>9</v>
      </c>
      <c r="L6" s="289" t="s">
        <v>10</v>
      </c>
    </row>
    <row r="7" spans="1:12">
      <c r="A7" s="295"/>
      <c r="B7" s="296"/>
      <c r="C7" s="298"/>
      <c r="D7" s="290"/>
      <c r="E7" s="290"/>
      <c r="F7" s="5" t="s">
        <v>11</v>
      </c>
      <c r="G7" s="5" t="s">
        <v>46</v>
      </c>
      <c r="H7" s="5"/>
      <c r="I7" s="5"/>
      <c r="J7" s="302"/>
      <c r="K7" s="290"/>
      <c r="L7" s="290"/>
    </row>
    <row r="8" spans="1:12" ht="18.75">
      <c r="A8" s="6">
        <v>1</v>
      </c>
      <c r="B8" s="7" t="s">
        <v>12</v>
      </c>
      <c r="C8" s="8" t="s">
        <v>13</v>
      </c>
      <c r="D8" s="9">
        <f>VLOOKUP($B8,'0604'!$B8:$K22,10,0)</f>
        <v>193</v>
      </c>
      <c r="E8" s="10">
        <v>192</v>
      </c>
      <c r="F8" s="11">
        <f>90+40</f>
        <v>130</v>
      </c>
      <c r="G8" s="11">
        <v>33</v>
      </c>
      <c r="H8" s="11"/>
      <c r="I8" s="11"/>
      <c r="J8" s="9">
        <f t="shared" ref="J8:J19" si="0">D8+E8-SUM(F8:I8)</f>
        <v>222</v>
      </c>
      <c r="K8" s="9">
        <v>222</v>
      </c>
      <c r="L8" s="9">
        <f t="shared" ref="L8:L19" si="1">K8-J8</f>
        <v>0</v>
      </c>
    </row>
    <row r="9" spans="1:12" ht="18.75">
      <c r="A9" s="6">
        <v>2</v>
      </c>
      <c r="B9" s="12" t="s">
        <v>14</v>
      </c>
      <c r="C9" s="13" t="s">
        <v>13</v>
      </c>
      <c r="D9" s="9">
        <f>VLOOKUP($B9,'0604'!$B9:$K23,10,0)</f>
        <v>114</v>
      </c>
      <c r="E9" s="14"/>
      <c r="F9" s="11"/>
      <c r="G9" s="11">
        <v>30</v>
      </c>
      <c r="H9" s="11"/>
      <c r="I9" s="11"/>
      <c r="J9" s="9">
        <f t="shared" si="0"/>
        <v>84</v>
      </c>
      <c r="K9" s="9">
        <v>84</v>
      </c>
      <c r="L9" s="9">
        <f t="shared" si="1"/>
        <v>0</v>
      </c>
    </row>
    <row r="10" spans="1:12" ht="18.75">
      <c r="A10" s="6">
        <v>3</v>
      </c>
      <c r="B10" s="12" t="s">
        <v>15</v>
      </c>
      <c r="C10" s="8" t="s">
        <v>13</v>
      </c>
      <c r="D10" s="9">
        <f>VLOOKUP($B10,'0604'!$B10:$K24,10,0)</f>
        <v>60</v>
      </c>
      <c r="E10" s="10">
        <v>120</v>
      </c>
      <c r="F10" s="11">
        <v>40</v>
      </c>
      <c r="G10" s="11">
        <v>20</v>
      </c>
      <c r="H10" s="11"/>
      <c r="I10" s="11"/>
      <c r="J10" s="9">
        <f t="shared" si="0"/>
        <v>120</v>
      </c>
      <c r="K10" s="9">
        <v>120</v>
      </c>
      <c r="L10" s="9">
        <f t="shared" si="1"/>
        <v>0</v>
      </c>
    </row>
    <row r="11" spans="1:12" ht="18.75">
      <c r="A11" s="6">
        <v>4</v>
      </c>
      <c r="B11" s="15" t="s">
        <v>16</v>
      </c>
      <c r="C11" s="6" t="s">
        <v>17</v>
      </c>
      <c r="D11" s="9">
        <f>VLOOKUP($B11,'0604'!$B11:$K25,10,0)</f>
        <v>370</v>
      </c>
      <c r="E11" s="10">
        <v>302</v>
      </c>
      <c r="F11" s="11"/>
      <c r="G11" s="11">
        <v>240</v>
      </c>
      <c r="H11" s="11"/>
      <c r="I11" s="11"/>
      <c r="J11" s="9">
        <f t="shared" si="0"/>
        <v>432</v>
      </c>
      <c r="K11" s="9">
        <v>430</v>
      </c>
      <c r="L11" s="9">
        <f t="shared" si="1"/>
        <v>-2</v>
      </c>
    </row>
    <row r="12" spans="1:12" ht="18.75">
      <c r="A12" s="6">
        <v>5</v>
      </c>
      <c r="B12" s="15" t="s">
        <v>18</v>
      </c>
      <c r="C12" s="6" t="s">
        <v>17</v>
      </c>
      <c r="D12" s="9">
        <f>VLOOKUP($B12,'0604'!$B12:$K26,10,0)</f>
        <v>242</v>
      </c>
      <c r="E12" s="14">
        <v>124</v>
      </c>
      <c r="F12" s="11">
        <v>100</v>
      </c>
      <c r="G12" s="11">
        <v>70</v>
      </c>
      <c r="H12" s="11"/>
      <c r="I12" s="11"/>
      <c r="J12" s="9">
        <f t="shared" si="0"/>
        <v>196</v>
      </c>
      <c r="K12" s="9">
        <f>72+124</f>
        <v>196</v>
      </c>
      <c r="L12" s="9">
        <f t="shared" si="1"/>
        <v>0</v>
      </c>
    </row>
    <row r="13" spans="1:12" ht="18.75">
      <c r="A13" s="6">
        <v>6</v>
      </c>
      <c r="B13" s="16" t="s">
        <v>19</v>
      </c>
      <c r="C13" s="17" t="s">
        <v>17</v>
      </c>
      <c r="D13" s="9">
        <f>VLOOKUP($B13,'0604'!$B13:$K27,10,0)</f>
        <v>98</v>
      </c>
      <c r="E13" s="14">
        <v>166</v>
      </c>
      <c r="F13" s="11">
        <v>60</v>
      </c>
      <c r="G13" s="11">
        <v>48</v>
      </c>
      <c r="H13" s="11"/>
      <c r="I13" s="11"/>
      <c r="J13" s="9">
        <f t="shared" si="0"/>
        <v>156</v>
      </c>
      <c r="K13" s="9">
        <v>156</v>
      </c>
      <c r="L13" s="9">
        <f t="shared" si="1"/>
        <v>0</v>
      </c>
    </row>
    <row r="14" spans="1:12" ht="18.75">
      <c r="A14" s="6">
        <v>7</v>
      </c>
      <c r="B14" s="12" t="s">
        <v>20</v>
      </c>
      <c r="C14" s="6" t="s">
        <v>21</v>
      </c>
      <c r="D14" s="9">
        <f>VLOOKUP($B14,'0604'!$B14:$K28,10,0)</f>
        <v>0</v>
      </c>
      <c r="E14" s="14"/>
      <c r="F14" s="11"/>
      <c r="G14" s="11"/>
      <c r="H14" s="11"/>
      <c r="I14" s="11"/>
      <c r="J14" s="9">
        <f t="shared" si="0"/>
        <v>0</v>
      </c>
      <c r="K14" s="9"/>
      <c r="L14" s="9">
        <f t="shared" si="1"/>
        <v>0</v>
      </c>
    </row>
    <row r="15" spans="1:12" ht="18.75">
      <c r="A15" s="6">
        <v>8</v>
      </c>
      <c r="B15" s="12" t="s">
        <v>22</v>
      </c>
      <c r="C15" s="18" t="s">
        <v>21</v>
      </c>
      <c r="D15" s="9">
        <f>VLOOKUP($B15,'0604'!$B15:$K29,10,0)</f>
        <v>2</v>
      </c>
      <c r="E15" s="14"/>
      <c r="F15" s="11"/>
      <c r="G15" s="11"/>
      <c r="H15" s="11"/>
      <c r="I15" s="11"/>
      <c r="J15" s="9">
        <f t="shared" si="0"/>
        <v>2</v>
      </c>
      <c r="K15" s="9">
        <v>2</v>
      </c>
      <c r="L15" s="9">
        <f t="shared" si="1"/>
        <v>0</v>
      </c>
    </row>
    <row r="16" spans="1:12" ht="18.75">
      <c r="A16" s="6">
        <v>9</v>
      </c>
      <c r="B16" s="15" t="s">
        <v>23</v>
      </c>
      <c r="C16" s="8" t="s">
        <v>24</v>
      </c>
      <c r="D16" s="9">
        <f>VLOOKUP($B16,'0604'!$B16:$K30,10,0)</f>
        <v>3</v>
      </c>
      <c r="E16" s="14">
        <v>3</v>
      </c>
      <c r="F16" s="11">
        <v>2</v>
      </c>
      <c r="G16" s="11">
        <v>1</v>
      </c>
      <c r="H16" s="11"/>
      <c r="I16" s="11"/>
      <c r="J16" s="9">
        <f t="shared" si="0"/>
        <v>3</v>
      </c>
      <c r="K16" s="9">
        <v>3</v>
      </c>
      <c r="L16" s="9">
        <f t="shared" si="1"/>
        <v>0</v>
      </c>
    </row>
    <row r="17" spans="1:12" ht="18.75">
      <c r="A17" s="6">
        <v>10</v>
      </c>
      <c r="B17" s="19" t="s">
        <v>25</v>
      </c>
      <c r="C17" s="6" t="s">
        <v>21</v>
      </c>
      <c r="D17" s="9">
        <f>VLOOKUP($B17,'0604'!$B17:$K31,10,0)</f>
        <v>2</v>
      </c>
      <c r="E17" s="14"/>
      <c r="F17" s="11"/>
      <c r="G17" s="11"/>
      <c r="H17" s="11"/>
      <c r="I17" s="11"/>
      <c r="J17" s="9">
        <f t="shared" si="0"/>
        <v>2</v>
      </c>
      <c r="K17" s="9">
        <v>2</v>
      </c>
      <c r="L17" s="9">
        <f t="shared" si="1"/>
        <v>0</v>
      </c>
    </row>
    <row r="18" spans="1:12" ht="18.75">
      <c r="A18" s="6">
        <v>11</v>
      </c>
      <c r="B18" s="12" t="s">
        <v>26</v>
      </c>
      <c r="C18" s="6" t="s">
        <v>27</v>
      </c>
      <c r="D18" s="9">
        <f>VLOOKUP($B18,'0604'!$B18:$K32,10,0)</f>
        <v>2</v>
      </c>
      <c r="E18" s="14"/>
      <c r="F18" s="11"/>
      <c r="G18" s="11"/>
      <c r="H18" s="11"/>
      <c r="I18" s="11"/>
      <c r="J18" s="9">
        <f t="shared" si="0"/>
        <v>2</v>
      </c>
      <c r="K18" s="9">
        <v>2</v>
      </c>
      <c r="L18" s="9">
        <f t="shared" si="1"/>
        <v>0</v>
      </c>
    </row>
    <row r="19" spans="1:12" ht="18.75">
      <c r="A19" s="6">
        <v>12</v>
      </c>
      <c r="B19" s="12" t="s">
        <v>28</v>
      </c>
      <c r="C19" s="6" t="s">
        <v>27</v>
      </c>
      <c r="D19" s="9">
        <f>VLOOKUP($B19,'0604'!$B19:$K33,10,0)</f>
        <v>0</v>
      </c>
      <c r="E19" s="14">
        <v>3</v>
      </c>
      <c r="F19" s="11"/>
      <c r="G19" s="11"/>
      <c r="H19" s="11"/>
      <c r="I19" s="11"/>
      <c r="J19" s="9">
        <f t="shared" si="0"/>
        <v>3</v>
      </c>
      <c r="K19" s="9">
        <v>3</v>
      </c>
      <c r="L19" s="9">
        <f t="shared" si="1"/>
        <v>0</v>
      </c>
    </row>
    <row r="20" spans="1:12" ht="18.75">
      <c r="A20" s="6">
        <v>13</v>
      </c>
      <c r="B20" s="12" t="s">
        <v>29</v>
      </c>
      <c r="C20" s="6" t="s">
        <v>17</v>
      </c>
      <c r="D20" s="9">
        <f>VLOOKUP($B20,'0604'!$B20:$K34,10,0)</f>
        <v>0</v>
      </c>
      <c r="E20" s="14"/>
      <c r="F20" s="11"/>
      <c r="G20" s="11"/>
      <c r="H20" s="11"/>
      <c r="I20" s="11"/>
      <c r="J20" s="9"/>
      <c r="K20" s="9"/>
      <c r="L20" s="9"/>
    </row>
    <row r="21" spans="1:12" ht="18.75">
      <c r="A21" s="6">
        <v>14</v>
      </c>
      <c r="B21" s="20" t="s">
        <v>30</v>
      </c>
      <c r="C21" s="6" t="s">
        <v>17</v>
      </c>
      <c r="D21" s="9">
        <f>VLOOKUP($B21,'0604'!$B21:$K35,10,0)</f>
        <v>0</v>
      </c>
      <c r="E21" s="14"/>
      <c r="F21" s="11"/>
      <c r="G21" s="11"/>
      <c r="H21" s="11"/>
      <c r="I21" s="11"/>
      <c r="J21" s="9">
        <f>D21+E21-SUM(F21:I21)</f>
        <v>0</v>
      </c>
      <c r="K21" s="9"/>
      <c r="L21" s="9">
        <f t="shared" ref="L21" si="2">K21-J21</f>
        <v>0</v>
      </c>
    </row>
    <row r="22" spans="1:12" ht="18.75">
      <c r="A22" s="6">
        <v>15</v>
      </c>
      <c r="B22" s="20" t="s">
        <v>31</v>
      </c>
      <c r="C22" s="6" t="s">
        <v>17</v>
      </c>
      <c r="D22" s="9">
        <f>VLOOKUP($B22,'0604'!$B22:$K36,10,0)</f>
        <v>0</v>
      </c>
      <c r="E22" s="14"/>
      <c r="F22" s="11"/>
      <c r="G22" s="11"/>
      <c r="H22" s="11"/>
      <c r="I22" s="11"/>
      <c r="J22" s="9">
        <f>D22+E22-SUM(F22:I22)</f>
        <v>0</v>
      </c>
      <c r="K22" s="9"/>
      <c r="L22" s="9">
        <f>K22-J22</f>
        <v>0</v>
      </c>
    </row>
    <row r="23" spans="1:12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>
        <f>K23-J23</f>
        <v>0</v>
      </c>
    </row>
    <row r="24" spans="1:12" ht="18.75">
      <c r="A24" s="6"/>
      <c r="B24" s="20" t="s">
        <v>32</v>
      </c>
      <c r="C24" s="6"/>
      <c r="D24" s="9">
        <f t="shared" ref="D24" si="3">SUM(D8:D22)</f>
        <v>1086</v>
      </c>
      <c r="E24" s="9">
        <f t="shared" ref="E24:K24" si="4">SUM(E8:E22)</f>
        <v>910</v>
      </c>
      <c r="F24" s="9">
        <f t="shared" si="4"/>
        <v>332</v>
      </c>
      <c r="G24" s="9">
        <f t="shared" si="4"/>
        <v>442</v>
      </c>
      <c r="H24" s="9">
        <f t="shared" si="4"/>
        <v>0</v>
      </c>
      <c r="I24" s="9">
        <f t="shared" si="4"/>
        <v>0</v>
      </c>
      <c r="J24" s="9">
        <f t="shared" si="4"/>
        <v>1222</v>
      </c>
      <c r="K24" s="9">
        <f t="shared" si="4"/>
        <v>1220</v>
      </c>
      <c r="L24" s="9">
        <f>K24-J24</f>
        <v>-2</v>
      </c>
    </row>
    <row r="25" spans="1:12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</row>
    <row r="26" spans="1:12" ht="18.75">
      <c r="A26" s="6">
        <v>1</v>
      </c>
      <c r="B26" s="20" t="s">
        <v>34</v>
      </c>
      <c r="C26" s="6" t="s">
        <v>17</v>
      </c>
      <c r="D26" s="9">
        <f>VLOOKUP($B26,'0604'!$B26:$K29,10,0)</f>
        <v>209</v>
      </c>
      <c r="E26" s="10">
        <v>131</v>
      </c>
      <c r="F26" s="9">
        <v>120</v>
      </c>
      <c r="G26" s="11"/>
      <c r="H26" s="9"/>
      <c r="I26" s="9"/>
      <c r="J26" s="9">
        <f t="shared" ref="J26" si="5">D26+E26-F26</f>
        <v>220</v>
      </c>
      <c r="K26" s="9">
        <v>220</v>
      </c>
      <c r="L26" s="9">
        <f t="shared" ref="L26" si="6">K26-J26</f>
        <v>0</v>
      </c>
    </row>
    <row r="27" spans="1:12" ht="18.75">
      <c r="A27" s="6">
        <v>2</v>
      </c>
      <c r="B27" s="20" t="s">
        <v>35</v>
      </c>
      <c r="C27" s="6" t="s">
        <v>17</v>
      </c>
      <c r="D27" s="9">
        <f>VLOOKUP($B27,'0604'!$B27:$K30,10,0)</f>
        <v>107</v>
      </c>
      <c r="E27" s="9">
        <v>39</v>
      </c>
      <c r="F27" s="9">
        <v>34</v>
      </c>
      <c r="G27" s="11"/>
      <c r="H27" s="9"/>
      <c r="I27" s="9"/>
      <c r="J27" s="9">
        <f>D27+E27-F27</f>
        <v>112</v>
      </c>
      <c r="K27" s="9">
        <v>112</v>
      </c>
      <c r="L27" s="9">
        <f>K27-J27</f>
        <v>0</v>
      </c>
    </row>
    <row r="28" spans="1:12" ht="18.75">
      <c r="A28" s="6">
        <v>3</v>
      </c>
      <c r="B28" s="20" t="s">
        <v>36</v>
      </c>
      <c r="C28" s="6" t="s">
        <v>17</v>
      </c>
      <c r="D28" s="9">
        <f>VLOOKUP($B28,'0604'!$B28:$K31,10,0)</f>
        <v>318</v>
      </c>
      <c r="E28" s="9">
        <v>93</v>
      </c>
      <c r="F28" s="9">
        <v>110</v>
      </c>
      <c r="G28" s="11"/>
      <c r="H28" s="9"/>
      <c r="I28" s="9"/>
      <c r="J28" s="9">
        <f>D28+E28-F28</f>
        <v>301</v>
      </c>
      <c r="K28" s="9">
        <v>301</v>
      </c>
      <c r="L28" s="9">
        <f>K28-J28</f>
        <v>0</v>
      </c>
    </row>
    <row r="29" spans="1:12" ht="18.75">
      <c r="A29" s="6">
        <v>4</v>
      </c>
      <c r="B29" s="20" t="s">
        <v>37</v>
      </c>
      <c r="C29" s="6" t="s">
        <v>17</v>
      </c>
      <c r="D29" s="9">
        <f>VLOOKUP($B29,'0604'!$B29:$K32,10,0)</f>
        <v>138</v>
      </c>
      <c r="E29" s="9"/>
      <c r="F29" s="9">
        <v>82</v>
      </c>
      <c r="G29" s="11"/>
      <c r="H29" s="9"/>
      <c r="I29" s="9"/>
      <c r="J29" s="9">
        <f>D29+E29-F29</f>
        <v>56</v>
      </c>
      <c r="K29" s="9">
        <v>56</v>
      </c>
      <c r="L29" s="9">
        <f>K29-J29</f>
        <v>0</v>
      </c>
    </row>
    <row r="30" spans="1:12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</row>
    <row r="31" spans="1:12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</row>
  </sheetData>
  <mergeCells count="12">
    <mergeCell ref="K6:K7"/>
    <mergeCell ref="L6:L7"/>
    <mergeCell ref="B2:L2"/>
    <mergeCell ref="A5:C5"/>
    <mergeCell ref="E5:L5"/>
    <mergeCell ref="A6:A7"/>
    <mergeCell ref="B6:B7"/>
    <mergeCell ref="C6:C7"/>
    <mergeCell ref="D6:D7"/>
    <mergeCell ref="E6:E7"/>
    <mergeCell ref="F6:I6"/>
    <mergeCell ref="J6:J7"/>
  </mergeCells>
  <conditionalFormatting sqref="D23">
    <cfRule type="cellIs" dxfId="2" priority="1" stopIfTrue="1" operator="lessThan">
      <formula>0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5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9" max="9" width="13.425781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DATE(2015,6,8)</f>
        <v>42163</v>
      </c>
      <c r="E5" s="293">
        <f>D5+1</f>
        <v>42164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82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54</v>
      </c>
      <c r="H7" s="5" t="s">
        <v>52</v>
      </c>
      <c r="I7" s="5" t="s">
        <v>66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VLOOKUP($B8,'0806'!$B8:$M22,11,0)</f>
        <v>185</v>
      </c>
      <c r="E8" s="10">
        <f>88+73+108+39</f>
        <v>308</v>
      </c>
      <c r="F8" s="11">
        <v>40</v>
      </c>
      <c r="G8" s="11">
        <v>20</v>
      </c>
      <c r="H8" s="11">
        <v>158</v>
      </c>
      <c r="I8" s="11"/>
      <c r="J8" s="11"/>
      <c r="K8" s="9">
        <f>D8+E8-SUM(F8:J8)</f>
        <v>275</v>
      </c>
      <c r="L8" s="9">
        <v>275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VLOOKUP($B9,'0806'!$B9:$M23,11,0)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VLOOKUP($B10,'0806'!$B10:$M24,11,0)</f>
        <v>120</v>
      </c>
      <c r="E10" s="10">
        <v>126</v>
      </c>
      <c r="F10" s="11">
        <v>10</v>
      </c>
      <c r="G10" s="11">
        <v>30</v>
      </c>
      <c r="H10" s="11">
        <v>90</v>
      </c>
      <c r="I10" s="11"/>
      <c r="J10" s="11"/>
      <c r="K10" s="9">
        <f t="shared" si="1"/>
        <v>116</v>
      </c>
      <c r="L10" s="9">
        <v>116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VLOOKUP($B11,'0806'!$B11:$M25,11,0)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VLOOKUP($B12,'0806'!$B12:$M26,11,0)</f>
        <v>239</v>
      </c>
      <c r="E12" s="14">
        <v>153</v>
      </c>
      <c r="F12" s="11">
        <v>28</v>
      </c>
      <c r="G12" s="11">
        <v>40</v>
      </c>
      <c r="H12" s="11">
        <v>199</v>
      </c>
      <c r="I12" s="11"/>
      <c r="J12" s="11"/>
      <c r="K12" s="9">
        <f t="shared" si="1"/>
        <v>125</v>
      </c>
      <c r="L12" s="9">
        <v>125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VLOOKUP($B13,'0806'!$B13:$M27,11,0)</f>
        <v>146</v>
      </c>
      <c r="E13" s="14">
        <v>157</v>
      </c>
      <c r="F13" s="11">
        <v>21</v>
      </c>
      <c r="G13" s="11">
        <v>20</v>
      </c>
      <c r="H13" s="11">
        <v>105</v>
      </c>
      <c r="I13" s="11"/>
      <c r="J13" s="11"/>
      <c r="K13" s="9">
        <f t="shared" si="1"/>
        <v>157</v>
      </c>
      <c r="L13" s="9">
        <v>157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VLOOKUP($B14,'0806'!$B14:$M28,11,0)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VLOOKUP($B15,'0806'!$B15:$M29,11,0)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VLOOKUP($B16,'0806'!$B16:$M30,11,0)</f>
        <v>8</v>
      </c>
      <c r="E16" s="14">
        <v>4</v>
      </c>
      <c r="F16" s="11">
        <v>1</v>
      </c>
      <c r="G16" s="11">
        <v>2</v>
      </c>
      <c r="H16" s="11"/>
      <c r="I16" s="11"/>
      <c r="J16" s="11"/>
      <c r="K16" s="9">
        <f t="shared" si="1"/>
        <v>9</v>
      </c>
      <c r="L16" s="9">
        <v>9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VLOOKUP($B17,'0806'!$B17:$M31,11,0)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VLOOKUP($B18,'0806'!$B18:$M32,11,0)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VLOOKUP($B19,'0806'!$B19:$M33,11,0)</f>
        <v>1</v>
      </c>
      <c r="E19" s="14">
        <v>1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VLOOKUP($B20,'0806'!$B20:$M34,11,0)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VLOOKUP($B21,'0806'!$B21:$M35,11,0)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VLOOKUP($B22,'0806'!$B22:$M36,11,0)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v>0</v>
      </c>
      <c r="E23" s="14">
        <v>60</v>
      </c>
      <c r="F23" s="9"/>
      <c r="G23" s="9"/>
      <c r="H23" s="9"/>
      <c r="I23" s="9">
        <v>60</v>
      </c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VLOOKUP($B24,'0806'!$B24:$M38,11,0)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VLOOKUP($B26,'0806'!$B26:$M40,11,0)</f>
        <v>240</v>
      </c>
      <c r="E26" s="10">
        <v>66</v>
      </c>
      <c r="F26" s="9">
        <v>74</v>
      </c>
      <c r="G26" s="11"/>
      <c r="H26" s="9"/>
      <c r="I26" s="9"/>
      <c r="J26" s="9"/>
      <c r="K26" s="9">
        <f t="shared" ref="K26" si="4">D26+E26-F26</f>
        <v>232</v>
      </c>
      <c r="L26" s="9">
        <v>232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VLOOKUP($B27,'0806'!$B27:$M41,11,0)</f>
        <v>123</v>
      </c>
      <c r="E27" s="9">
        <v>63</v>
      </c>
      <c r="F27" s="9">
        <v>23</v>
      </c>
      <c r="G27" s="11"/>
      <c r="H27" s="9"/>
      <c r="I27" s="9"/>
      <c r="J27" s="9"/>
      <c r="K27" s="9">
        <f>D27+E27-F27</f>
        <v>163</v>
      </c>
      <c r="L27" s="9">
        <v>163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VLOOKUP($B28,'0806'!$B28:$M42,11,0)</f>
        <v>342</v>
      </c>
      <c r="E28" s="9">
        <v>137</v>
      </c>
      <c r="F28" s="9">
        <v>84</v>
      </c>
      <c r="G28" s="11"/>
      <c r="H28" s="9"/>
      <c r="I28" s="9"/>
      <c r="J28" s="9"/>
      <c r="K28" s="9">
        <f>D28+E28-F28</f>
        <v>395</v>
      </c>
      <c r="L28" s="9">
        <v>395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VLOOKUP($B29,'0806'!$B29:$M43,11,0)</f>
        <v>111</v>
      </c>
      <c r="E29" s="9">
        <v>83</v>
      </c>
      <c r="F29" s="9">
        <v>66</v>
      </c>
      <c r="G29" s="11"/>
      <c r="H29" s="9"/>
      <c r="I29" s="9"/>
      <c r="J29" s="9"/>
      <c r="K29" s="9">
        <f>D29+E29-F29</f>
        <v>128</v>
      </c>
      <c r="L29" s="9">
        <v>128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1" workbookViewId="0">
      <pane xSplit="1" topLeftCell="D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DATE(2015,6,9)</f>
        <v>42164</v>
      </c>
      <c r="E5" s="293">
        <f>D5+1</f>
        <v>42165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83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39</v>
      </c>
      <c r="H7" s="5" t="s">
        <v>38</v>
      </c>
      <c r="I7" s="5" t="s">
        <v>40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VLOOKUP($B8,'0906'!$B8:$M22,11,0)</f>
        <v>275</v>
      </c>
      <c r="E8" s="10">
        <f>87+89+89</f>
        <v>265</v>
      </c>
      <c r="F8" s="11">
        <v>40</v>
      </c>
      <c r="G8" s="11">
        <v>20</v>
      </c>
      <c r="H8" s="11">
        <v>40</v>
      </c>
      <c r="I8" s="11">
        <v>40</v>
      </c>
      <c r="J8" s="11"/>
      <c r="K8" s="9">
        <f>D8+E8-SUM(F8:J8)</f>
        <v>400</v>
      </c>
      <c r="L8" s="9">
        <v>400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VLOOKUP($B9,'0906'!$B9:$M23,11,0)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VLOOKUP($B10,'0906'!$B10:$M24,11,0)</f>
        <v>116</v>
      </c>
      <c r="E10" s="10">
        <v>211</v>
      </c>
      <c r="F10" s="11">
        <v>10</v>
      </c>
      <c r="G10" s="11"/>
      <c r="H10" s="11">
        <v>30</v>
      </c>
      <c r="I10" s="11"/>
      <c r="J10" s="11"/>
      <c r="K10" s="9">
        <f t="shared" si="1"/>
        <v>287</v>
      </c>
      <c r="L10" s="9">
        <f>77+211</f>
        <v>288</v>
      </c>
      <c r="M10" s="9">
        <f t="shared" si="0"/>
        <v>1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VLOOKUP($B11,'0906'!$B11:$M25,11,0)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VLOOKUP($B12,'0906'!$B12:$M26,11,0)</f>
        <v>125</v>
      </c>
      <c r="E12" s="14">
        <f>150+68</f>
        <v>218</v>
      </c>
      <c r="F12" s="11">
        <v>27</v>
      </c>
      <c r="G12" s="11">
        <v>34</v>
      </c>
      <c r="H12" s="11">
        <v>30</v>
      </c>
      <c r="I12" s="11">
        <v>90</v>
      </c>
      <c r="J12" s="11"/>
      <c r="K12" s="9">
        <f t="shared" si="1"/>
        <v>162</v>
      </c>
      <c r="L12" s="9">
        <v>162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VLOOKUP($B13,'0906'!$B13:$M27,11,0)</f>
        <v>157</v>
      </c>
      <c r="E13" s="14">
        <v>126</v>
      </c>
      <c r="F13" s="11">
        <v>20</v>
      </c>
      <c r="G13" s="11">
        <v>40</v>
      </c>
      <c r="H13" s="11"/>
      <c r="I13" s="11">
        <v>40</v>
      </c>
      <c r="J13" s="11"/>
      <c r="K13" s="9">
        <f t="shared" si="1"/>
        <v>183</v>
      </c>
      <c r="L13" s="9">
        <v>183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VLOOKUP($B14,'0906'!$B14:$M28,11,0)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VLOOKUP($B15,'0906'!$B15:$M29,11,0)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VLOOKUP($B16,'0906'!$B16:$M30,11,0)</f>
        <v>9</v>
      </c>
      <c r="E16" s="14"/>
      <c r="F16" s="11"/>
      <c r="G16" s="11">
        <v>1</v>
      </c>
      <c r="H16" s="11"/>
      <c r="I16" s="11">
        <v>1</v>
      </c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VLOOKUP($B17,'0906'!$B17:$M31,11,0)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VLOOKUP($B18,'0906'!$B18:$M32,11,0)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VLOOKUP($B19,'0906'!$B19:$M33,11,0)</f>
        <v>2</v>
      </c>
      <c r="E19" s="14"/>
      <c r="F19" s="11"/>
      <c r="G19" s="11"/>
      <c r="H19" s="11"/>
      <c r="I19" s="11">
        <v>1</v>
      </c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VLOOKUP($B20,'0906'!$B20:$M34,11,0)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VLOOKUP($B21,'0906'!$B21:$M35,11,0)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VLOOKUP($B22,'0906'!$B22:$M36,11,0)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VLOOKUP($B24,'0906'!$B24:$M38,11,0)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VLOOKUP($B26,'0906'!$B26:$M40,11,0)</f>
        <v>232</v>
      </c>
      <c r="E26" s="10">
        <v>61</v>
      </c>
      <c r="F26" s="9">
        <v>91</v>
      </c>
      <c r="G26" s="11"/>
      <c r="H26" s="9"/>
      <c r="I26" s="9"/>
      <c r="J26" s="9"/>
      <c r="K26" s="9">
        <f t="shared" ref="K26" si="4">D26+E26-F26</f>
        <v>202</v>
      </c>
      <c r="L26" s="9">
        <v>202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VLOOKUP($B27,'0906'!$B27:$M41,11,0)</f>
        <v>163</v>
      </c>
      <c r="E27" s="9"/>
      <c r="F27" s="9">
        <v>47</v>
      </c>
      <c r="G27" s="11"/>
      <c r="H27" s="9"/>
      <c r="I27" s="9"/>
      <c r="J27" s="9"/>
      <c r="K27" s="9">
        <f>D27+E27-F27</f>
        <v>116</v>
      </c>
      <c r="L27" s="9">
        <v>116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VLOOKUP($B28,'0906'!$B28:$M42,11,0)</f>
        <v>395</v>
      </c>
      <c r="E28" s="9"/>
      <c r="F28" s="9">
        <v>137</v>
      </c>
      <c r="G28" s="11"/>
      <c r="H28" s="9"/>
      <c r="I28" s="9"/>
      <c r="J28" s="9"/>
      <c r="K28" s="9">
        <f>D28+E28-F28</f>
        <v>258</v>
      </c>
      <c r="L28" s="9">
        <v>258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VLOOKUP($B29,'0906'!$B29:$M43,11,0)</f>
        <v>128</v>
      </c>
      <c r="E29" s="9">
        <v>86</v>
      </c>
      <c r="F29" s="9">
        <v>70</v>
      </c>
      <c r="G29" s="11"/>
      <c r="H29" s="9"/>
      <c r="I29" s="9"/>
      <c r="J29" s="9"/>
      <c r="K29" s="9">
        <f>D29+E29-F29</f>
        <v>144</v>
      </c>
      <c r="L29" s="9">
        <v>144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9" max="9" width="13.425781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DATE(2015,6,10)</f>
        <v>42165</v>
      </c>
      <c r="E5" s="293">
        <f>D5+1</f>
        <v>42166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84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52</v>
      </c>
      <c r="H7" s="5" t="s">
        <v>55</v>
      </c>
      <c r="I7" s="5" t="s">
        <v>66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VLOOKUP($B8,'1006'!$B8:$M22,11,0)</f>
        <v>400</v>
      </c>
      <c r="E8" s="10">
        <f>213+111</f>
        <v>324</v>
      </c>
      <c r="F8" s="11">
        <v>40</v>
      </c>
      <c r="G8" s="11">
        <f>228+15</f>
        <v>243</v>
      </c>
      <c r="H8" s="11">
        <v>150</v>
      </c>
      <c r="I8" s="11"/>
      <c r="J8" s="11"/>
      <c r="K8" s="9">
        <f>D8+E8-SUM(F8:J8)</f>
        <v>291</v>
      </c>
      <c r="L8" s="9">
        <v>291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VLOOKUP($B9,'1006'!$B9:$M23,11,0)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VLOOKUP($B10,'1006'!$B10:$M24,11,0)</f>
        <v>288</v>
      </c>
      <c r="E10" s="10">
        <v>120</v>
      </c>
      <c r="F10" s="11">
        <v>10</v>
      </c>
      <c r="G10" s="11">
        <v>178</v>
      </c>
      <c r="H10" s="11">
        <v>100</v>
      </c>
      <c r="I10" s="11"/>
      <c r="J10" s="11"/>
      <c r="K10" s="9">
        <f t="shared" si="1"/>
        <v>120</v>
      </c>
      <c r="L10" s="9">
        <v>120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VLOOKUP($B11,'1006'!$B11:$M25,11,0)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VLOOKUP($B12,'1006'!$B12:$M26,11,0)</f>
        <v>162</v>
      </c>
      <c r="E12" s="14">
        <v>174</v>
      </c>
      <c r="F12" s="11">
        <v>20</v>
      </c>
      <c r="G12" s="11">
        <v>80</v>
      </c>
      <c r="H12" s="11">
        <v>80</v>
      </c>
      <c r="I12" s="11"/>
      <c r="J12" s="11"/>
      <c r="K12" s="9">
        <f t="shared" si="1"/>
        <v>156</v>
      </c>
      <c r="L12" s="9">
        <v>156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VLOOKUP($B13,'1006'!$B13:$M27,11,0)</f>
        <v>183</v>
      </c>
      <c r="E13" s="14">
        <v>140</v>
      </c>
      <c r="F13" s="11">
        <v>21</v>
      </c>
      <c r="G13" s="11">
        <v>162</v>
      </c>
      <c r="H13" s="11"/>
      <c r="I13" s="11"/>
      <c r="J13" s="11"/>
      <c r="K13" s="9">
        <f t="shared" si="1"/>
        <v>140</v>
      </c>
      <c r="L13" s="9">
        <v>140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VLOOKUP($B14,'1006'!$B14:$M28,11,0)</f>
        <v>2</v>
      </c>
      <c r="E14" s="14"/>
      <c r="F14" s="11"/>
      <c r="G14" s="11"/>
      <c r="H14" s="11">
        <v>2</v>
      </c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VLOOKUP($B15,'1006'!$B15:$M29,11,0)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VLOOKUP($B16,'1006'!$B16:$M30,11,0)</f>
        <v>7</v>
      </c>
      <c r="E16" s="14">
        <v>2</v>
      </c>
      <c r="F16" s="11"/>
      <c r="G16" s="11">
        <v>2</v>
      </c>
      <c r="H16" s="11">
        <v>2</v>
      </c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VLOOKUP($B17,'1006'!$B17:$M31,11,0)</f>
        <v>2</v>
      </c>
      <c r="E17" s="14">
        <v>1</v>
      </c>
      <c r="F17" s="11"/>
      <c r="G17" s="11"/>
      <c r="H17" s="11">
        <v>2</v>
      </c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VLOOKUP($B18,'1006'!$B18:$M32,11,0)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VLOOKUP($B19,'1006'!$B19:$M33,11,0)</f>
        <v>1</v>
      </c>
      <c r="E19" s="14"/>
      <c r="F19" s="11"/>
      <c r="G19" s="11"/>
      <c r="H19" s="11">
        <v>1</v>
      </c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VLOOKUP($B20,'1006'!$B20:$M34,11,0)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VLOOKUP($B21,'1006'!$B21:$M35,11,0)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VLOOKUP($B22,'1006'!$B22:$M36,11,0)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v>0</v>
      </c>
      <c r="E23" s="14">
        <v>50</v>
      </c>
      <c r="F23" s="9"/>
      <c r="G23" s="9"/>
      <c r="H23" s="9"/>
      <c r="I23" s="9">
        <v>50</v>
      </c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VLOOKUP($B24,'1006'!$B24:$M38,11,0)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VLOOKUP($B26,'1006'!$B26:$M40,11,0)</f>
        <v>202</v>
      </c>
      <c r="E26" s="10">
        <v>125</v>
      </c>
      <c r="F26" s="9">
        <v>111</v>
      </c>
      <c r="G26" s="11"/>
      <c r="H26" s="9"/>
      <c r="I26" s="9"/>
      <c r="J26" s="9"/>
      <c r="K26" s="9">
        <f t="shared" ref="K26" si="4">D26+E26-F26</f>
        <v>216</v>
      </c>
      <c r="L26" s="9">
        <v>216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VLOOKUP($B27,'1006'!$B27:$M41,11,0)</f>
        <v>116</v>
      </c>
      <c r="E27" s="9"/>
      <c r="F27" s="9">
        <v>10</v>
      </c>
      <c r="G27" s="11"/>
      <c r="H27" s="9"/>
      <c r="I27" s="9"/>
      <c r="J27" s="9"/>
      <c r="K27" s="9">
        <f>D27+E27-F27</f>
        <v>106</v>
      </c>
      <c r="L27" s="9">
        <v>106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VLOOKUP($B28,'1006'!$B28:$M42,11,0)</f>
        <v>258</v>
      </c>
      <c r="E28" s="9">
        <v>140</v>
      </c>
      <c r="F28" s="9">
        <v>100</v>
      </c>
      <c r="G28" s="11"/>
      <c r="H28" s="9"/>
      <c r="I28" s="9"/>
      <c r="J28" s="9"/>
      <c r="K28" s="9">
        <f>D28+E28-F28</f>
        <v>298</v>
      </c>
      <c r="L28" s="9">
        <v>298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VLOOKUP($B29,'1006'!$B29:$M43,11,0)</f>
        <v>144</v>
      </c>
      <c r="E29" s="9">
        <v>31</v>
      </c>
      <c r="F29" s="9">
        <v>56</v>
      </c>
      <c r="G29" s="11"/>
      <c r="H29" s="9"/>
      <c r="I29" s="9"/>
      <c r="J29" s="9"/>
      <c r="K29" s="9">
        <f>D29+E29-F29</f>
        <v>119</v>
      </c>
      <c r="L29" s="9">
        <v>119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D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DATE(2015,6,11)</f>
        <v>42166</v>
      </c>
      <c r="E5" s="293">
        <f>D5+1</f>
        <v>42167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85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49</v>
      </c>
      <c r="H7" s="5" t="s">
        <v>62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VLOOKUP($B8,'1106'!$B8:$M22,11,0)</f>
        <v>291</v>
      </c>
      <c r="E8" s="10">
        <f>88+94+71+94+94+103</f>
        <v>544</v>
      </c>
      <c r="F8" s="11">
        <v>40</v>
      </c>
      <c r="G8" s="11">
        <v>150</v>
      </c>
      <c r="H8" s="11"/>
      <c r="I8" s="11"/>
      <c r="J8" s="11"/>
      <c r="K8" s="9">
        <f>D8+E8-SUM(F8:J8)</f>
        <v>645</v>
      </c>
      <c r="L8" s="9">
        <f>130+515</f>
        <v>645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VLOOKUP($B9,'1106'!$B9:$M23,11,0)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VLOOKUP($B10,'1106'!$B10:$M24,11,0)</f>
        <v>120</v>
      </c>
      <c r="E10" s="10">
        <v>144</v>
      </c>
      <c r="F10" s="11">
        <v>10</v>
      </c>
      <c r="G10" s="11">
        <v>110</v>
      </c>
      <c r="H10" s="11"/>
      <c r="I10" s="11"/>
      <c r="J10" s="11"/>
      <c r="K10" s="9">
        <f t="shared" si="1"/>
        <v>144</v>
      </c>
      <c r="L10" s="9">
        <v>144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VLOOKUP($B11,'1106'!$B11:$M25,11,0)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VLOOKUP($B12,'1106'!$B12:$M26,11,0)</f>
        <v>156</v>
      </c>
      <c r="E12" s="14">
        <f>159</f>
        <v>159</v>
      </c>
      <c r="F12" s="11">
        <v>29</v>
      </c>
      <c r="G12" s="11">
        <v>55</v>
      </c>
      <c r="H12" s="11">
        <v>70</v>
      </c>
      <c r="I12" s="11"/>
      <c r="J12" s="11"/>
      <c r="K12" s="9">
        <f t="shared" si="1"/>
        <v>161</v>
      </c>
      <c r="L12" s="9">
        <v>159</v>
      </c>
      <c r="M12" s="9">
        <f t="shared" si="0"/>
        <v>-2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VLOOKUP($B13,'1106'!$B13:$M27,11,0)</f>
        <v>140</v>
      </c>
      <c r="E13" s="14">
        <v>120</v>
      </c>
      <c r="F13" s="11">
        <v>20</v>
      </c>
      <c r="G13" s="11">
        <v>120</v>
      </c>
      <c r="H13" s="11"/>
      <c r="I13" s="11"/>
      <c r="J13" s="11"/>
      <c r="K13" s="9">
        <f t="shared" si="1"/>
        <v>120</v>
      </c>
      <c r="L13" s="9">
        <v>120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VLOOKUP($B14,'1106'!$B14:$M28,11,0)</f>
        <v>0</v>
      </c>
      <c r="E14" s="14">
        <v>3</v>
      </c>
      <c r="F14" s="11"/>
      <c r="G14" s="11"/>
      <c r="H14" s="11"/>
      <c r="I14" s="11"/>
      <c r="J14" s="11"/>
      <c r="K14" s="9">
        <f t="shared" si="1"/>
        <v>3</v>
      </c>
      <c r="L14" s="9">
        <v>3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VLOOKUP($B15,'1106'!$B15:$M29,11,0)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VLOOKUP($B16,'1106'!$B16:$M30,11,0)</f>
        <v>5</v>
      </c>
      <c r="E16" s="14"/>
      <c r="F16" s="11"/>
      <c r="G16" s="11">
        <v>3</v>
      </c>
      <c r="H16" s="11">
        <v>2</v>
      </c>
      <c r="I16" s="11"/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VLOOKUP($B17,'1106'!$B17:$M31,11,0)</f>
        <v>1</v>
      </c>
      <c r="E17" s="14">
        <v>3</v>
      </c>
      <c r="F17" s="11"/>
      <c r="G17" s="11">
        <v>1</v>
      </c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VLOOKUP($B18,'1106'!$B18:$M32,11,0)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VLOOKUP($B19,'1106'!$B19:$M33,11,0)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VLOOKUP($B20,'1106'!$B20:$M34,11,0)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VLOOKUP($B21,'1106'!$B21:$M35,11,0)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VLOOKUP($B22,'1106'!$B22:$M36,11,0)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VLOOKUP($B24,'1106'!$B24:$M38,11,0)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VLOOKUP($B26,'1106'!$B26:$M40,11,0)</f>
        <v>216</v>
      </c>
      <c r="E26" s="10">
        <v>127</v>
      </c>
      <c r="F26" s="9">
        <v>99</v>
      </c>
      <c r="G26" s="11"/>
      <c r="H26" s="9"/>
      <c r="I26" s="9"/>
      <c r="J26" s="9"/>
      <c r="K26" s="9">
        <f t="shared" ref="K26" si="4">D26+E26-F26</f>
        <v>244</v>
      </c>
      <c r="L26" s="9">
        <v>244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VLOOKUP($B27,'1106'!$B27:$M41,11,0)</f>
        <v>106</v>
      </c>
      <c r="E27" s="9">
        <v>30</v>
      </c>
      <c r="F27" s="9">
        <v>30</v>
      </c>
      <c r="G27" s="11"/>
      <c r="H27" s="9"/>
      <c r="I27" s="9"/>
      <c r="J27" s="9"/>
      <c r="K27" s="9">
        <f>D27+E27-F27</f>
        <v>106</v>
      </c>
      <c r="L27" s="9">
        <v>106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VLOOKUP($B28,'1106'!$B28:$M42,11,0)</f>
        <v>298</v>
      </c>
      <c r="E28" s="9">
        <v>155</v>
      </c>
      <c r="F28" s="9">
        <v>140</v>
      </c>
      <c r="G28" s="11"/>
      <c r="H28" s="9"/>
      <c r="I28" s="9"/>
      <c r="J28" s="9"/>
      <c r="K28" s="9">
        <f>D28+E28-F28</f>
        <v>313</v>
      </c>
      <c r="L28" s="9">
        <v>313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VLOOKUP($B29,'1106'!$B29:$M43,11,0)</f>
        <v>119</v>
      </c>
      <c r="E29" s="9">
        <v>40</v>
      </c>
      <c r="F29" s="9">
        <v>55</v>
      </c>
      <c r="G29" s="11"/>
      <c r="H29" s="9"/>
      <c r="I29" s="9"/>
      <c r="J29" s="9"/>
      <c r="K29" s="9">
        <f>D29+E29-F29</f>
        <v>104</v>
      </c>
      <c r="L29" s="9">
        <v>104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2" workbookViewId="0">
      <pane xSplit="1" topLeftCell="D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DATE(2015,6,12)</f>
        <v>42167</v>
      </c>
      <c r="E5" s="293">
        <f>D5+1</f>
        <v>42168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86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43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VLOOKUP($B8,'1206'!$B8:$M22,11,0)</f>
        <v>645</v>
      </c>
      <c r="E8" s="10"/>
      <c r="F8" s="11">
        <v>40</v>
      </c>
      <c r="G8" s="11">
        <v>150</v>
      </c>
      <c r="H8" s="11"/>
      <c r="I8" s="11"/>
      <c r="J8" s="11"/>
      <c r="K8" s="9">
        <f>D8+E8-SUM(F8:J8)</f>
        <v>455</v>
      </c>
      <c r="L8" s="9">
        <f>240+125+90</f>
        <v>455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VLOOKUP($B9,'1206'!$B9:$M23,11,0)</f>
        <v>0</v>
      </c>
      <c r="E9" s="14">
        <f>57+70+68</f>
        <v>195</v>
      </c>
      <c r="F9" s="11"/>
      <c r="G9" s="11"/>
      <c r="H9" s="11"/>
      <c r="I9" s="11"/>
      <c r="J9" s="11"/>
      <c r="K9" s="9">
        <f t="shared" ref="K9:K20" si="1">D9+E9-SUM(F9:J9)</f>
        <v>195</v>
      </c>
      <c r="L9" s="9">
        <v>195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VLOOKUP($B10,'1206'!$B10:$M24,11,0)</f>
        <v>144</v>
      </c>
      <c r="E10" s="10">
        <v>120</v>
      </c>
      <c r="F10" s="11">
        <v>19</v>
      </c>
      <c r="G10" s="11">
        <v>100</v>
      </c>
      <c r="H10" s="11"/>
      <c r="I10" s="11"/>
      <c r="J10" s="11"/>
      <c r="K10" s="9">
        <f t="shared" si="1"/>
        <v>145</v>
      </c>
      <c r="L10" s="9">
        <f>25+120</f>
        <v>145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VLOOKUP($B11,'1206'!$B11:$M25,11,0)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VLOOKUP($B12,'1206'!$B12:$M26,11,0)</f>
        <v>159</v>
      </c>
      <c r="E12" s="14">
        <v>120</v>
      </c>
      <c r="F12" s="11">
        <v>59</v>
      </c>
      <c r="G12" s="11">
        <v>100</v>
      </c>
      <c r="H12" s="11"/>
      <c r="I12" s="11"/>
      <c r="J12" s="11"/>
      <c r="K12" s="9">
        <f t="shared" si="1"/>
        <v>120</v>
      </c>
      <c r="L12" s="9">
        <v>120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VLOOKUP($B13,'1206'!$B13:$M27,11,0)</f>
        <v>120</v>
      </c>
      <c r="E13" s="14">
        <v>112</v>
      </c>
      <c r="F13" s="11">
        <v>24</v>
      </c>
      <c r="G13" s="11">
        <v>70</v>
      </c>
      <c r="H13" s="11"/>
      <c r="I13" s="11"/>
      <c r="J13" s="11"/>
      <c r="K13" s="9">
        <f t="shared" si="1"/>
        <v>138</v>
      </c>
      <c r="L13" s="9">
        <f>26+112</f>
        <v>138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VLOOKUP($B14,'1206'!$B14:$M28,11,0)</f>
        <v>3</v>
      </c>
      <c r="E14" s="14"/>
      <c r="F14" s="11"/>
      <c r="G14" s="11">
        <v>3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VLOOKUP($B15,'1206'!$B15:$M29,11,0)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VLOOKUP($B16,'1206'!$B16:$M30,11,0)</f>
        <v>0</v>
      </c>
      <c r="E16" s="14">
        <v>5</v>
      </c>
      <c r="F16" s="11"/>
      <c r="G16" s="11">
        <v>2</v>
      </c>
      <c r="H16" s="11"/>
      <c r="I16" s="11"/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VLOOKUP($B17,'1206'!$B17:$M31,11,0)</f>
        <v>3</v>
      </c>
      <c r="E17" s="14"/>
      <c r="F17" s="11"/>
      <c r="G17" s="11">
        <v>3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VLOOKUP($B18,'1206'!$B18:$M32,11,0)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VLOOKUP($B19,'1206'!$B19:$M33,11,0)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VLOOKUP($B20,'1206'!$B20:$M34,11,0)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VLOOKUP($B21,'1206'!$B21:$M35,11,0)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VLOOKUP($B22,'1206'!$B22:$M36,11,0)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VLOOKUP($B24,'1206'!$B24:$M38,11,0)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VLOOKUP($B26,'1206'!$B26:$M40,11,0)</f>
        <v>244</v>
      </c>
      <c r="E26" s="10">
        <v>60</v>
      </c>
      <c r="F26" s="9">
        <v>62</v>
      </c>
      <c r="G26" s="11"/>
      <c r="H26" s="9"/>
      <c r="I26" s="9"/>
      <c r="J26" s="9"/>
      <c r="K26" s="9">
        <f t="shared" ref="K26" si="4">D26+E26-F26</f>
        <v>242</v>
      </c>
      <c r="L26" s="9">
        <v>242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VLOOKUP($B27,'1206'!$B27:$M41,11,0)</f>
        <v>106</v>
      </c>
      <c r="E27" s="9"/>
      <c r="F27" s="9">
        <v>31</v>
      </c>
      <c r="G27" s="11"/>
      <c r="H27" s="9"/>
      <c r="I27" s="9"/>
      <c r="J27" s="9"/>
      <c r="K27" s="9">
        <f>D27+E27-F27</f>
        <v>75</v>
      </c>
      <c r="L27" s="9">
        <v>75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VLOOKUP($B28,'1206'!$B28:$M42,11,0)</f>
        <v>313</v>
      </c>
      <c r="E28" s="9">
        <v>75</v>
      </c>
      <c r="F28" s="9">
        <v>45</v>
      </c>
      <c r="G28" s="11"/>
      <c r="H28" s="9"/>
      <c r="I28" s="9"/>
      <c r="J28" s="9"/>
      <c r="K28" s="9">
        <f>D28+E28-F28</f>
        <v>343</v>
      </c>
      <c r="L28" s="9">
        <v>343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VLOOKUP($B29,'1206'!$B29:$M43,11,0)</f>
        <v>104</v>
      </c>
      <c r="E29" s="9">
        <v>80</v>
      </c>
      <c r="F29" s="9">
        <v>56</v>
      </c>
      <c r="G29" s="11"/>
      <c r="H29" s="9"/>
      <c r="I29" s="9"/>
      <c r="J29" s="9"/>
      <c r="K29" s="9">
        <f>D29+E29-F29</f>
        <v>128</v>
      </c>
      <c r="L29" s="9">
        <v>128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4" workbookViewId="0">
      <pane xSplit="1" topLeftCell="D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DATE(2015,6,13)</f>
        <v>42168</v>
      </c>
      <c r="E5" s="293">
        <f>D5+1</f>
        <v>42169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87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52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VLOOKUP($B8,'1306'!$B8:$M22,11,0)</f>
        <v>455</v>
      </c>
      <c r="E8" s="10"/>
      <c r="F8" s="11">
        <v>40</v>
      </c>
      <c r="G8" s="11"/>
      <c r="H8" s="11"/>
      <c r="I8" s="11"/>
      <c r="J8" s="11"/>
      <c r="K8" s="9">
        <f>D8+E8-SUM(F8:J8)</f>
        <v>415</v>
      </c>
      <c r="L8" s="9">
        <f>120+80+120+80</f>
        <v>400</v>
      </c>
      <c r="M8" s="9">
        <f t="shared" ref="M8:M19" si="0">L8-K8</f>
        <v>-15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VLOOKUP($B9,'1306'!$B9:$M23,11,0)</f>
        <v>195</v>
      </c>
      <c r="E9" s="14">
        <f>83+71</f>
        <v>154</v>
      </c>
      <c r="F9" s="11"/>
      <c r="G9" s="11"/>
      <c r="H9" s="11"/>
      <c r="I9" s="11"/>
      <c r="J9" s="11"/>
      <c r="K9" s="9">
        <f t="shared" ref="K9:K20" si="1">D9+E9-SUM(F9:J9)</f>
        <v>349</v>
      </c>
      <c r="L9" s="9">
        <f>154+120+76</f>
        <v>350</v>
      </c>
      <c r="M9" s="9">
        <f t="shared" si="0"/>
        <v>1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VLOOKUP($B10,'1306'!$B10:$M24,11,0)</f>
        <v>145</v>
      </c>
      <c r="E10" s="10">
        <v>130</v>
      </c>
      <c r="F10" s="11">
        <v>10</v>
      </c>
      <c r="G10" s="11"/>
      <c r="H10" s="11"/>
      <c r="I10" s="11"/>
      <c r="J10" s="11"/>
      <c r="K10" s="9">
        <f t="shared" si="1"/>
        <v>265</v>
      </c>
      <c r="L10" s="9">
        <f>90+45+130</f>
        <v>265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VLOOKUP($B11,'1306'!$B11:$M25,11,0)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VLOOKUP($B12,'1306'!$B12:$M26,11,0)</f>
        <v>120</v>
      </c>
      <c r="E12" s="14">
        <v>175</v>
      </c>
      <c r="F12" s="11">
        <v>13</v>
      </c>
      <c r="G12" s="11"/>
      <c r="H12" s="11"/>
      <c r="I12" s="11"/>
      <c r="J12" s="11"/>
      <c r="K12" s="9">
        <f t="shared" si="1"/>
        <v>282</v>
      </c>
      <c r="L12" s="9">
        <f>70+37+175</f>
        <v>282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VLOOKUP($B13,'1306'!$B13:$M27,11,0)</f>
        <v>138</v>
      </c>
      <c r="E13" s="14">
        <v>72</v>
      </c>
      <c r="F13" s="11">
        <v>20</v>
      </c>
      <c r="G13" s="11"/>
      <c r="H13" s="11"/>
      <c r="I13" s="11"/>
      <c r="J13" s="11"/>
      <c r="K13" s="9">
        <f t="shared" si="1"/>
        <v>190</v>
      </c>
      <c r="L13" s="9">
        <f>82+25+72+11</f>
        <v>190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VLOOKUP($B14,'1306'!$B14:$M28,11,0)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VLOOKUP($B15,'1306'!$B15:$M29,11,0)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VLOOKUP($B16,'1306'!$B16:$M30,11,0)</f>
        <v>3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VLOOKUP($B17,'1306'!$B17:$M31,11,0)</f>
        <v>0</v>
      </c>
      <c r="E17" s="14">
        <v>1</v>
      </c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VLOOKUP($B18,'1306'!$B18:$M32,11,0)</f>
        <v>0</v>
      </c>
      <c r="E18" s="14">
        <v>1</v>
      </c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VLOOKUP($B19,'1306'!$B19:$M33,11,0)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VLOOKUP($B20,'1306'!$B20:$M34,11,0)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VLOOKUP($B21,'1306'!$B21:$M35,11,0)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VLOOKUP($B22,'1306'!$B22:$M36,11,0)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VLOOKUP($B24,'1306'!$B24:$M38,11,0)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VLOOKUP($B26,'1306'!$B26:$M40,11,0)</f>
        <v>242</v>
      </c>
      <c r="E26" s="10">
        <v>63</v>
      </c>
      <c r="F26" s="9">
        <v>85</v>
      </c>
      <c r="G26" s="11"/>
      <c r="H26" s="9"/>
      <c r="I26" s="9"/>
      <c r="J26" s="9"/>
      <c r="K26" s="9">
        <f t="shared" ref="K26" si="4">D26+E26-F26</f>
        <v>220</v>
      </c>
      <c r="L26" s="9">
        <v>220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VLOOKUP($B27,'1306'!$B27:$M41,11,0)</f>
        <v>75</v>
      </c>
      <c r="E27" s="9">
        <v>43</v>
      </c>
      <c r="F27" s="9">
        <v>35</v>
      </c>
      <c r="G27" s="11"/>
      <c r="H27" s="9"/>
      <c r="I27" s="9"/>
      <c r="J27" s="9"/>
      <c r="K27" s="9">
        <f>D27+E27-F27</f>
        <v>83</v>
      </c>
      <c r="L27" s="9">
        <v>83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VLOOKUP($B28,'1306'!$B28:$M42,11,0)</f>
        <v>343</v>
      </c>
      <c r="E28" s="9">
        <v>73</v>
      </c>
      <c r="F28" s="9">
        <v>80</v>
      </c>
      <c r="G28" s="11"/>
      <c r="H28" s="9"/>
      <c r="I28" s="9"/>
      <c r="J28" s="9"/>
      <c r="K28" s="9">
        <f>D28+E28-F28</f>
        <v>336</v>
      </c>
      <c r="L28" s="9">
        <v>336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VLOOKUP($B29,'1306'!$B29:$M43,11,0)</f>
        <v>128</v>
      </c>
      <c r="E29" s="9">
        <v>41</v>
      </c>
      <c r="F29" s="9">
        <v>54</v>
      </c>
      <c r="G29" s="11"/>
      <c r="H29" s="9"/>
      <c r="I29" s="9"/>
      <c r="J29" s="9"/>
      <c r="K29" s="9">
        <f>D29+E29-F29</f>
        <v>115</v>
      </c>
      <c r="L29" s="9">
        <v>115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E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9" max="9" width="15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DATE(2015,6,14)</f>
        <v>42169</v>
      </c>
      <c r="E5" s="293">
        <f>D5+1</f>
        <v>42170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87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45</v>
      </c>
      <c r="H7" s="5" t="s">
        <v>62</v>
      </c>
      <c r="I7" s="5" t="s">
        <v>66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VLOOKUP($B8,'1406'!$B8:$M22,11,0)</f>
        <v>400</v>
      </c>
      <c r="E8" s="10">
        <f>77+82+100+101</f>
        <v>360</v>
      </c>
      <c r="F8" s="11">
        <v>50</v>
      </c>
      <c r="G8" s="11">
        <v>70</v>
      </c>
      <c r="H8" s="11">
        <v>50</v>
      </c>
      <c r="I8" s="11"/>
      <c r="J8" s="11"/>
      <c r="K8" s="9">
        <f>D8+E8-SUM(F8:J8)</f>
        <v>590</v>
      </c>
      <c r="L8" s="9">
        <f>120+110+360</f>
        <v>590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VLOOKUP($B9,'1406'!$B9:$M23,11,0)</f>
        <v>350</v>
      </c>
      <c r="E9" s="14"/>
      <c r="F9" s="11"/>
      <c r="G9" s="11"/>
      <c r="H9" s="11"/>
      <c r="I9" s="11"/>
      <c r="J9" s="11"/>
      <c r="K9" s="9">
        <f t="shared" ref="K9:K20" si="1">D9+E9-SUM(F9:J9)</f>
        <v>350</v>
      </c>
      <c r="L9" s="9">
        <f>155+120+76</f>
        <v>351</v>
      </c>
      <c r="M9" s="9">
        <f t="shared" si="0"/>
        <v>1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VLOOKUP($B10,'1406'!$B10:$M24,11,0)</f>
        <v>265</v>
      </c>
      <c r="E10" s="10">
        <v>175</v>
      </c>
      <c r="F10" s="11">
        <v>10</v>
      </c>
      <c r="G10" s="11">
        <v>70</v>
      </c>
      <c r="H10" s="11">
        <v>50</v>
      </c>
      <c r="I10" s="11"/>
      <c r="J10" s="11"/>
      <c r="K10" s="9">
        <f t="shared" si="1"/>
        <v>310</v>
      </c>
      <c r="L10" s="9">
        <f>90+45+175</f>
        <v>310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VLOOKUP($B11,'1406'!$B11:$M25,11,0)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VLOOKUP($B12,'1406'!$B12:$M26,11,0)</f>
        <v>282</v>
      </c>
      <c r="E12" s="14">
        <v>133</v>
      </c>
      <c r="F12" s="11">
        <v>30</v>
      </c>
      <c r="G12" s="11">
        <v>67</v>
      </c>
      <c r="H12" s="11">
        <v>50</v>
      </c>
      <c r="I12" s="11"/>
      <c r="J12" s="11"/>
      <c r="K12" s="9">
        <f t="shared" si="1"/>
        <v>268</v>
      </c>
      <c r="L12" s="9">
        <f>135+133</f>
        <v>268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VLOOKUP($B13,'1406'!$B13:$M27,11,0)</f>
        <v>190</v>
      </c>
      <c r="E13" s="14">
        <v>118</v>
      </c>
      <c r="F13" s="11">
        <v>20</v>
      </c>
      <c r="G13" s="11"/>
      <c r="H13" s="11">
        <v>47</v>
      </c>
      <c r="I13" s="11"/>
      <c r="J13" s="11"/>
      <c r="K13" s="9">
        <f t="shared" si="1"/>
        <v>241</v>
      </c>
      <c r="L13" s="9">
        <f>50+53+118+20</f>
        <v>241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VLOOKUP($B14,'1406'!$B14:$M28,11,0)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VLOOKUP($B15,'1406'!$B15:$M29,11,0)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VLOOKUP($B16,'1406'!$B16:$M30,11,0)</f>
        <v>3</v>
      </c>
      <c r="E16" s="14">
        <v>4</v>
      </c>
      <c r="F16" s="11"/>
      <c r="G16" s="11">
        <v>1</v>
      </c>
      <c r="H16" s="11">
        <v>2</v>
      </c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VLOOKUP($B17,'1406'!$B17:$M31,11,0)</f>
        <v>1</v>
      </c>
      <c r="E17" s="14"/>
      <c r="F17" s="11"/>
      <c r="G17" s="11">
        <v>1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VLOOKUP($B18,'1406'!$B18:$M32,11,0)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VLOOKUP($B19,'1406'!$B19:$M33,11,0)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VLOOKUP($B20,'1406'!$B20:$M34,11,0)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VLOOKUP($B21,'1406'!$B21:$M35,11,0)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VLOOKUP($B22,'1406'!$B22:$M36,11,0)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VLOOKUP($B23,'1406'!$B23:$M37,11,0)</f>
        <v>0</v>
      </c>
      <c r="E23" s="14">
        <v>40</v>
      </c>
      <c r="F23" s="9"/>
      <c r="G23" s="9"/>
      <c r="H23" s="9"/>
      <c r="I23" s="9">
        <v>40</v>
      </c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VLOOKUP($B26,'1406'!$B26:$M40,11,0)</f>
        <v>220</v>
      </c>
      <c r="E26" s="10">
        <v>69</v>
      </c>
      <c r="F26" s="9">
        <v>75</v>
      </c>
      <c r="G26" s="11"/>
      <c r="H26" s="9"/>
      <c r="I26" s="9"/>
      <c r="J26" s="9"/>
      <c r="K26" s="9">
        <f t="shared" ref="K26" si="4">D26+E26-F26</f>
        <v>214</v>
      </c>
      <c r="L26" s="9">
        <v>214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VLOOKUP($B27,'1406'!$B27:$M41,11,0)</f>
        <v>83</v>
      </c>
      <c r="E27" s="9">
        <v>40</v>
      </c>
      <c r="F27" s="9">
        <v>20</v>
      </c>
      <c r="G27" s="11"/>
      <c r="H27" s="9"/>
      <c r="I27" s="9"/>
      <c r="J27" s="9"/>
      <c r="K27" s="9">
        <f>D27+E27-F27</f>
        <v>103</v>
      </c>
      <c r="L27" s="9">
        <v>103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VLOOKUP($B28,'1406'!$B28:$M42,11,0)</f>
        <v>336</v>
      </c>
      <c r="E28" s="9">
        <v>74</v>
      </c>
      <c r="F28" s="9">
        <v>88</v>
      </c>
      <c r="G28" s="11"/>
      <c r="H28" s="9"/>
      <c r="I28" s="9"/>
      <c r="J28" s="9"/>
      <c r="K28" s="9">
        <f>D28+E28-F28</f>
        <v>322</v>
      </c>
      <c r="L28" s="9">
        <v>322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VLOOKUP($B29,'1406'!$B29:$M43,11,0)</f>
        <v>115</v>
      </c>
      <c r="E29" s="9">
        <v>40</v>
      </c>
      <c r="F29" s="9">
        <v>60</v>
      </c>
      <c r="G29" s="11"/>
      <c r="H29" s="9"/>
      <c r="I29" s="9"/>
      <c r="J29" s="9"/>
      <c r="K29" s="9">
        <f>D29+E29-F29</f>
        <v>95</v>
      </c>
      <c r="L29" s="9">
        <v>95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DATE(2015,6,15)</f>
        <v>42170</v>
      </c>
      <c r="E5" s="293">
        <f>D5+1</f>
        <v>42171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88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52</v>
      </c>
      <c r="H7" s="5" t="s">
        <v>54</v>
      </c>
      <c r="I7" s="5" t="s">
        <v>43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VLOOKUP($B8,'1506'!$B8:$M22,11,0)</f>
        <v>590</v>
      </c>
      <c r="E8" s="10"/>
      <c r="F8" s="11">
        <v>40</v>
      </c>
      <c r="G8" s="11">
        <v>200</v>
      </c>
      <c r="H8" s="11">
        <v>50</v>
      </c>
      <c r="I8" s="11">
        <v>50</v>
      </c>
      <c r="J8" s="11"/>
      <c r="K8" s="9">
        <f>D8+E8-SUM(F8:J8)</f>
        <v>250</v>
      </c>
      <c r="L8" s="9">
        <f>80+98+72</f>
        <v>250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VLOOKUP($B9,'1506'!$B9:$M23,11,0)</f>
        <v>351</v>
      </c>
      <c r="E9" s="14">
        <f>55+67+66</f>
        <v>188</v>
      </c>
      <c r="F9" s="11"/>
      <c r="G9" s="11"/>
      <c r="H9" s="11">
        <v>70</v>
      </c>
      <c r="I9" s="11">
        <v>50</v>
      </c>
      <c r="J9" s="11"/>
      <c r="K9" s="9">
        <f t="shared" ref="K9:K20" si="1">D9+E9-SUM(F9:J9)</f>
        <v>419</v>
      </c>
      <c r="L9" s="9">
        <f>150+11+120+138</f>
        <v>419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VLOOKUP($B10,'1506'!$B10:$M24,11,0)</f>
        <v>310</v>
      </c>
      <c r="E10" s="10">
        <v>86</v>
      </c>
      <c r="F10" s="11">
        <v>10</v>
      </c>
      <c r="G10" s="11">
        <v>195</v>
      </c>
      <c r="H10" s="11">
        <v>40</v>
      </c>
      <c r="I10" s="11">
        <v>50</v>
      </c>
      <c r="J10" s="11"/>
      <c r="K10" s="9">
        <f t="shared" si="1"/>
        <v>101</v>
      </c>
      <c r="L10" s="9">
        <f>70+31</f>
        <v>101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VLOOKUP($B11,'1506'!$B11:$M25,11,0)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VLOOKUP($B12,'1506'!$B12:$M26,11,0)</f>
        <v>268</v>
      </c>
      <c r="E12" s="14">
        <v>160</v>
      </c>
      <c r="F12" s="11">
        <v>30</v>
      </c>
      <c r="G12" s="11">
        <v>198</v>
      </c>
      <c r="H12" s="11">
        <v>50</v>
      </c>
      <c r="I12" s="11">
        <v>50</v>
      </c>
      <c r="J12" s="11"/>
      <c r="K12" s="9">
        <f t="shared" si="1"/>
        <v>100</v>
      </c>
      <c r="L12" s="9">
        <v>100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VLOOKUP($B13,'1506'!$B13:$M27,11,0)</f>
        <v>241</v>
      </c>
      <c r="E13" s="14">
        <v>158</v>
      </c>
      <c r="F13" s="11">
        <v>20</v>
      </c>
      <c r="G13" s="11">
        <v>200</v>
      </c>
      <c r="H13" s="11">
        <v>23</v>
      </c>
      <c r="I13" s="11">
        <v>50</v>
      </c>
      <c r="J13" s="11"/>
      <c r="K13" s="9">
        <f t="shared" si="1"/>
        <v>106</v>
      </c>
      <c r="L13" s="9">
        <v>106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VLOOKUP($B14,'1506'!$B14:$M28,11,0)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VLOOKUP($B15,'1506'!$B15:$M29,11,0)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VLOOKUP($B16,'1506'!$B16:$M30,11,0)</f>
        <v>4</v>
      </c>
      <c r="E16" s="14">
        <v>2</v>
      </c>
      <c r="F16" s="11"/>
      <c r="G16" s="11">
        <v>1</v>
      </c>
      <c r="H16" s="11"/>
      <c r="I16" s="11">
        <v>2</v>
      </c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VLOOKUP($B17,'1506'!$B17:$M31,11,0)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VLOOKUP($B18,'1506'!$B18:$M32,11,0)</f>
        <v>1</v>
      </c>
      <c r="E18" s="14">
        <v>1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VLOOKUP($B19,'1506'!$B19:$M33,11,0)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VLOOKUP($B20,'1506'!$B20:$M34,11,0)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VLOOKUP($B21,'1506'!$B21:$M35,11,0)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VLOOKUP($B22,'1506'!$B22:$M36,11,0)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VLOOKUP($B23,'1506'!$B23:$M37,11,0)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VLOOKUP($B24,'1506'!$B24:$M38,11,0)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VLOOKUP($B26,'1506'!$B26:$M40,11,0)</f>
        <v>214</v>
      </c>
      <c r="E26" s="10">
        <v>66</v>
      </c>
      <c r="F26" s="9">
        <v>85</v>
      </c>
      <c r="G26" s="11"/>
      <c r="H26" s="9"/>
      <c r="I26" s="9"/>
      <c r="J26" s="9"/>
      <c r="K26" s="9">
        <f t="shared" ref="K26" si="4">D26+E26-F26</f>
        <v>195</v>
      </c>
      <c r="L26" s="9">
        <v>195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VLOOKUP($B27,'1506'!$B27:$M41,11,0)</f>
        <v>103</v>
      </c>
      <c r="E27" s="9">
        <v>56</v>
      </c>
      <c r="F27" s="9">
        <v>40</v>
      </c>
      <c r="G27" s="11"/>
      <c r="H27" s="9"/>
      <c r="I27" s="9"/>
      <c r="J27" s="9"/>
      <c r="K27" s="9">
        <f>D27+E27-F27</f>
        <v>119</v>
      </c>
      <c r="L27" s="9">
        <v>119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VLOOKUP($B28,'1506'!$B28:$M42,11,0)</f>
        <v>322</v>
      </c>
      <c r="E28" s="9">
        <v>153</v>
      </c>
      <c r="F28" s="9">
        <v>127</v>
      </c>
      <c r="G28" s="11"/>
      <c r="H28" s="9"/>
      <c r="I28" s="9"/>
      <c r="J28" s="9"/>
      <c r="K28" s="9">
        <f>D28+E28-F28</f>
        <v>348</v>
      </c>
      <c r="L28" s="9">
        <v>348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VLOOKUP($B29,'1506'!$B29:$M43,11,0)</f>
        <v>95</v>
      </c>
      <c r="E29" s="9">
        <v>80</v>
      </c>
      <c r="F29" s="9">
        <v>49</v>
      </c>
      <c r="G29" s="11"/>
      <c r="H29" s="9"/>
      <c r="I29" s="9"/>
      <c r="J29" s="9"/>
      <c r="K29" s="9">
        <f>D29+E29-F29</f>
        <v>126</v>
      </c>
      <c r="L29" s="9">
        <v>126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7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0" max="10" width="16.855468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DATE(2015,6,16)</f>
        <v>42171</v>
      </c>
      <c r="E5" s="293">
        <f>D5+1</f>
        <v>42172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89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38</v>
      </c>
      <c r="H7" s="5" t="s">
        <v>40</v>
      </c>
      <c r="I7" s="5" t="s">
        <v>39</v>
      </c>
      <c r="J7" s="5" t="s">
        <v>66</v>
      </c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VLOOKUP($B8,'1606'!$B8:$M22,11,0)</f>
        <v>250</v>
      </c>
      <c r="E8" s="10">
        <f>95+99</f>
        <v>194</v>
      </c>
      <c r="F8" s="11">
        <v>40</v>
      </c>
      <c r="G8" s="11">
        <v>30</v>
      </c>
      <c r="H8" s="11">
        <v>30</v>
      </c>
      <c r="I8" s="11">
        <v>40</v>
      </c>
      <c r="J8" s="11"/>
      <c r="K8" s="9">
        <f>D8+E8-SUM(F8:J8)</f>
        <v>304</v>
      </c>
      <c r="L8" s="9">
        <f>90+10+20+184</f>
        <v>304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VLOOKUP($B9,'1606'!$B9:$M23,11,0)</f>
        <v>419</v>
      </c>
      <c r="E9" s="14"/>
      <c r="F9" s="11"/>
      <c r="G9" s="11">
        <v>30</v>
      </c>
      <c r="H9" s="11">
        <v>40</v>
      </c>
      <c r="I9" s="11">
        <v>40</v>
      </c>
      <c r="J9" s="11"/>
      <c r="K9" s="9">
        <f t="shared" ref="K9:K23" si="1">D9+E9-SUM(F9:J9)</f>
        <v>309</v>
      </c>
      <c r="L9" s="9">
        <f>120+89+100</f>
        <v>309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VLOOKUP($B10,'1606'!$B10:$M24,11,0)</f>
        <v>101</v>
      </c>
      <c r="E10" s="10">
        <v>130</v>
      </c>
      <c r="F10" s="11">
        <v>10</v>
      </c>
      <c r="G10" s="11"/>
      <c r="H10" s="11">
        <v>10</v>
      </c>
      <c r="I10" s="11">
        <v>61</v>
      </c>
      <c r="J10" s="11"/>
      <c r="K10" s="9">
        <f t="shared" si="1"/>
        <v>150</v>
      </c>
      <c r="L10" s="9">
        <v>150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VLOOKUP($B11,'1606'!$B11:$M25,11,0)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VLOOKUP($B12,'1606'!$B12:$M26,11,0)</f>
        <v>100</v>
      </c>
      <c r="E12" s="14">
        <v>165</v>
      </c>
      <c r="F12" s="11">
        <v>30</v>
      </c>
      <c r="G12" s="11">
        <v>30</v>
      </c>
      <c r="H12" s="11">
        <v>50</v>
      </c>
      <c r="I12" s="11">
        <v>40</v>
      </c>
      <c r="J12" s="11"/>
      <c r="K12" s="9">
        <f t="shared" si="1"/>
        <v>115</v>
      </c>
      <c r="L12" s="9">
        <v>115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VLOOKUP($B13,'1606'!$B13:$M27,11,0)</f>
        <v>106</v>
      </c>
      <c r="E13" s="14">
        <v>114</v>
      </c>
      <c r="F13" s="11">
        <v>20</v>
      </c>
      <c r="G13" s="11">
        <v>30</v>
      </c>
      <c r="H13" s="11">
        <v>40</v>
      </c>
      <c r="I13" s="11">
        <v>40</v>
      </c>
      <c r="J13" s="11"/>
      <c r="K13" s="9">
        <f t="shared" si="1"/>
        <v>90</v>
      </c>
      <c r="L13" s="9">
        <v>90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VLOOKUP($B14,'1606'!$B14:$M28,11,0)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VLOOKUP($B15,'1606'!$B15:$M29,11,0)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VLOOKUP($B16,'1606'!$B16:$M30,11,0)</f>
        <v>3</v>
      </c>
      <c r="E16" s="14">
        <v>6</v>
      </c>
      <c r="F16" s="11">
        <v>1</v>
      </c>
      <c r="G16" s="11">
        <v>1</v>
      </c>
      <c r="H16" s="11">
        <v>1</v>
      </c>
      <c r="I16" s="11">
        <v>1</v>
      </c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VLOOKUP($B17,'1606'!$B17:$M31,11,0)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VLOOKUP($B18,'1606'!$B18:$M32,11,0)</f>
        <v>2</v>
      </c>
      <c r="E18" s="14"/>
      <c r="F18" s="11"/>
      <c r="G18" s="11"/>
      <c r="H18" s="11"/>
      <c r="I18" s="11">
        <v>1</v>
      </c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VLOOKUP($B19,'1606'!$B19:$M33,11,0)</f>
        <v>0</v>
      </c>
      <c r="E19" s="14">
        <v>1</v>
      </c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VLOOKUP($B20,'1606'!$B20:$M34,11,0)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VLOOKUP($B21,'1606'!$B21:$M35,11,0)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VLOOKUP($B22,'1606'!$B22:$M36,11,0)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VLOOKUP($B23,'1606'!$B23:$M37,11,0)</f>
        <v>0</v>
      </c>
      <c r="E23" s="14">
        <v>100</v>
      </c>
      <c r="F23" s="9">
        <v>50</v>
      </c>
      <c r="G23" s="9"/>
      <c r="H23" s="9"/>
      <c r="I23" s="9"/>
      <c r="J23" s="9">
        <v>50</v>
      </c>
      <c r="K23" s="9">
        <f t="shared" si="1"/>
        <v>0</v>
      </c>
      <c r="L23" s="9">
        <v>0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VLOOKUP($B24,'1606'!$B24:$M38,11,0)</f>
        <v>0</v>
      </c>
      <c r="E24" s="9"/>
      <c r="F24" s="9"/>
      <c r="G24" s="9"/>
      <c r="H24" s="9"/>
      <c r="I24" s="9"/>
      <c r="J24" s="9"/>
      <c r="K24" s="9">
        <f t="shared" ref="K24" si="3">D24+E24-SUM(F24:I24)</f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VLOOKUP($B26,'1606'!$B26:$M40,11,0)</f>
        <v>195</v>
      </c>
      <c r="E26" s="10">
        <v>130</v>
      </c>
      <c r="F26" s="9">
        <v>122</v>
      </c>
      <c r="G26" s="11"/>
      <c r="H26" s="9"/>
      <c r="I26" s="9"/>
      <c r="J26" s="9"/>
      <c r="K26" s="9">
        <f t="shared" ref="K26" si="4">D26+E26-F26</f>
        <v>203</v>
      </c>
      <c r="L26" s="9">
        <v>203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VLOOKUP($B27,'1606'!$B27:$M41,11,0)</f>
        <v>119</v>
      </c>
      <c r="E27" s="9">
        <v>30</v>
      </c>
      <c r="F27" s="9">
        <v>63</v>
      </c>
      <c r="G27" s="11"/>
      <c r="H27" s="9"/>
      <c r="I27" s="9"/>
      <c r="J27" s="9"/>
      <c r="K27" s="9">
        <f>D27+E27-F27</f>
        <v>86</v>
      </c>
      <c r="L27" s="9">
        <v>86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VLOOKUP($B28,'1606'!$B28:$M42,11,0)</f>
        <v>348</v>
      </c>
      <c r="E28" s="9">
        <v>151</v>
      </c>
      <c r="F28" s="9">
        <v>195</v>
      </c>
      <c r="G28" s="11"/>
      <c r="H28" s="9"/>
      <c r="I28" s="9"/>
      <c r="J28" s="9"/>
      <c r="K28" s="9">
        <f>D28+E28-F28</f>
        <v>304</v>
      </c>
      <c r="L28" s="9">
        <v>304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VLOOKUP($B29,'1606'!$B29:$M43,11,0)</f>
        <v>126</v>
      </c>
      <c r="E29" s="9">
        <v>42</v>
      </c>
      <c r="F29" s="9">
        <v>60</v>
      </c>
      <c r="G29" s="11"/>
      <c r="H29" s="9"/>
      <c r="I29" s="9"/>
      <c r="J29" s="9"/>
      <c r="K29" s="9">
        <f>D29+E29-F29</f>
        <v>108</v>
      </c>
      <c r="L29" s="9">
        <v>108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9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DATE(2015,6,17)</f>
        <v>42172</v>
      </c>
      <c r="E5" s="293">
        <f>D5+1</f>
        <v>42173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90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52</v>
      </c>
      <c r="H7" s="5" t="s">
        <v>56</v>
      </c>
      <c r="I7" s="5" t="s">
        <v>66</v>
      </c>
      <c r="J7" s="5" t="s">
        <v>38</v>
      </c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VLOOKUP($B8,'1706'!$B8:$M22,11,0)</f>
        <v>304</v>
      </c>
      <c r="E8" s="10">
        <f>105+114+96</f>
        <v>315</v>
      </c>
      <c r="F8" s="11">
        <v>40</v>
      </c>
      <c r="G8" s="11">
        <v>247</v>
      </c>
      <c r="H8" s="11">
        <v>20</v>
      </c>
      <c r="I8" s="11"/>
      <c r="J8" s="11"/>
      <c r="K8" s="9">
        <f>D8+E8-SUM(F8:J8)</f>
        <v>312</v>
      </c>
      <c r="L8" s="9">
        <v>315</v>
      </c>
      <c r="M8" s="9">
        <f t="shared" ref="M8:M19" si="0">L8-K8</f>
        <v>3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VLOOKUP($B9,'1706'!$B9:$M23,11,0)</f>
        <v>309</v>
      </c>
      <c r="E9" s="14"/>
      <c r="F9" s="11"/>
      <c r="G9" s="11"/>
      <c r="H9" s="11">
        <v>150</v>
      </c>
      <c r="I9" s="11"/>
      <c r="J9" s="11"/>
      <c r="K9" s="9">
        <f t="shared" ref="K9:K20" si="1">D9+E9-SUM(F9:J9)</f>
        <v>159</v>
      </c>
      <c r="L9" s="9">
        <f>120+41</f>
        <v>161</v>
      </c>
      <c r="M9" s="9">
        <f t="shared" si="0"/>
        <v>2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VLOOKUP($B10,'1706'!$B10:$M24,11,0)</f>
        <v>150</v>
      </c>
      <c r="E10" s="10">
        <v>163</v>
      </c>
      <c r="F10" s="11">
        <v>10</v>
      </c>
      <c r="G10" s="11">
        <v>70</v>
      </c>
      <c r="H10" s="11">
        <v>80</v>
      </c>
      <c r="I10" s="11"/>
      <c r="J10" s="11"/>
      <c r="K10" s="9">
        <f t="shared" si="1"/>
        <v>153</v>
      </c>
      <c r="L10" s="9">
        <v>153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VLOOKUP($B11,'1706'!$B11:$M25,11,0)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VLOOKUP($B12,'1706'!$B12:$M26,11,0)</f>
        <v>115</v>
      </c>
      <c r="E12" s="14">
        <v>163</v>
      </c>
      <c r="F12" s="11">
        <v>30</v>
      </c>
      <c r="G12" s="11">
        <v>85</v>
      </c>
      <c r="H12" s="11">
        <v>50</v>
      </c>
      <c r="I12" s="11"/>
      <c r="J12" s="11"/>
      <c r="K12" s="9">
        <f t="shared" si="1"/>
        <v>113</v>
      </c>
      <c r="L12" s="9">
        <v>113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VLOOKUP($B13,'1706'!$B13:$M27,11,0)</f>
        <v>90</v>
      </c>
      <c r="E13" s="14">
        <v>118</v>
      </c>
      <c r="F13" s="11">
        <v>20</v>
      </c>
      <c r="G13" s="11"/>
      <c r="H13" s="11">
        <v>94</v>
      </c>
      <c r="I13" s="11"/>
      <c r="J13" s="11"/>
      <c r="K13" s="9">
        <f t="shared" si="1"/>
        <v>94</v>
      </c>
      <c r="L13" s="9">
        <v>94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VLOOKUP($B14,'1706'!$B14:$M28,11,0)</f>
        <v>2</v>
      </c>
      <c r="E14" s="14"/>
      <c r="F14" s="11"/>
      <c r="G14" s="11"/>
      <c r="H14" s="11">
        <v>2</v>
      </c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VLOOKUP($B15,'1706'!$B15:$M29,11,0)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VLOOKUP($B16,'1706'!$B16:$M30,11,0)</f>
        <v>5</v>
      </c>
      <c r="E16" s="14">
        <v>4</v>
      </c>
      <c r="F16" s="11"/>
      <c r="G16" s="11">
        <v>2</v>
      </c>
      <c r="H16" s="11">
        <v>2</v>
      </c>
      <c r="I16" s="11"/>
      <c r="J16" s="11">
        <v>1</v>
      </c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VLOOKUP($B17,'1706'!$B17:$M31,11,0)</f>
        <v>2</v>
      </c>
      <c r="E17" s="14">
        <v>1</v>
      </c>
      <c r="F17" s="11"/>
      <c r="G17" s="11"/>
      <c r="H17" s="11">
        <v>1</v>
      </c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VLOOKUP($B18,'1706'!$B18:$M32,11,0)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VLOOKUP($B19,'1706'!$B19:$M33,11,0)</f>
        <v>1</v>
      </c>
      <c r="E19" s="14">
        <v>2</v>
      </c>
      <c r="F19" s="11"/>
      <c r="G19" s="11"/>
      <c r="H19" s="11">
        <v>1</v>
      </c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VLOOKUP($B20,'1706'!$B20:$M34,11,0)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VLOOKUP($B21,'1706'!$B21:$M35,11,0)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VLOOKUP($B22,'1706'!$B22:$M36,11,0)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VLOOKUP($B23,'1706'!$B23:$M37,11,0)</f>
        <v>0</v>
      </c>
      <c r="E23" s="14">
        <v>30</v>
      </c>
      <c r="F23" s="9"/>
      <c r="G23" s="9"/>
      <c r="H23" s="9"/>
      <c r="I23" s="9">
        <v>30</v>
      </c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VLOOKUP($B24,'1706'!$B24:$M38,11,0)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VLOOKUP($B26,'1706'!$B26:$M40,11,0)</f>
        <v>203</v>
      </c>
      <c r="E26" s="10">
        <v>138</v>
      </c>
      <c r="F26" s="9">
        <v>111</v>
      </c>
      <c r="G26" s="11"/>
      <c r="H26" s="9"/>
      <c r="I26" s="9"/>
      <c r="J26" s="9"/>
      <c r="K26" s="9">
        <f t="shared" ref="K26" si="4">D26+E26-F26</f>
        <v>230</v>
      </c>
      <c r="L26" s="9">
        <v>230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VLOOKUP($B27,'1706'!$B27:$M41,11,0)</f>
        <v>86</v>
      </c>
      <c r="E27" s="9"/>
      <c r="F27" s="9">
        <v>7</v>
      </c>
      <c r="G27" s="11"/>
      <c r="H27" s="9"/>
      <c r="I27" s="9"/>
      <c r="J27" s="9"/>
      <c r="K27" s="9">
        <f>D27+E27-F27</f>
        <v>79</v>
      </c>
      <c r="L27" s="9">
        <v>79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VLOOKUP($B28,'1706'!$B28:$M42,11,0)</f>
        <v>304</v>
      </c>
      <c r="E28" s="9">
        <v>158</v>
      </c>
      <c r="F28" s="9">
        <v>153</v>
      </c>
      <c r="G28" s="11"/>
      <c r="H28" s="9"/>
      <c r="I28" s="9"/>
      <c r="J28" s="9"/>
      <c r="K28" s="9">
        <f>D28+E28-F28</f>
        <v>309</v>
      </c>
      <c r="L28" s="9">
        <v>309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VLOOKUP($B29,'1706'!$B29:$M43,11,0)</f>
        <v>108</v>
      </c>
      <c r="E29" s="9">
        <v>39</v>
      </c>
      <c r="F29" s="9">
        <v>60</v>
      </c>
      <c r="G29" s="11"/>
      <c r="H29" s="9"/>
      <c r="I29" s="9"/>
      <c r="J29" s="9"/>
      <c r="K29" s="9">
        <f>D29+E29-F29</f>
        <v>87</v>
      </c>
      <c r="L29" s="9">
        <v>87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4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DATE(2015,4,7)</f>
        <v>42101</v>
      </c>
      <c r="E5" s="293">
        <f>D5+1</f>
        <v>42102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30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38</v>
      </c>
      <c r="H7" s="5" t="s">
        <v>40</v>
      </c>
      <c r="I7" s="5" t="s">
        <v>39</v>
      </c>
      <c r="J7" s="5" t="s">
        <v>42</v>
      </c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VLOOKUP($B8,'0704'!$B8:$K22,10,0)</f>
        <v>222</v>
      </c>
      <c r="E8" s="10">
        <f>115+100+106</f>
        <v>321</v>
      </c>
      <c r="F8" s="11">
        <f>40</f>
        <v>40</v>
      </c>
      <c r="G8" s="11"/>
      <c r="H8" s="11">
        <v>40</v>
      </c>
      <c r="I8" s="11">
        <v>22</v>
      </c>
      <c r="J8" s="11"/>
      <c r="K8" s="9">
        <f t="shared" ref="K8:K19" si="0">D8+E8-SUM(F8:J8)</f>
        <v>441</v>
      </c>
      <c r="L8" s="9">
        <v>441</v>
      </c>
      <c r="M8" s="9">
        <f t="shared" ref="M8:M19" si="1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VLOOKUP($B9,'0704'!$B9:$K23,10,0)</f>
        <v>84</v>
      </c>
      <c r="E9" s="14"/>
      <c r="F9" s="11"/>
      <c r="G9" s="11">
        <v>34</v>
      </c>
      <c r="H9" s="11">
        <v>30</v>
      </c>
      <c r="I9" s="11">
        <v>20</v>
      </c>
      <c r="J9" s="11"/>
      <c r="K9" s="9">
        <f t="shared" si="0"/>
        <v>0</v>
      </c>
      <c r="L9" s="9"/>
      <c r="M9" s="9">
        <f t="shared" si="1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VLOOKUP($B10,'0704'!$B10:$K24,10,0)</f>
        <v>120</v>
      </c>
      <c r="E10" s="10">
        <v>113</v>
      </c>
      <c r="F10" s="11"/>
      <c r="G10" s="11">
        <v>30</v>
      </c>
      <c r="H10" s="11">
        <v>40</v>
      </c>
      <c r="I10" s="11">
        <v>30</v>
      </c>
      <c r="J10" s="11"/>
      <c r="K10" s="9">
        <f t="shared" si="0"/>
        <v>133</v>
      </c>
      <c r="L10" s="9">
        <v>133</v>
      </c>
      <c r="M10" s="9">
        <f t="shared" si="1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VLOOKUP($B11,'0704'!$B11:$K25,10,0)</f>
        <v>430</v>
      </c>
      <c r="E11" s="10"/>
      <c r="F11" s="11"/>
      <c r="G11" s="11">
        <v>200</v>
      </c>
      <c r="H11" s="11"/>
      <c r="I11" s="11">
        <v>230</v>
      </c>
      <c r="J11" s="11"/>
      <c r="K11" s="9">
        <f t="shared" si="0"/>
        <v>0</v>
      </c>
      <c r="L11" s="9"/>
      <c r="M11" s="9">
        <f t="shared" si="1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VLOOKUP($B12,'0704'!$B12:$K26,10,0)</f>
        <v>196</v>
      </c>
      <c r="E12" s="14">
        <v>74</v>
      </c>
      <c r="F12" s="11"/>
      <c r="G12" s="11">
        <v>44</v>
      </c>
      <c r="H12" s="11">
        <v>72</v>
      </c>
      <c r="I12" s="11">
        <v>40</v>
      </c>
      <c r="J12" s="11"/>
      <c r="K12" s="9">
        <f t="shared" si="0"/>
        <v>114</v>
      </c>
      <c r="L12" s="9">
        <v>114</v>
      </c>
      <c r="M12" s="9">
        <f t="shared" si="1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VLOOKUP($B13,'0704'!$B13:$K27,10,0)</f>
        <v>156</v>
      </c>
      <c r="E13" s="14">
        <v>125</v>
      </c>
      <c r="F13" s="11"/>
      <c r="G13" s="11"/>
      <c r="H13" s="11">
        <v>40</v>
      </c>
      <c r="I13" s="11">
        <v>50</v>
      </c>
      <c r="J13" s="11"/>
      <c r="K13" s="9">
        <f t="shared" si="0"/>
        <v>191</v>
      </c>
      <c r="L13" s="9">
        <v>191</v>
      </c>
      <c r="M13" s="9">
        <f t="shared" si="1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VLOOKUP($B14,'0704'!$B14:$K28,10,0)</f>
        <v>0</v>
      </c>
      <c r="E14" s="14"/>
      <c r="F14" s="11"/>
      <c r="G14" s="11"/>
      <c r="H14" s="11"/>
      <c r="I14" s="11"/>
      <c r="J14" s="11"/>
      <c r="K14" s="9">
        <f t="shared" si="0"/>
        <v>0</v>
      </c>
      <c r="L14" s="9"/>
      <c r="M14" s="9">
        <f t="shared" si="1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VLOOKUP($B15,'0704'!$B15:$K29,10,0)</f>
        <v>2</v>
      </c>
      <c r="E15" s="14"/>
      <c r="F15" s="11"/>
      <c r="G15" s="11"/>
      <c r="H15" s="11"/>
      <c r="I15" s="11"/>
      <c r="J15" s="11">
        <v>2</v>
      </c>
      <c r="K15" s="9">
        <f t="shared" si="0"/>
        <v>0</v>
      </c>
      <c r="L15" s="9"/>
      <c r="M15" s="9">
        <f t="shared" si="1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VLOOKUP($B16,'0704'!$B16:$K30,10,0)</f>
        <v>3</v>
      </c>
      <c r="E16" s="14"/>
      <c r="F16" s="11"/>
      <c r="G16" s="11"/>
      <c r="H16" s="11">
        <v>1</v>
      </c>
      <c r="I16" s="11"/>
      <c r="J16" s="11"/>
      <c r="K16" s="9">
        <f t="shared" si="0"/>
        <v>2</v>
      </c>
      <c r="L16" s="9">
        <v>2</v>
      </c>
      <c r="M16" s="9">
        <f t="shared" si="1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VLOOKUP($B17,'0704'!$B17:$K31,10,0)</f>
        <v>2</v>
      </c>
      <c r="E17" s="14"/>
      <c r="F17" s="11"/>
      <c r="G17" s="11"/>
      <c r="H17" s="11"/>
      <c r="I17" s="11"/>
      <c r="J17" s="11"/>
      <c r="K17" s="9">
        <f t="shared" si="0"/>
        <v>2</v>
      </c>
      <c r="L17" s="9">
        <v>2</v>
      </c>
      <c r="M17" s="9">
        <f t="shared" si="1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VLOOKUP($B18,'0704'!$B18:$K32,10,0)</f>
        <v>2</v>
      </c>
      <c r="E18" s="14"/>
      <c r="F18" s="11"/>
      <c r="G18" s="11">
        <v>1</v>
      </c>
      <c r="H18" s="11"/>
      <c r="I18" s="11"/>
      <c r="J18" s="11"/>
      <c r="K18" s="9">
        <f t="shared" si="0"/>
        <v>1</v>
      </c>
      <c r="L18" s="9">
        <v>1</v>
      </c>
      <c r="M18" s="9">
        <f t="shared" si="1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VLOOKUP($B19,'0704'!$B19:$K33,10,0)</f>
        <v>3</v>
      </c>
      <c r="E19" s="14"/>
      <c r="F19" s="11"/>
      <c r="G19" s="11"/>
      <c r="H19" s="11">
        <v>1</v>
      </c>
      <c r="I19" s="11"/>
      <c r="J19" s="11"/>
      <c r="K19" s="9">
        <f t="shared" si="0"/>
        <v>2</v>
      </c>
      <c r="L19" s="9">
        <v>2</v>
      </c>
      <c r="M19" s="9">
        <f t="shared" si="1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VLOOKUP($B20,'0704'!$B20:$K34,10,0)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VLOOKUP($B21,'0704'!$B21:$K35,10,0)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VLOOKUP($B22,'0704'!$B22:$K36,10,0)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 t="shared" ref="D24:I24" si="3">SUM(D8:D22)</f>
        <v>1220</v>
      </c>
      <c r="E24" s="9">
        <f t="shared" si="3"/>
        <v>633</v>
      </c>
      <c r="F24" s="9">
        <f t="shared" si="3"/>
        <v>40</v>
      </c>
      <c r="G24" s="9">
        <f t="shared" si="3"/>
        <v>309</v>
      </c>
      <c r="H24" s="9">
        <f t="shared" si="3"/>
        <v>224</v>
      </c>
      <c r="I24" s="9">
        <f t="shared" si="3"/>
        <v>392</v>
      </c>
      <c r="J24" s="9"/>
      <c r="K24" s="9">
        <f>SUM(K8:K22)</f>
        <v>886</v>
      </c>
      <c r="L24" s="9">
        <f>SUM(L8:L22)</f>
        <v>886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VLOOKUP($B26,'0704'!$B26:$K29,10,0)</f>
        <v>220</v>
      </c>
      <c r="E26" s="10">
        <v>142</v>
      </c>
      <c r="F26">
        <v>150</v>
      </c>
      <c r="G26" s="11"/>
      <c r="H26" s="9"/>
      <c r="I26" s="9"/>
      <c r="J26" s="9"/>
      <c r="K26" s="9">
        <f>D26+E26-'[1]T4-2015'!S154</f>
        <v>212</v>
      </c>
      <c r="L26" s="9">
        <v>212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VLOOKUP($B27,'0704'!$B27:$K30,10,0)</f>
        <v>112</v>
      </c>
      <c r="E27" s="9">
        <v>4</v>
      </c>
      <c r="F27">
        <v>60</v>
      </c>
      <c r="G27" s="11"/>
      <c r="H27" s="9"/>
      <c r="I27" s="9"/>
      <c r="J27" s="9"/>
      <c r="K27" s="9">
        <f>D27+E27-'[1]T4-2015'!S155</f>
        <v>56</v>
      </c>
      <c r="L27" s="9">
        <v>56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VLOOKUP($B28,'0704'!$B28:$K31,10,0)</f>
        <v>301</v>
      </c>
      <c r="E28" s="9">
        <v>209</v>
      </c>
      <c r="F28">
        <v>185</v>
      </c>
      <c r="G28" s="11"/>
      <c r="H28" s="9"/>
      <c r="I28" s="9"/>
      <c r="J28" s="9"/>
      <c r="K28" s="9">
        <f>D28+E28-'[1]T4-2015'!S156</f>
        <v>325</v>
      </c>
      <c r="L28" s="9">
        <v>325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VLOOKUP($B29,'0704'!$B29:$K32,10,0)</f>
        <v>56</v>
      </c>
      <c r="E29" s="9">
        <v>72</v>
      </c>
      <c r="F29">
        <v>35</v>
      </c>
      <c r="G29" s="11"/>
      <c r="H29" s="9"/>
      <c r="I29" s="9"/>
      <c r="J29" s="9"/>
      <c r="K29" s="9">
        <f>D29+E29-'[1]T4-2015'!S157</f>
        <v>93</v>
      </c>
      <c r="L29" s="9">
        <v>93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conditionalFormatting sqref="D23">
    <cfRule type="cellIs" dxfId="1" priority="1" stopIfTrue="1" operator="lessThan">
      <formula>0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9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DATE(2015,6,18)</f>
        <v>42173</v>
      </c>
      <c r="E5" s="293">
        <f>D5+1</f>
        <v>42174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91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49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VLOOKUP($B8,'1806'!$B8:$M22,11,0)</f>
        <v>315</v>
      </c>
      <c r="E8" s="10">
        <f>102+82+88</f>
        <v>272</v>
      </c>
      <c r="F8" s="11">
        <v>40</v>
      </c>
      <c r="G8" s="11">
        <v>80</v>
      </c>
      <c r="H8" s="11"/>
      <c r="I8" s="11"/>
      <c r="J8" s="11"/>
      <c r="K8" s="9">
        <f>D8+E8-SUM(F8:J8)</f>
        <v>467</v>
      </c>
      <c r="L8" s="9">
        <f>155+272+40</f>
        <v>467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VLOOKUP($B9,'1806'!$B9:$M23,11,0)</f>
        <v>161</v>
      </c>
      <c r="E9" s="14"/>
      <c r="F9" s="11"/>
      <c r="G9" s="11">
        <v>101</v>
      </c>
      <c r="H9" s="11"/>
      <c r="I9" s="11"/>
      <c r="J9" s="11"/>
      <c r="K9" s="9">
        <f t="shared" ref="K9:K20" si="1">D9+E9-SUM(F9:J9)</f>
        <v>60</v>
      </c>
      <c r="L9" s="9">
        <v>60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VLOOKUP($B10,'1806'!$B10:$M24,11,0)</f>
        <v>153</v>
      </c>
      <c r="E10" s="10">
        <v>160</v>
      </c>
      <c r="F10" s="11">
        <v>10</v>
      </c>
      <c r="G10" s="11">
        <v>143</v>
      </c>
      <c r="H10" s="11"/>
      <c r="I10" s="11"/>
      <c r="J10" s="11"/>
      <c r="K10" s="9">
        <f t="shared" si="1"/>
        <v>160</v>
      </c>
      <c r="L10" s="9">
        <v>160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VLOOKUP($B11,'1806'!$B11:$M25,11,0)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VLOOKUP($B12,'1806'!$B12:$M26,11,0)</f>
        <v>113</v>
      </c>
      <c r="E12" s="14">
        <f>83+120</f>
        <v>203</v>
      </c>
      <c r="F12" s="11">
        <v>30</v>
      </c>
      <c r="G12" s="11">
        <v>113</v>
      </c>
      <c r="H12" s="11"/>
      <c r="I12" s="11"/>
      <c r="J12" s="11"/>
      <c r="K12" s="9">
        <f t="shared" si="1"/>
        <v>173</v>
      </c>
      <c r="L12" s="9">
        <v>173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VLOOKUP($B13,'1806'!$B13:$M27,11,0)</f>
        <v>94</v>
      </c>
      <c r="E13" s="14">
        <v>150</v>
      </c>
      <c r="F13" s="11">
        <v>26</v>
      </c>
      <c r="G13" s="11">
        <v>78</v>
      </c>
      <c r="H13" s="11"/>
      <c r="I13" s="11"/>
      <c r="J13" s="11"/>
      <c r="K13" s="9">
        <f t="shared" si="1"/>
        <v>140</v>
      </c>
      <c r="L13" s="9">
        <v>140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VLOOKUP($B14,'1806'!$B14:$M28,11,0)</f>
        <v>0</v>
      </c>
      <c r="E14" s="14">
        <v>4</v>
      </c>
      <c r="F14" s="11"/>
      <c r="G14" s="11"/>
      <c r="H14" s="11"/>
      <c r="I14" s="11"/>
      <c r="J14" s="11"/>
      <c r="K14" s="9">
        <f t="shared" si="1"/>
        <v>4</v>
      </c>
      <c r="L14" s="9">
        <v>4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VLOOKUP($B15,'1806'!$B15:$M29,11,0)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VLOOKUP($B16,'1806'!$B16:$M30,11,0)</f>
        <v>4</v>
      </c>
      <c r="E16" s="14">
        <v>4</v>
      </c>
      <c r="F16" s="11"/>
      <c r="G16" s="11">
        <v>3</v>
      </c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VLOOKUP($B17,'1806'!$B17:$M31,11,0)</f>
        <v>2</v>
      </c>
      <c r="E17" s="14"/>
      <c r="F17" s="11"/>
      <c r="G17" s="11">
        <v>1</v>
      </c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VLOOKUP($B18,'1806'!$B18:$M32,11,0)</f>
        <v>1</v>
      </c>
      <c r="E18" s="14">
        <v>2</v>
      </c>
      <c r="F18" s="11"/>
      <c r="G18" s="11">
        <v>1</v>
      </c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VLOOKUP($B19,'1806'!$B19:$M33,11,0)</f>
        <v>2</v>
      </c>
      <c r="E19" s="14"/>
      <c r="F19" s="11"/>
      <c r="G19" s="11">
        <v>2</v>
      </c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VLOOKUP($B20,'1806'!$B20:$M34,11,0)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VLOOKUP($B21,'1806'!$B21:$M35,11,0)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VLOOKUP($B22,'1806'!$B22:$M36,11,0)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VLOOKUP($B23,'1806'!$B23:$M37,11,0)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VLOOKUP($B24,'1806'!$B24:$M38,11,0)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VLOOKUP($B26,'1806'!$B26:$M40,11,0)</f>
        <v>230</v>
      </c>
      <c r="E26" s="10">
        <v>66</v>
      </c>
      <c r="F26" s="9">
        <v>87</v>
      </c>
      <c r="G26" s="11"/>
      <c r="H26" s="9"/>
      <c r="I26" s="9"/>
      <c r="J26" s="9"/>
      <c r="K26" s="9">
        <f t="shared" ref="K26" si="4">D26+E26-F26</f>
        <v>209</v>
      </c>
      <c r="L26" s="9">
        <v>209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VLOOKUP($B27,'1806'!$B27:$M41,11,0)</f>
        <v>79</v>
      </c>
      <c r="E27" s="9"/>
      <c r="F27" s="9">
        <v>19</v>
      </c>
      <c r="G27" s="11"/>
      <c r="H27" s="9"/>
      <c r="I27" s="9"/>
      <c r="J27" s="9"/>
      <c r="K27" s="9">
        <f>D27+E27-F27</f>
        <v>60</v>
      </c>
      <c r="L27" s="9">
        <v>60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VLOOKUP($B28,'1806'!$B28:$M42,11,0)</f>
        <v>309</v>
      </c>
      <c r="E28" s="9">
        <v>170</v>
      </c>
      <c r="F28" s="9">
        <v>49</v>
      </c>
      <c r="G28" s="11"/>
      <c r="H28" s="9"/>
      <c r="I28" s="9"/>
      <c r="J28" s="9"/>
      <c r="K28" s="9">
        <f>D28+E28-F28</f>
        <v>430</v>
      </c>
      <c r="L28" s="9">
        <v>430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VLOOKUP($B29,'1806'!$B29:$M43,11,0)</f>
        <v>87</v>
      </c>
      <c r="E29" s="9">
        <v>80</v>
      </c>
      <c r="F29" s="9">
        <v>75</v>
      </c>
      <c r="G29" s="11"/>
      <c r="H29" s="9"/>
      <c r="I29" s="9"/>
      <c r="J29" s="9"/>
      <c r="K29" s="9">
        <f>D29+E29-F29</f>
        <v>92</v>
      </c>
      <c r="L29" s="9">
        <v>92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E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DATE(2015,6,19)</f>
        <v>42174</v>
      </c>
      <c r="E5" s="293">
        <f>D5+1</f>
        <v>42175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92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43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VLOOKUP($B8,'1906'!$B8:$M22,11,0)</f>
        <v>467</v>
      </c>
      <c r="E8" s="10"/>
      <c r="F8" s="11">
        <v>40</v>
      </c>
      <c r="G8" s="11">
        <v>200</v>
      </c>
      <c r="H8" s="11"/>
      <c r="I8" s="11"/>
      <c r="J8" s="11"/>
      <c r="K8" s="9">
        <f>D8+E8-SUM(F8:J8)</f>
        <v>227</v>
      </c>
      <c r="L8" s="9">
        <v>227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VLOOKUP($B9,'1906'!$B9:$M23,11,0)</f>
        <v>60</v>
      </c>
      <c r="E9" s="14">
        <f>78+81</f>
        <v>159</v>
      </c>
      <c r="F9" s="11"/>
      <c r="G9" s="11">
        <v>50</v>
      </c>
      <c r="H9" s="11"/>
      <c r="I9" s="11"/>
      <c r="J9" s="11"/>
      <c r="K9" s="9">
        <f t="shared" ref="K9:K20" si="1">D9+E9-SUM(F9:J9)</f>
        <v>169</v>
      </c>
      <c r="L9" s="9">
        <f>10+159</f>
        <v>169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VLOOKUP($B10,'1906'!$B10:$M24,11,0)</f>
        <v>160</v>
      </c>
      <c r="E10" s="10">
        <v>130</v>
      </c>
      <c r="F10" s="11">
        <v>10</v>
      </c>
      <c r="G10" s="11">
        <v>100</v>
      </c>
      <c r="H10" s="11"/>
      <c r="I10" s="11"/>
      <c r="J10" s="11"/>
      <c r="K10" s="9">
        <f t="shared" si="1"/>
        <v>180</v>
      </c>
      <c r="L10" s="9">
        <f>50+130</f>
        <v>180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VLOOKUP($B11,'1906'!$B11:$M25,11,0)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VLOOKUP($B12,'1906'!$B12:$M26,11,0)</f>
        <v>173</v>
      </c>
      <c r="E12" s="14">
        <f>123+44</f>
        <v>167</v>
      </c>
      <c r="F12" s="11">
        <v>30</v>
      </c>
      <c r="G12" s="11">
        <v>100</v>
      </c>
      <c r="H12" s="11"/>
      <c r="I12" s="11"/>
      <c r="J12" s="11"/>
      <c r="K12" s="9">
        <f t="shared" si="1"/>
        <v>210</v>
      </c>
      <c r="L12" s="9">
        <f>43+167</f>
        <v>210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VLOOKUP($B13,'1906'!$B13:$M27,11,0)</f>
        <v>140</v>
      </c>
      <c r="E13" s="14">
        <v>120</v>
      </c>
      <c r="F13" s="11">
        <v>20</v>
      </c>
      <c r="G13" s="11">
        <v>80</v>
      </c>
      <c r="H13" s="11"/>
      <c r="I13" s="11"/>
      <c r="J13" s="11"/>
      <c r="K13" s="9">
        <f t="shared" si="1"/>
        <v>160</v>
      </c>
      <c r="L13" s="9">
        <f>40+120</f>
        <v>160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VLOOKUP($B14,'1906'!$B14:$M28,11,0)</f>
        <v>4</v>
      </c>
      <c r="E14" s="14"/>
      <c r="F14" s="11"/>
      <c r="G14" s="11">
        <v>4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VLOOKUP($B15,'1906'!$B15:$M29,11,0)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VLOOKUP($B16,'1906'!$B16:$M30,11,0)</f>
        <v>5</v>
      </c>
      <c r="E16" s="14">
        <v>4</v>
      </c>
      <c r="F16" s="11"/>
      <c r="G16" s="11">
        <v>4</v>
      </c>
      <c r="H16" s="11"/>
      <c r="I16" s="11"/>
      <c r="J16" s="11"/>
      <c r="K16" s="9">
        <f t="shared" si="1"/>
        <v>5</v>
      </c>
      <c r="L16" s="9">
        <f>1+4</f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VLOOKUP($B17,'1906'!$B17:$M31,11,0)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VLOOKUP($B18,'1906'!$B18:$M32,11,0)</f>
        <v>2</v>
      </c>
      <c r="E18" s="14"/>
      <c r="F18" s="11"/>
      <c r="G18" s="11">
        <v>2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VLOOKUP($B19,'1906'!$B19:$M33,11,0)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VLOOKUP($B20,'1906'!$B20:$M34,11,0)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VLOOKUP($B21,'1906'!$B21:$M35,11,0)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VLOOKUP($B22,'1906'!$B22:$M36,11,0)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VLOOKUP($B23,'1906'!$B23:$M37,11,0)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VLOOKUP($B24,'1906'!$B24:$M38,11,0)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VLOOKUP($B26,'1906'!$B26:$M40,11,0)</f>
        <v>209</v>
      </c>
      <c r="E26" s="10">
        <v>70</v>
      </c>
      <c r="F26" s="9">
        <v>98</v>
      </c>
      <c r="G26" s="11"/>
      <c r="H26" s="9"/>
      <c r="I26" s="9"/>
      <c r="J26" s="9"/>
      <c r="K26" s="9">
        <f t="shared" ref="K26" si="4">D26+E26-F26</f>
        <v>181</v>
      </c>
      <c r="L26" s="9">
        <v>181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VLOOKUP($B27,'1906'!$B27:$M41,11,0)</f>
        <v>60</v>
      </c>
      <c r="E27" s="9">
        <v>47</v>
      </c>
      <c r="F27" s="9">
        <v>10</v>
      </c>
      <c r="G27" s="11"/>
      <c r="H27" s="9"/>
      <c r="I27" s="9"/>
      <c r="J27" s="9"/>
      <c r="K27" s="9">
        <f>D27+E27-F27</f>
        <v>97</v>
      </c>
      <c r="L27" s="9">
        <v>97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VLOOKUP($B28,'1906'!$B28:$M42,11,0)</f>
        <v>430</v>
      </c>
      <c r="E28" s="9"/>
      <c r="F28" s="9">
        <v>110</v>
      </c>
      <c r="G28" s="11"/>
      <c r="H28" s="9"/>
      <c r="I28" s="9"/>
      <c r="J28" s="9"/>
      <c r="K28" s="9">
        <f>D28+E28-F28</f>
        <v>320</v>
      </c>
      <c r="L28" s="9">
        <v>320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VLOOKUP($B29,'1906'!$B29:$M43,11,0)</f>
        <v>92</v>
      </c>
      <c r="E29" s="9">
        <v>70</v>
      </c>
      <c r="F29" s="9">
        <v>45</v>
      </c>
      <c r="G29" s="11"/>
      <c r="H29" s="9"/>
      <c r="I29" s="9"/>
      <c r="J29" s="9"/>
      <c r="K29" s="9">
        <f>D29+E29-F29</f>
        <v>117</v>
      </c>
      <c r="L29" s="9">
        <v>117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DATE(2015,6,20)</f>
        <v>42175</v>
      </c>
      <c r="E5" s="293">
        <f>D5+1</f>
        <v>42176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93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52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VLOOKUP($B8,'2006'!$B8:$M22,11,0)</f>
        <v>227</v>
      </c>
      <c r="E8" s="10"/>
      <c r="F8" s="11">
        <v>40</v>
      </c>
      <c r="G8" s="11"/>
      <c r="H8" s="11"/>
      <c r="I8" s="11"/>
      <c r="J8" s="11"/>
      <c r="K8" s="9">
        <f>D8+E8-SUM(F8:J8)</f>
        <v>187</v>
      </c>
      <c r="L8" s="9">
        <v>187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VLOOKUP($B9,'2006'!$B9:$M23,11,0)</f>
        <v>169</v>
      </c>
      <c r="E9" s="14">
        <f>83+80</f>
        <v>163</v>
      </c>
      <c r="F9" s="11"/>
      <c r="G9" s="11"/>
      <c r="H9" s="11"/>
      <c r="I9" s="11"/>
      <c r="J9" s="11"/>
      <c r="K9" s="9">
        <f t="shared" ref="K9:K20" si="1">D9+E9-SUM(F9:J9)</f>
        <v>332</v>
      </c>
      <c r="L9" s="9">
        <f>170+163</f>
        <v>333</v>
      </c>
      <c r="M9" s="9">
        <f t="shared" si="0"/>
        <v>1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VLOOKUP($B10,'2006'!$B10:$M24,11,0)</f>
        <v>180</v>
      </c>
      <c r="E10" s="10"/>
      <c r="F10" s="11">
        <v>10</v>
      </c>
      <c r="G10" s="11"/>
      <c r="H10" s="11"/>
      <c r="I10" s="11"/>
      <c r="J10" s="11"/>
      <c r="K10" s="9">
        <f t="shared" si="1"/>
        <v>170</v>
      </c>
      <c r="L10" s="9">
        <v>170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VLOOKUP($B11,'2006'!$B11:$M25,11,0)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VLOOKUP($B12,'2006'!$B12:$M26,11,0)</f>
        <v>210</v>
      </c>
      <c r="E12" s="14">
        <f>130+135</f>
        <v>265</v>
      </c>
      <c r="F12" s="11">
        <v>30</v>
      </c>
      <c r="G12" s="11">
        <v>150</v>
      </c>
      <c r="H12" s="11"/>
      <c r="I12" s="11"/>
      <c r="J12" s="11"/>
      <c r="K12" s="9">
        <f t="shared" si="1"/>
        <v>295</v>
      </c>
      <c r="L12" s="9">
        <v>295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VLOOKUP($B13,'2006'!$B13:$M27,11,0)</f>
        <v>160</v>
      </c>
      <c r="E13" s="14">
        <v>123</v>
      </c>
      <c r="F13" s="11">
        <v>20</v>
      </c>
      <c r="G13" s="11"/>
      <c r="H13" s="11"/>
      <c r="I13" s="11"/>
      <c r="J13" s="11"/>
      <c r="K13" s="9">
        <f t="shared" si="1"/>
        <v>263</v>
      </c>
      <c r="L13" s="9">
        <v>263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VLOOKUP($B14,'2006'!$B14:$M28,11,0)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VLOOKUP($B15,'2006'!$B15:$M29,11,0)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VLOOKUP($B16,'2006'!$B16:$M30,11,0)</f>
        <v>5</v>
      </c>
      <c r="E16" s="14">
        <v>2</v>
      </c>
      <c r="F16" s="11">
        <v>1</v>
      </c>
      <c r="G16" s="11">
        <v>1</v>
      </c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VLOOKUP($B17,'2006'!$B17:$M31,11,0)</f>
        <v>1</v>
      </c>
      <c r="E17" s="14">
        <v>2</v>
      </c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VLOOKUP($B18,'2006'!$B18:$M32,11,0)</f>
        <v>0</v>
      </c>
      <c r="E18" s="14">
        <v>2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VLOOKUP($B19,'2006'!$B19:$M33,11,0)</f>
        <v>0</v>
      </c>
      <c r="E19" s="14">
        <v>3</v>
      </c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VLOOKUP($B20,'2006'!$B20:$M34,11,0)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VLOOKUP($B21,'2006'!$B21:$M35,11,0)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VLOOKUP($B22,'2006'!$B22:$M36,11,0)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VLOOKUP($B23,'2006'!$B23:$M37,11,0)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VLOOKUP($B24,'2006'!$B24:$M38,11,0)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VLOOKUP($B26,'2006'!$B26:$M40,11,0)</f>
        <v>181</v>
      </c>
      <c r="E26" s="10">
        <v>128</v>
      </c>
      <c r="F26" s="9">
        <v>100</v>
      </c>
      <c r="G26" s="11"/>
      <c r="H26" s="9"/>
      <c r="I26" s="9"/>
      <c r="J26" s="9"/>
      <c r="K26" s="9">
        <f t="shared" ref="K26" si="4">D26+E26-F26</f>
        <v>209</v>
      </c>
      <c r="L26" s="9">
        <v>209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VLOOKUP($B27,'2006'!$B27:$M41,11,0)</f>
        <v>97</v>
      </c>
      <c r="E27" s="9">
        <v>43</v>
      </c>
      <c r="F27" s="9">
        <v>16</v>
      </c>
      <c r="G27" s="11"/>
      <c r="H27" s="9"/>
      <c r="I27" s="9"/>
      <c r="J27" s="9"/>
      <c r="K27" s="9">
        <f>D27+E27-F27</f>
        <v>124</v>
      </c>
      <c r="L27" s="9">
        <v>124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VLOOKUP($B28,'2006'!$B28:$M42,11,0)</f>
        <v>320</v>
      </c>
      <c r="E28" s="9">
        <v>153</v>
      </c>
      <c r="F28" s="9">
        <v>103</v>
      </c>
      <c r="G28" s="11"/>
      <c r="H28" s="9"/>
      <c r="I28" s="9"/>
      <c r="J28" s="9"/>
      <c r="K28" s="9">
        <f>D28+E28-F28</f>
        <v>370</v>
      </c>
      <c r="L28" s="9">
        <v>370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VLOOKUP($B29,'2006'!$B29:$M43,11,0)</f>
        <v>117</v>
      </c>
      <c r="E29" s="9">
        <v>37</v>
      </c>
      <c r="F29" s="9">
        <v>34</v>
      </c>
      <c r="G29" s="11"/>
      <c r="H29" s="9"/>
      <c r="I29" s="9"/>
      <c r="J29" s="9"/>
      <c r="K29" s="9">
        <f>D29+E29-F29</f>
        <v>120</v>
      </c>
      <c r="L29" s="9">
        <v>120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DATE(2015,6,21)</f>
        <v>42176</v>
      </c>
      <c r="E5" s="293">
        <f>D5+1</f>
        <v>42177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93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45</v>
      </c>
      <c r="H7" s="5" t="s">
        <v>62</v>
      </c>
      <c r="I7" s="5" t="s">
        <v>68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VLOOKUP($B8,'2106'!$B8:$M22,11,0)</f>
        <v>187</v>
      </c>
      <c r="E8" s="10">
        <f>108+103+118</f>
        <v>329</v>
      </c>
      <c r="F8" s="11">
        <v>40</v>
      </c>
      <c r="G8" s="11">
        <v>60</v>
      </c>
      <c r="H8" s="11">
        <v>50</v>
      </c>
      <c r="I8" s="11"/>
      <c r="J8" s="11"/>
      <c r="K8" s="9">
        <f t="shared" ref="K8:K20" si="0">D8+E8-SUM(F8:J8)</f>
        <v>366</v>
      </c>
      <c r="L8" s="9">
        <v>366</v>
      </c>
      <c r="M8" s="9">
        <f t="shared" ref="M8:M19" si="1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VLOOKUP($B9,'2106'!$B9:$M23,11,0)</f>
        <v>333</v>
      </c>
      <c r="E9" s="14"/>
      <c r="F9" s="11"/>
      <c r="G9" s="11"/>
      <c r="H9" s="11">
        <v>70</v>
      </c>
      <c r="I9" s="11"/>
      <c r="J9" s="11"/>
      <c r="K9" s="9">
        <f t="shared" si="0"/>
        <v>263</v>
      </c>
      <c r="L9" s="9">
        <f>120+100+42</f>
        <v>262</v>
      </c>
      <c r="M9" s="9">
        <f t="shared" si="1"/>
        <v>-1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VLOOKUP($B10,'2106'!$B10:$M24,11,0)</f>
        <v>170</v>
      </c>
      <c r="E10" s="10">
        <f>131+159+20</f>
        <v>310</v>
      </c>
      <c r="F10" s="11">
        <v>10</v>
      </c>
      <c r="G10" s="11">
        <v>60</v>
      </c>
      <c r="H10" s="11">
        <v>50</v>
      </c>
      <c r="I10" s="11"/>
      <c r="J10" s="11"/>
      <c r="K10" s="9">
        <f t="shared" si="0"/>
        <v>360</v>
      </c>
      <c r="L10" s="9">
        <f>70+290</f>
        <v>360</v>
      </c>
      <c r="M10" s="9">
        <f t="shared" si="1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VLOOKUP($B11,'2106'!$B11:$M25,11,0)</f>
        <v>0</v>
      </c>
      <c r="E11" s="10"/>
      <c r="F11" s="11"/>
      <c r="G11" s="11"/>
      <c r="H11" s="11"/>
      <c r="I11" s="11"/>
      <c r="J11" s="11"/>
      <c r="K11" s="9">
        <f t="shared" si="0"/>
        <v>0</v>
      </c>
      <c r="L11" s="9"/>
      <c r="M11" s="9">
        <f t="shared" si="1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VLOOKUP($B12,'2106'!$B12:$M26,11,0)</f>
        <v>295</v>
      </c>
      <c r="E12" s="14">
        <f>88+130</f>
        <v>218</v>
      </c>
      <c r="F12" s="11">
        <v>30</v>
      </c>
      <c r="G12" s="11">
        <v>58</v>
      </c>
      <c r="H12" s="11">
        <v>60</v>
      </c>
      <c r="I12" s="11"/>
      <c r="J12" s="11"/>
      <c r="K12" s="9">
        <f t="shared" si="0"/>
        <v>365</v>
      </c>
      <c r="L12" s="9">
        <f>130+218+20</f>
        <v>368</v>
      </c>
      <c r="M12" s="9">
        <f t="shared" si="1"/>
        <v>3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VLOOKUP($B13,'2106'!$B13:$M27,11,0)</f>
        <v>263</v>
      </c>
      <c r="E13" s="14">
        <v>83</v>
      </c>
      <c r="F13" s="11">
        <v>33</v>
      </c>
      <c r="G13" s="11"/>
      <c r="H13" s="11">
        <v>60</v>
      </c>
      <c r="I13" s="11"/>
      <c r="J13" s="11"/>
      <c r="K13" s="9">
        <f t="shared" si="0"/>
        <v>253</v>
      </c>
      <c r="L13" s="9">
        <f>170+83</f>
        <v>253</v>
      </c>
      <c r="M13" s="9">
        <f t="shared" si="1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VLOOKUP($B14,'2106'!$B14:$M28,11,0)</f>
        <v>0</v>
      </c>
      <c r="E14" s="14"/>
      <c r="F14" s="11"/>
      <c r="G14" s="11"/>
      <c r="H14" s="11"/>
      <c r="I14" s="11"/>
      <c r="J14" s="11"/>
      <c r="K14" s="9">
        <f t="shared" si="0"/>
        <v>0</v>
      </c>
      <c r="L14" s="9"/>
      <c r="M14" s="9">
        <f t="shared" si="1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VLOOKUP($B15,'2106'!$B15:$M29,11,0)</f>
        <v>0</v>
      </c>
      <c r="E15" s="14"/>
      <c r="F15" s="11"/>
      <c r="G15" s="11"/>
      <c r="H15" s="11"/>
      <c r="I15" s="11"/>
      <c r="J15" s="11"/>
      <c r="K15" s="9">
        <f t="shared" si="0"/>
        <v>0</v>
      </c>
      <c r="L15" s="9"/>
      <c r="M15" s="9">
        <f t="shared" si="1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VLOOKUP($B16,'2106'!$B16:$M30,11,0)</f>
        <v>5</v>
      </c>
      <c r="E16" s="14">
        <v>6</v>
      </c>
      <c r="F16" s="11"/>
      <c r="G16" s="11">
        <v>1</v>
      </c>
      <c r="H16" s="11"/>
      <c r="I16" s="11"/>
      <c r="J16" s="11"/>
      <c r="K16" s="9">
        <f t="shared" si="0"/>
        <v>10</v>
      </c>
      <c r="L16" s="9">
        <v>10</v>
      </c>
      <c r="M16" s="9">
        <f t="shared" si="1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VLOOKUP($B17,'2106'!$B17:$M31,11,0)</f>
        <v>3</v>
      </c>
      <c r="E17" s="14"/>
      <c r="F17" s="11"/>
      <c r="G17" s="11">
        <v>1</v>
      </c>
      <c r="H17" s="11"/>
      <c r="I17" s="11"/>
      <c r="J17" s="11"/>
      <c r="K17" s="9">
        <f t="shared" si="0"/>
        <v>2</v>
      </c>
      <c r="L17" s="9">
        <v>1</v>
      </c>
      <c r="M17" s="9">
        <f t="shared" si="1"/>
        <v>-1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VLOOKUP($B18,'2106'!$B18:$M32,11,0)</f>
        <v>2</v>
      </c>
      <c r="E18" s="14"/>
      <c r="F18" s="11"/>
      <c r="G18" s="11"/>
      <c r="H18" s="11">
        <v>1</v>
      </c>
      <c r="I18" s="11"/>
      <c r="J18" s="11"/>
      <c r="K18" s="9">
        <f t="shared" si="0"/>
        <v>1</v>
      </c>
      <c r="L18" s="9">
        <v>1</v>
      </c>
      <c r="M18" s="9">
        <f t="shared" si="1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VLOOKUP($B19,'2106'!$B19:$M33,11,0)</f>
        <v>3</v>
      </c>
      <c r="E19" s="14"/>
      <c r="F19" s="11"/>
      <c r="G19" s="11"/>
      <c r="H19" s="11">
        <v>1</v>
      </c>
      <c r="I19" s="11"/>
      <c r="J19" s="11"/>
      <c r="K19" s="9">
        <f t="shared" si="0"/>
        <v>2</v>
      </c>
      <c r="L19" s="9">
        <v>2</v>
      </c>
      <c r="M19" s="9">
        <f t="shared" si="1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VLOOKUP($B20,'2106'!$B20:$M34,11,0)</f>
        <v>0</v>
      </c>
      <c r="E20" s="14"/>
      <c r="F20" s="11"/>
      <c r="G20" s="11"/>
      <c r="H20" s="11"/>
      <c r="I20" s="11"/>
      <c r="J20" s="11"/>
      <c r="K20" s="9">
        <f t="shared" si="0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VLOOKUP($B21,'2106'!$B21:$M35,11,0)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VLOOKUP($B22,'2106'!$B22:$M36,11,0)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VLOOKUP($B23,'2106'!$B23:$M37,11,0)</f>
        <v>0</v>
      </c>
      <c r="E23" s="14">
        <v>132</v>
      </c>
      <c r="F23" s="9"/>
      <c r="G23" s="9"/>
      <c r="H23" s="9"/>
      <c r="I23" s="9">
        <v>132</v>
      </c>
      <c r="J23" s="9"/>
      <c r="K23" s="9">
        <f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VLOOKUP($B24,'2106'!$B24:$M38,11,0)</f>
        <v>0</v>
      </c>
      <c r="E24" s="9"/>
      <c r="F24" s="9"/>
      <c r="G24" s="9"/>
      <c r="H24" s="9"/>
      <c r="I24" s="9"/>
      <c r="J24" s="9"/>
      <c r="K24" s="9">
        <f>D24+E24-SUM(F24:I24)</f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VLOOKUP($B26,'2106'!$B26:$M40,11,0)</f>
        <v>209</v>
      </c>
      <c r="E26" s="10">
        <v>137</v>
      </c>
      <c r="F26" s="9">
        <v>100</v>
      </c>
      <c r="G26" s="11"/>
      <c r="H26" s="9"/>
      <c r="I26" s="9"/>
      <c r="J26" s="9"/>
      <c r="K26" s="9">
        <f>D26+E26-F26</f>
        <v>246</v>
      </c>
      <c r="L26" s="9">
        <v>246</v>
      </c>
      <c r="M26" s="9">
        <f t="shared" ref="M26" si="3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VLOOKUP($B27,'2106'!$B27:$M41,11,0)</f>
        <v>124</v>
      </c>
      <c r="E27" s="9">
        <v>114</v>
      </c>
      <c r="F27" s="9">
        <v>25</v>
      </c>
      <c r="G27" s="11"/>
      <c r="H27" s="9"/>
      <c r="I27" s="9"/>
      <c r="J27" s="9"/>
      <c r="K27" s="9">
        <f>D27+E27-F27</f>
        <v>213</v>
      </c>
      <c r="L27" s="9">
        <v>213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VLOOKUP($B28,'2106'!$B28:$M42,11,0)</f>
        <v>370</v>
      </c>
      <c r="E28" s="9">
        <v>151</v>
      </c>
      <c r="F28" s="9">
        <v>67</v>
      </c>
      <c r="G28" s="11"/>
      <c r="H28" s="9"/>
      <c r="I28" s="9"/>
      <c r="J28" s="9"/>
      <c r="K28" s="9">
        <f>D28+E28-F28</f>
        <v>454</v>
      </c>
      <c r="L28" s="9">
        <v>454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VLOOKUP($B29,'2106'!$B29:$M43,11,0)</f>
        <v>120</v>
      </c>
      <c r="E29" s="9">
        <v>95</v>
      </c>
      <c r="F29" s="9">
        <v>52</v>
      </c>
      <c r="G29" s="11"/>
      <c r="H29" s="9"/>
      <c r="I29" s="9"/>
      <c r="J29" s="9"/>
      <c r="K29" s="9">
        <f>D29+E29-F29</f>
        <v>163</v>
      </c>
      <c r="L29" s="9">
        <v>163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G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DATE(2015,6,22)</f>
        <v>42177</v>
      </c>
      <c r="E5" s="293">
        <f>D5+1</f>
        <v>42178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94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69</v>
      </c>
      <c r="H7" s="5" t="s">
        <v>54</v>
      </c>
      <c r="I7" s="5" t="s">
        <v>68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VLOOKUP($B8,'2206'!$B8:$M22,11,0)</f>
        <v>366</v>
      </c>
      <c r="E8" s="10"/>
      <c r="F8" s="11">
        <v>40</v>
      </c>
      <c r="G8" s="11"/>
      <c r="H8" s="11">
        <v>90</v>
      </c>
      <c r="I8" s="11"/>
      <c r="J8" s="11"/>
      <c r="K8" s="9">
        <f>D8+E8-SUM(F8:J8)</f>
        <v>236</v>
      </c>
      <c r="L8" s="9">
        <v>236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VLOOKUP($B9,'2206'!$B9:$M23,11,0)</f>
        <v>262</v>
      </c>
      <c r="E9" s="14">
        <f>90+82</f>
        <v>172</v>
      </c>
      <c r="F9" s="11"/>
      <c r="G9" s="11"/>
      <c r="H9" s="11">
        <v>20</v>
      </c>
      <c r="I9" s="11"/>
      <c r="J9" s="11"/>
      <c r="K9" s="9">
        <f t="shared" ref="K9:K20" si="1">D9+E9-SUM(F9:J9)</f>
        <v>414</v>
      </c>
      <c r="L9" s="9">
        <f>124+120+172</f>
        <v>416</v>
      </c>
      <c r="M9" s="9">
        <f t="shared" si="0"/>
        <v>2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VLOOKUP($B10,'2206'!$B10:$M24,11,0)</f>
        <v>360</v>
      </c>
      <c r="E10" s="10"/>
      <c r="F10" s="11">
        <v>10</v>
      </c>
      <c r="G10" s="11">
        <v>99</v>
      </c>
      <c r="H10" s="11">
        <v>40</v>
      </c>
      <c r="I10" s="11"/>
      <c r="J10" s="11"/>
      <c r="K10" s="9">
        <f t="shared" si="1"/>
        <v>211</v>
      </c>
      <c r="L10" s="9">
        <f>190+21</f>
        <v>211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VLOOKUP($B11,'2206'!$B11:$M25,11,0)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VLOOKUP($B12,'2206'!$B12:$M26,11,0)</f>
        <v>368</v>
      </c>
      <c r="E12" s="14">
        <v>168</v>
      </c>
      <c r="F12" s="11">
        <v>30</v>
      </c>
      <c r="G12" s="11">
        <v>197</v>
      </c>
      <c r="H12" s="11">
        <v>40</v>
      </c>
      <c r="I12" s="11"/>
      <c r="J12" s="11"/>
      <c r="K12" s="9">
        <f t="shared" si="1"/>
        <v>269</v>
      </c>
      <c r="L12" s="9">
        <f>100+168</f>
        <v>268</v>
      </c>
      <c r="M12" s="9">
        <f t="shared" si="0"/>
        <v>-1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VLOOKUP($B13,'2206'!$B13:$M27,11,0)</f>
        <v>253</v>
      </c>
      <c r="E13" s="14">
        <v>118</v>
      </c>
      <c r="F13" s="11">
        <v>20</v>
      </c>
      <c r="G13" s="11">
        <v>100</v>
      </c>
      <c r="H13" s="11">
        <v>30</v>
      </c>
      <c r="I13" s="11"/>
      <c r="J13" s="11"/>
      <c r="K13" s="9">
        <f t="shared" si="1"/>
        <v>221</v>
      </c>
      <c r="L13" s="9">
        <f>103+118</f>
        <v>221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VLOOKUP($B14,'2206'!$B14:$M28,11,0)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VLOOKUP($B15,'2206'!$B15:$M29,11,0)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VLOOKUP($B16,'2206'!$B16:$M30,11,0)</f>
        <v>10</v>
      </c>
      <c r="E16" s="14">
        <v>4</v>
      </c>
      <c r="F16" s="11">
        <v>1</v>
      </c>
      <c r="G16" s="11">
        <v>2</v>
      </c>
      <c r="H16" s="11">
        <v>2</v>
      </c>
      <c r="I16" s="11"/>
      <c r="J16" s="11"/>
      <c r="K16" s="9">
        <f t="shared" si="1"/>
        <v>9</v>
      </c>
      <c r="L16" s="9">
        <v>9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VLOOKUP($B17,'2206'!$B17:$M31,11,0)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VLOOKUP($B18,'2206'!$B18:$M32,11,0)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VLOOKUP($B19,'2206'!$B19:$M33,11,0)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VLOOKUP($B20,'2206'!$B20:$M34,11,0)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VLOOKUP($B21,'2206'!$B21:$M35,11,0)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VLOOKUP($B22,'2206'!$B22:$M36,11,0)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VLOOKUP($B23,'2206'!$B23:$M37,11,0)</f>
        <v>0</v>
      </c>
      <c r="E23" s="14">
        <v>17</v>
      </c>
      <c r="F23" s="9">
        <v>17</v>
      </c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VLOOKUP($B24,'2206'!$B24:$M38,11,0)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VLOOKUP($B26,'2206'!$B26:$M40,11,0)</f>
        <v>246</v>
      </c>
      <c r="E26" s="10">
        <v>131</v>
      </c>
      <c r="F26" s="9">
        <v>135</v>
      </c>
      <c r="G26" s="11"/>
      <c r="H26" s="9"/>
      <c r="I26" s="9"/>
      <c r="J26" s="9"/>
      <c r="K26" s="9">
        <f t="shared" ref="K26" si="4">D26+E26-F26</f>
        <v>242</v>
      </c>
      <c r="L26" s="9">
        <v>242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VLOOKUP($B27,'2206'!$B27:$M41,11,0)</f>
        <v>213</v>
      </c>
      <c r="E27" s="9"/>
      <c r="F27" s="9">
        <v>24</v>
      </c>
      <c r="G27" s="11"/>
      <c r="H27" s="9"/>
      <c r="I27" s="9"/>
      <c r="J27" s="9"/>
      <c r="K27" s="9">
        <f>D27+E27-F27</f>
        <v>189</v>
      </c>
      <c r="L27" s="9">
        <v>189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VLOOKUP($B28,'2206'!$B28:$M42,11,0)</f>
        <v>454</v>
      </c>
      <c r="E28" s="9">
        <v>70</v>
      </c>
      <c r="F28" s="9">
        <v>76</v>
      </c>
      <c r="G28" s="11"/>
      <c r="H28" s="9"/>
      <c r="I28" s="9"/>
      <c r="J28" s="9"/>
      <c r="K28" s="9">
        <f>D28+E28-F28</f>
        <v>448</v>
      </c>
      <c r="L28" s="9">
        <v>448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VLOOKUP($B29,'2206'!$B29:$M43,11,0)</f>
        <v>163</v>
      </c>
      <c r="E29" s="9">
        <v>86</v>
      </c>
      <c r="F29" s="9">
        <v>53</v>
      </c>
      <c r="G29" s="11"/>
      <c r="H29" s="9"/>
      <c r="I29" s="9"/>
      <c r="J29" s="9"/>
      <c r="K29" s="9">
        <f>D29+E29-F29</f>
        <v>196</v>
      </c>
      <c r="L29" s="9">
        <v>196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2" workbookViewId="0">
      <pane xSplit="1" topLeftCell="E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DATE(2015,6,23)</f>
        <v>42178</v>
      </c>
      <c r="E5" s="293">
        <f>D5+1</f>
        <v>42179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95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39</v>
      </c>
      <c r="H7" s="5" t="s">
        <v>40</v>
      </c>
      <c r="I7" s="5" t="s">
        <v>38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VLOOKUP($B8,'2306'!$B8:$M22,11,0)</f>
        <v>236</v>
      </c>
      <c r="E8" s="10">
        <f>97+85+98</f>
        <v>280</v>
      </c>
      <c r="F8" s="11">
        <v>40</v>
      </c>
      <c r="G8" s="11">
        <v>20</v>
      </c>
      <c r="H8" s="11">
        <v>29</v>
      </c>
      <c r="I8" s="11">
        <v>40</v>
      </c>
      <c r="J8" s="11"/>
      <c r="K8" s="9">
        <f>D8+E8-SUM(F8:J8)</f>
        <v>387</v>
      </c>
      <c r="L8" s="9">
        <v>387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VLOOKUP($B9,'2306'!$B9:$M23,11,0)</f>
        <v>416</v>
      </c>
      <c r="E9" s="14"/>
      <c r="F9" s="11">
        <v>6</v>
      </c>
      <c r="G9" s="11">
        <v>30</v>
      </c>
      <c r="H9" s="11"/>
      <c r="I9" s="11">
        <v>40</v>
      </c>
      <c r="J9" s="11"/>
      <c r="K9" s="9">
        <f t="shared" ref="K9:K20" si="1">D9+E9-SUM(F9:J9)</f>
        <v>340</v>
      </c>
      <c r="L9" s="9">
        <f>120+114+106</f>
        <v>340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VLOOKUP($B10,'2306'!$B10:$M24,11,0)</f>
        <v>211</v>
      </c>
      <c r="E10" s="10">
        <v>129</v>
      </c>
      <c r="F10" s="11">
        <v>21</v>
      </c>
      <c r="G10" s="11">
        <v>40</v>
      </c>
      <c r="H10" s="11">
        <v>60</v>
      </c>
      <c r="I10" s="11">
        <v>30</v>
      </c>
      <c r="J10" s="11"/>
      <c r="K10" s="9">
        <f t="shared" si="1"/>
        <v>189</v>
      </c>
      <c r="L10" s="9">
        <f>60+129</f>
        <v>189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VLOOKUP($B11,'2306'!$B11:$M25,11,0)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VLOOKUP($B12,'2306'!$B12:$M26,11,0)</f>
        <v>268</v>
      </c>
      <c r="E12" s="14">
        <f>135+121</f>
        <v>256</v>
      </c>
      <c r="F12" s="11">
        <v>30</v>
      </c>
      <c r="G12" s="11">
        <v>50</v>
      </c>
      <c r="H12" s="11">
        <v>90</v>
      </c>
      <c r="I12" s="11">
        <v>30</v>
      </c>
      <c r="J12" s="11"/>
      <c r="K12" s="9">
        <f t="shared" si="1"/>
        <v>324</v>
      </c>
      <c r="L12" s="9">
        <f>68+256</f>
        <v>324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VLOOKUP($B13,'2306'!$B13:$M27,11,0)</f>
        <v>221</v>
      </c>
      <c r="E13" s="14">
        <v>156</v>
      </c>
      <c r="F13" s="11">
        <v>20</v>
      </c>
      <c r="G13" s="11">
        <v>51</v>
      </c>
      <c r="H13" s="11">
        <v>60</v>
      </c>
      <c r="I13" s="11">
        <v>40</v>
      </c>
      <c r="J13" s="11"/>
      <c r="K13" s="9">
        <f t="shared" si="1"/>
        <v>206</v>
      </c>
      <c r="L13" s="9">
        <f>50+156</f>
        <v>206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VLOOKUP($B14,'2306'!$B14:$M28,11,0)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VLOOKUP($B15,'2306'!$B15:$M29,11,0)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VLOOKUP($B16,'2306'!$B16:$M30,11,0)</f>
        <v>9</v>
      </c>
      <c r="E16" s="14"/>
      <c r="F16" s="11"/>
      <c r="G16" s="11"/>
      <c r="H16" s="11">
        <v>1</v>
      </c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VLOOKUP($B17,'2306'!$B17:$M31,11,0)</f>
        <v>1</v>
      </c>
      <c r="E17" s="14">
        <v>2</v>
      </c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VLOOKUP($B18,'2306'!$B18:$M32,11,0)</f>
        <v>1</v>
      </c>
      <c r="E18" s="14">
        <v>2</v>
      </c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VLOOKUP($B19,'2306'!$B19:$M33,11,0)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VLOOKUP($B20,'2306'!$B20:$M34,11,0)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VLOOKUP($B21,'2306'!$B21:$M35,11,0)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VLOOKUP($B22,'2306'!$B22:$M36,11,0)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VLOOKUP($B23,'2306'!$B23:$M37,11,0)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VLOOKUP($B24,'2306'!$B24:$M38,11,0)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VLOOKUP($B26,'2306'!$B26:$M40,11,0)</f>
        <v>242</v>
      </c>
      <c r="E26" s="10">
        <v>131</v>
      </c>
      <c r="F26" s="9">
        <v>88</v>
      </c>
      <c r="G26" s="11"/>
      <c r="H26" s="9"/>
      <c r="I26" s="9"/>
      <c r="J26" s="9"/>
      <c r="K26" s="9">
        <f t="shared" ref="K26" si="4">D26+E26-F26</f>
        <v>285</v>
      </c>
      <c r="L26" s="9">
        <v>285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VLOOKUP($B27,'2306'!$B27:$M41,11,0)</f>
        <v>189</v>
      </c>
      <c r="E27" s="9"/>
      <c r="F27" s="9">
        <v>19</v>
      </c>
      <c r="G27" s="11"/>
      <c r="H27" s="9"/>
      <c r="I27" s="9"/>
      <c r="J27" s="9"/>
      <c r="K27" s="9">
        <f>D27+E27-F27</f>
        <v>170</v>
      </c>
      <c r="L27" s="9">
        <v>170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VLOOKUP($B28,'2306'!$B28:$M42,11,0)</f>
        <v>448</v>
      </c>
      <c r="E28" s="9"/>
      <c r="F28" s="9">
        <v>118</v>
      </c>
      <c r="G28" s="11"/>
      <c r="H28" s="9"/>
      <c r="I28" s="9"/>
      <c r="J28" s="9"/>
      <c r="K28" s="9">
        <f>D28+E28-F28</f>
        <v>330</v>
      </c>
      <c r="L28" s="9">
        <v>330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VLOOKUP($B29,'2306'!$B29:$M43,11,0)</f>
        <v>196</v>
      </c>
      <c r="E29" s="9"/>
      <c r="F29" s="9">
        <v>79</v>
      </c>
      <c r="G29" s="11"/>
      <c r="H29" s="9"/>
      <c r="I29" s="9"/>
      <c r="J29" s="9"/>
      <c r="K29" s="9">
        <f>D29+E29-F29</f>
        <v>117</v>
      </c>
      <c r="L29" s="9">
        <v>117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E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DATE(2015,6,25)</f>
        <v>42180</v>
      </c>
      <c r="E5" s="293">
        <f>D5+1</f>
        <v>42181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96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52</v>
      </c>
      <c r="H7" s="5" t="s">
        <v>51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VLOOKUP($B8,'2406'!$B8:$M22,11,0)</f>
        <v>387</v>
      </c>
      <c r="E8" s="10">
        <f>80+84+80+96+96</f>
        <v>436</v>
      </c>
      <c r="F8" s="11">
        <v>40</v>
      </c>
      <c r="G8" s="11">
        <v>370</v>
      </c>
      <c r="H8" s="11">
        <v>20</v>
      </c>
      <c r="I8" s="11"/>
      <c r="J8" s="11"/>
      <c r="K8" s="9">
        <f>D8+E8-SUM(F8:J8)</f>
        <v>393</v>
      </c>
      <c r="L8" s="9">
        <v>393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VLOOKUP($B9,'2406'!$B9:$M23,11,0)</f>
        <v>340</v>
      </c>
      <c r="E9" s="14"/>
      <c r="F9" s="11">
        <v>10</v>
      </c>
      <c r="G9" s="11">
        <v>30</v>
      </c>
      <c r="H9" s="11"/>
      <c r="I9" s="11"/>
      <c r="J9" s="11"/>
      <c r="K9" s="9">
        <f t="shared" ref="K9:K20" si="1">D9+E9-SUM(F9:J9)</f>
        <v>300</v>
      </c>
      <c r="L9" s="9">
        <f>90+106+104</f>
        <v>300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VLOOKUP($B10,'2406'!$B10:$M24,11,0)</f>
        <v>189</v>
      </c>
      <c r="E10" s="10">
        <v>156</v>
      </c>
      <c r="F10" s="11">
        <v>10</v>
      </c>
      <c r="G10" s="11">
        <v>173</v>
      </c>
      <c r="H10" s="11"/>
      <c r="I10" s="11"/>
      <c r="J10" s="11"/>
      <c r="K10" s="9">
        <f t="shared" si="1"/>
        <v>162</v>
      </c>
      <c r="L10" s="9">
        <v>162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VLOOKUP($B11,'2406'!$B11:$M25,11,0)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VLOOKUP($B12,'2406'!$B12:$M26,11,0)</f>
        <v>324</v>
      </c>
      <c r="E12" s="14">
        <f>150+71+101</f>
        <v>322</v>
      </c>
      <c r="F12" s="11"/>
      <c r="G12" s="11">
        <v>278</v>
      </c>
      <c r="H12" s="11">
        <v>147</v>
      </c>
      <c r="I12" s="11"/>
      <c r="J12" s="11"/>
      <c r="K12" s="9">
        <f t="shared" si="1"/>
        <v>221</v>
      </c>
      <c r="L12" s="9">
        <v>221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VLOOKUP($B13,'2406'!$B13:$M27,11,0)</f>
        <v>206</v>
      </c>
      <c r="E13" s="14">
        <v>158</v>
      </c>
      <c r="F13" s="11"/>
      <c r="G13" s="11">
        <v>126</v>
      </c>
      <c r="H13" s="11">
        <v>80</v>
      </c>
      <c r="I13" s="11"/>
      <c r="J13" s="11"/>
      <c r="K13" s="9">
        <f t="shared" si="1"/>
        <v>158</v>
      </c>
      <c r="L13" s="9">
        <v>158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VLOOKUP($B14,'2406'!$B14:$M28,11,0)</f>
        <v>2</v>
      </c>
      <c r="E14" s="14"/>
      <c r="F14" s="11"/>
      <c r="G14" s="11"/>
      <c r="H14" s="11">
        <v>2</v>
      </c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VLOOKUP($B15,'2406'!$B15:$M29,11,0)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VLOOKUP($B16,'2406'!$B16:$M30,11,0)</f>
        <v>8</v>
      </c>
      <c r="E16" s="14">
        <v>5</v>
      </c>
      <c r="F16" s="11"/>
      <c r="G16" s="11">
        <v>4</v>
      </c>
      <c r="H16" s="11">
        <v>2</v>
      </c>
      <c r="I16" s="11"/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VLOOKUP($B17,'2406'!$B17:$M31,11,0)</f>
        <v>3</v>
      </c>
      <c r="E17" s="14">
        <v>2</v>
      </c>
      <c r="F17" s="11"/>
      <c r="G17" s="11"/>
      <c r="H17" s="11">
        <v>2</v>
      </c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VLOOKUP($B18,'2406'!$B18:$M32,11,0)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VLOOKUP($B19,'2406'!$B19:$M33,11,0)</f>
        <v>2</v>
      </c>
      <c r="E19" s="14"/>
      <c r="F19" s="11"/>
      <c r="G19" s="11"/>
      <c r="H19" s="11">
        <v>1</v>
      </c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VLOOKUP($B20,'2406'!$B20:$M34,11,0)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VLOOKUP($B21,'2406'!$B21:$M35,11,0)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VLOOKUP($B22,'2406'!$B22:$M36,11,0)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VLOOKUP($B23,'2406'!$B23:$M37,11,0)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VLOOKUP($B24,'2406'!$B24:$M38,11,0)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VLOOKUP($B26,'2406'!$B26:$M40,11,0)</f>
        <v>285</v>
      </c>
      <c r="E26" s="10">
        <v>66</v>
      </c>
      <c r="F26" s="9">
        <v>97</v>
      </c>
      <c r="G26" s="11"/>
      <c r="H26" s="9"/>
      <c r="I26" s="9"/>
      <c r="J26" s="9"/>
      <c r="K26" s="9">
        <f t="shared" ref="K26" si="4">D26+E26-F26</f>
        <v>254</v>
      </c>
      <c r="L26" s="9">
        <v>254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VLOOKUP($B27,'2406'!$B27:$M41,11,0)</f>
        <v>170</v>
      </c>
      <c r="E27" s="9"/>
      <c r="F27" s="9">
        <v>30</v>
      </c>
      <c r="G27" s="11"/>
      <c r="H27" s="9"/>
      <c r="I27" s="9"/>
      <c r="J27" s="9"/>
      <c r="K27" s="9">
        <f>D27+E27-F27</f>
        <v>140</v>
      </c>
      <c r="L27" s="9">
        <v>140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VLOOKUP($B28,'2406'!$B28:$M42,11,0)</f>
        <v>330</v>
      </c>
      <c r="E28" s="9">
        <v>156</v>
      </c>
      <c r="F28" s="9">
        <v>96</v>
      </c>
      <c r="G28" s="11"/>
      <c r="H28" s="9"/>
      <c r="I28" s="9"/>
      <c r="J28" s="9"/>
      <c r="K28" s="9">
        <f>D28+E28-F28</f>
        <v>390</v>
      </c>
      <c r="L28" s="9">
        <v>390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VLOOKUP($B29,'2406'!$B29:$M43,11,0)</f>
        <v>117</v>
      </c>
      <c r="E29" s="9">
        <v>86</v>
      </c>
      <c r="F29" s="9">
        <v>51</v>
      </c>
      <c r="G29" s="11"/>
      <c r="H29" s="9"/>
      <c r="I29" s="9"/>
      <c r="J29" s="9"/>
      <c r="K29" s="9">
        <f>D29+E29-F29</f>
        <v>152</v>
      </c>
      <c r="L29" s="9">
        <v>152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DATE(2015,6,25)</f>
        <v>42180</v>
      </c>
      <c r="E5" s="293">
        <f>D5+1</f>
        <v>42181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97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49</v>
      </c>
      <c r="H7" s="5" t="s">
        <v>66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VLOOKUP($B8,'2506'!$B8:$M22,11,0)</f>
        <v>393</v>
      </c>
      <c r="E8" s="10">
        <f>103+91+82</f>
        <v>276</v>
      </c>
      <c r="F8" s="11">
        <v>40</v>
      </c>
      <c r="G8" s="11">
        <v>150</v>
      </c>
      <c r="H8" s="11"/>
      <c r="I8" s="11"/>
      <c r="J8" s="11"/>
      <c r="K8" s="9">
        <f>D8+E8-SUM(F8:J8)</f>
        <v>479</v>
      </c>
      <c r="L8" s="9">
        <f>170+276+33</f>
        <v>479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VLOOKUP($B9,'2506'!$B9:$M23,11,0)</f>
        <v>300</v>
      </c>
      <c r="E9" s="14"/>
      <c r="F9" s="11">
        <v>10</v>
      </c>
      <c r="G9" s="11">
        <v>100</v>
      </c>
      <c r="H9" s="11"/>
      <c r="I9" s="11"/>
      <c r="J9" s="11"/>
      <c r="K9" s="9">
        <f t="shared" ref="K9:K20" si="1">D9+E9-SUM(F9:J9)</f>
        <v>190</v>
      </c>
      <c r="L9" s="9">
        <v>190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VLOOKUP($B10,'2506'!$B10:$M24,11,0)</f>
        <v>162</v>
      </c>
      <c r="E10" s="10">
        <v>80</v>
      </c>
      <c r="F10" s="11">
        <v>10</v>
      </c>
      <c r="G10" s="11">
        <v>152</v>
      </c>
      <c r="H10" s="11"/>
      <c r="I10" s="11"/>
      <c r="J10" s="11"/>
      <c r="K10" s="9">
        <f t="shared" si="1"/>
        <v>80</v>
      </c>
      <c r="L10" s="9">
        <v>80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VLOOKUP($B11,'2506'!$B11:$M25,11,0)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VLOOKUP($B12,'2506'!$B12:$M26,11,0)</f>
        <v>221</v>
      </c>
      <c r="E12" s="14">
        <v>172</v>
      </c>
      <c r="F12" s="11">
        <v>30</v>
      </c>
      <c r="G12" s="11">
        <v>190</v>
      </c>
      <c r="H12" s="11"/>
      <c r="I12" s="11"/>
      <c r="J12" s="11"/>
      <c r="K12" s="9">
        <f t="shared" si="1"/>
        <v>173</v>
      </c>
      <c r="L12" s="9">
        <v>172</v>
      </c>
      <c r="M12" s="9">
        <f t="shared" si="0"/>
        <v>-1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VLOOKUP($B13,'2506'!$B13:$M27,11,0)</f>
        <v>158</v>
      </c>
      <c r="E13" s="14">
        <v>149</v>
      </c>
      <c r="F13" s="11">
        <v>20</v>
      </c>
      <c r="G13" s="11">
        <v>138</v>
      </c>
      <c r="H13" s="11"/>
      <c r="I13" s="11"/>
      <c r="J13" s="11"/>
      <c r="K13" s="9">
        <f t="shared" si="1"/>
        <v>149</v>
      </c>
      <c r="L13" s="9">
        <v>149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VLOOKUP($B14,'2506'!$B14:$M28,11,0)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VLOOKUP($B15,'2506'!$B15:$M29,11,0)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VLOOKUP($B16,'2506'!$B16:$M30,11,0)</f>
        <v>7</v>
      </c>
      <c r="E16" s="14">
        <v>6</v>
      </c>
      <c r="F16" s="11">
        <v>1</v>
      </c>
      <c r="G16" s="11">
        <v>4</v>
      </c>
      <c r="H16" s="11"/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VLOOKUP($B17,'2506'!$B17:$M31,11,0)</f>
        <v>3</v>
      </c>
      <c r="E17" s="14">
        <v>1</v>
      </c>
      <c r="F17" s="11"/>
      <c r="G17" s="11">
        <v>2</v>
      </c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VLOOKUP($B18,'2506'!$B18:$M32,11,0)</f>
        <v>3</v>
      </c>
      <c r="E18" s="14"/>
      <c r="F18" s="11"/>
      <c r="G18" s="11">
        <v>1</v>
      </c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VLOOKUP($B19,'2506'!$B19:$M33,11,0)</f>
        <v>1</v>
      </c>
      <c r="E19" s="14"/>
      <c r="F19" s="11"/>
      <c r="G19" s="11">
        <v>1</v>
      </c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VLOOKUP($B20,'2506'!$B20:$M34,11,0)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VLOOKUP($B21,'2506'!$B21:$M35,11,0)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VLOOKUP($B22,'2506'!$B22:$M36,11,0)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VLOOKUP($B23,'2506'!$B23:$M37,11,0)</f>
        <v>0</v>
      </c>
      <c r="E23" s="14">
        <v>64</v>
      </c>
      <c r="F23" s="9"/>
      <c r="G23" s="9"/>
      <c r="H23" s="9">
        <v>64</v>
      </c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VLOOKUP($B24,'2506'!$B24:$M38,11,0)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VLOOKUP($B26,'2506'!$B26:$M40,11,0)</f>
        <v>254</v>
      </c>
      <c r="E26" s="10">
        <v>129</v>
      </c>
      <c r="F26" s="9">
        <v>140</v>
      </c>
      <c r="G26" s="11"/>
      <c r="H26" s="9"/>
      <c r="I26" s="9"/>
      <c r="J26" s="9"/>
      <c r="K26" s="9">
        <f t="shared" ref="K26" si="4">D26+E26-F26</f>
        <v>243</v>
      </c>
      <c r="L26" s="9">
        <v>243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VLOOKUP($B27,'2506'!$B27:$M41,11,0)</f>
        <v>140</v>
      </c>
      <c r="E27" s="9"/>
      <c r="F27" s="9">
        <v>42</v>
      </c>
      <c r="G27" s="11"/>
      <c r="H27" s="9"/>
      <c r="I27" s="9"/>
      <c r="J27" s="9"/>
      <c r="K27" s="9">
        <f>D27+E27-F27</f>
        <v>98</v>
      </c>
      <c r="L27" s="9">
        <v>98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VLOOKUP($B28,'2506'!$B28:$M42,11,0)</f>
        <v>390</v>
      </c>
      <c r="E28" s="9">
        <v>142</v>
      </c>
      <c r="F28" s="9">
        <v>102</v>
      </c>
      <c r="G28" s="11"/>
      <c r="H28" s="9"/>
      <c r="I28" s="9"/>
      <c r="J28" s="9"/>
      <c r="K28" s="9">
        <f>D28+E28-F28</f>
        <v>430</v>
      </c>
      <c r="L28" s="9">
        <v>430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VLOOKUP($B29,'2506'!$B29:$M43,11,0)</f>
        <v>152</v>
      </c>
      <c r="E29" s="9"/>
      <c r="F29" s="9">
        <v>55</v>
      </c>
      <c r="G29" s="11"/>
      <c r="H29" s="9"/>
      <c r="I29" s="9"/>
      <c r="J29" s="9"/>
      <c r="K29" s="9">
        <f>D29+E29-F29</f>
        <v>97</v>
      </c>
      <c r="L29" s="9">
        <v>97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DATE(2015,6,26)</f>
        <v>42181</v>
      </c>
      <c r="E5" s="293">
        <f>D5+1</f>
        <v>42182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98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43</v>
      </c>
      <c r="H7" s="5" t="s">
        <v>66</v>
      </c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VLOOKUP($B8,'2606'!$B8:$M22,11,0)</f>
        <v>479</v>
      </c>
      <c r="E8" s="10"/>
      <c r="F8" s="11">
        <v>40</v>
      </c>
      <c r="G8" s="11"/>
      <c r="H8" s="11"/>
      <c r="I8" s="11"/>
      <c r="J8" s="11"/>
      <c r="K8" s="9">
        <f>D8+E8-SUM(F8:J8)</f>
        <v>439</v>
      </c>
      <c r="L8" s="9">
        <f>120+66+120+110+24</f>
        <v>440</v>
      </c>
      <c r="M8" s="9">
        <f t="shared" ref="M8:M19" si="0">L8-K8</f>
        <v>1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VLOOKUP($B9,'2606'!$B9:$M23,11,0)</f>
        <v>190</v>
      </c>
      <c r="E9" s="14"/>
      <c r="F9" s="11"/>
      <c r="G9" s="11"/>
      <c r="H9" s="11"/>
      <c r="I9" s="11"/>
      <c r="J9" s="11"/>
      <c r="K9" s="9">
        <f t="shared" ref="K9:K20" si="1">D9+E9-SUM(F9:J9)</f>
        <v>190</v>
      </c>
      <c r="L9" s="9">
        <v>190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VLOOKUP($B10,'2606'!$B10:$M24,11,0)</f>
        <v>80</v>
      </c>
      <c r="E10" s="10">
        <v>163</v>
      </c>
      <c r="F10" s="11">
        <v>20</v>
      </c>
      <c r="G10" s="11"/>
      <c r="H10" s="11"/>
      <c r="I10" s="11"/>
      <c r="J10" s="11"/>
      <c r="K10" s="9">
        <f t="shared" si="1"/>
        <v>223</v>
      </c>
      <c r="L10" s="9">
        <f>60+163</f>
        <v>223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VLOOKUP($B11,'2606'!$B11:$M25,11,0)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VLOOKUP($B12,'2606'!$B12:$M26,11,0)</f>
        <v>172</v>
      </c>
      <c r="E12" s="14"/>
      <c r="F12" s="11">
        <v>30</v>
      </c>
      <c r="G12" s="11"/>
      <c r="H12" s="11"/>
      <c r="I12" s="11"/>
      <c r="J12" s="11"/>
      <c r="K12" s="9">
        <f t="shared" si="1"/>
        <v>142</v>
      </c>
      <c r="L12" s="9">
        <f>114+28</f>
        <v>142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VLOOKUP($B13,'2606'!$B13:$M27,11,0)</f>
        <v>149</v>
      </c>
      <c r="E13" s="14"/>
      <c r="F13" s="11">
        <v>20</v>
      </c>
      <c r="G13" s="11"/>
      <c r="H13" s="11"/>
      <c r="I13" s="11"/>
      <c r="J13" s="11"/>
      <c r="K13" s="9">
        <f t="shared" si="1"/>
        <v>129</v>
      </c>
      <c r="L13" s="9">
        <v>129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VLOOKUP($B14,'2606'!$B14:$M28,11,0)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VLOOKUP($B15,'2606'!$B15:$M29,11,0)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VLOOKUP($B16,'2606'!$B16:$M30,11,0)</f>
        <v>8</v>
      </c>
      <c r="E16" s="14">
        <v>3</v>
      </c>
      <c r="F16" s="11"/>
      <c r="G16" s="11"/>
      <c r="H16" s="11"/>
      <c r="I16" s="11"/>
      <c r="J16" s="11"/>
      <c r="K16" s="9">
        <f t="shared" si="1"/>
        <v>11</v>
      </c>
      <c r="L16" s="9">
        <v>11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VLOOKUP($B17,'2606'!$B17:$M31,11,0)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VLOOKUP($B18,'2606'!$B18:$M32,11,0)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VLOOKUP($B19,'2606'!$B19:$M33,11,0)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VLOOKUP($B20,'2606'!$B20:$M34,11,0)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VLOOKUP($B21,'2606'!$B21:$M35,11,0)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VLOOKUP($B22,'2606'!$B22:$M36,11,0)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VLOOKUP($B23,'2606'!$B23:$M37,11,0)</f>
        <v>0</v>
      </c>
      <c r="E23" s="14">
        <v>64</v>
      </c>
      <c r="F23" s="9"/>
      <c r="G23" s="9"/>
      <c r="H23" s="9">
        <v>64</v>
      </c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VLOOKUP($B24,'2606'!$B24:$M38,11,0)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VLOOKUP($B26,'2606'!$B26:$M40,11,0)</f>
        <v>243</v>
      </c>
      <c r="E26" s="10">
        <v>136</v>
      </c>
      <c r="F26" s="9">
        <v>120</v>
      </c>
      <c r="G26" s="11"/>
      <c r="H26" s="9"/>
      <c r="I26" s="9"/>
      <c r="J26" s="9"/>
      <c r="K26" s="9">
        <f t="shared" ref="K26" si="4">D26+E26-F26</f>
        <v>259</v>
      </c>
      <c r="L26" s="9">
        <v>259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VLOOKUP($B27,'2606'!$B27:$M41,11,0)</f>
        <v>98</v>
      </c>
      <c r="E27" s="9">
        <v>60</v>
      </c>
      <c r="F27" s="9">
        <v>26</v>
      </c>
      <c r="G27" s="11"/>
      <c r="H27" s="9"/>
      <c r="I27" s="9"/>
      <c r="J27" s="9"/>
      <c r="K27" s="9">
        <f>D27+E27-F27</f>
        <v>132</v>
      </c>
      <c r="L27" s="9">
        <v>132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VLOOKUP($B28,'2606'!$B28:$M42,11,0)</f>
        <v>430</v>
      </c>
      <c r="E28" s="9"/>
      <c r="F28" s="9">
        <v>132</v>
      </c>
      <c r="G28" s="11"/>
      <c r="H28" s="9"/>
      <c r="I28" s="9"/>
      <c r="J28" s="9"/>
      <c r="K28" s="9">
        <f>D28+E28-F28</f>
        <v>298</v>
      </c>
      <c r="L28" s="9">
        <v>298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VLOOKUP($B29,'2606'!$B29:$M43,11,0)</f>
        <v>97</v>
      </c>
      <c r="E29" s="9">
        <v>42</v>
      </c>
      <c r="F29" s="9">
        <v>41</v>
      </c>
      <c r="G29" s="11"/>
      <c r="H29" s="9"/>
      <c r="I29" s="9"/>
      <c r="J29" s="9"/>
      <c r="K29" s="9">
        <f>D29+E29-F29</f>
        <v>98</v>
      </c>
      <c r="L29" s="9">
        <v>98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4" ySplit="7" topLeftCell="H8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DATE(2015,6,27)</f>
        <v>42182</v>
      </c>
      <c r="E5" s="293">
        <f>D5+1</f>
        <v>42183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99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/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VLOOKUP($B8,'2706'!$B8:$M22,11,0)</f>
        <v>440</v>
      </c>
      <c r="E8" s="10"/>
      <c r="F8" s="11">
        <v>40</v>
      </c>
      <c r="G8" s="11"/>
      <c r="H8" s="11"/>
      <c r="I8" s="11"/>
      <c r="J8" s="11"/>
      <c r="K8" s="9">
        <f>D8+E8-SUM(F8:J8)</f>
        <v>400</v>
      </c>
      <c r="L8" s="9">
        <f>136+58+206</f>
        <v>400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VLOOKUP($B9,'2706'!$B9:$M23,11,0)</f>
        <v>190</v>
      </c>
      <c r="E9" s="14"/>
      <c r="F9" s="11"/>
      <c r="G9" s="11"/>
      <c r="H9" s="11"/>
      <c r="I9" s="11"/>
      <c r="J9" s="11"/>
      <c r="K9" s="9">
        <f t="shared" ref="K9:K20" si="1">D9+E9-SUM(F9:J9)</f>
        <v>190</v>
      </c>
      <c r="L9" s="9">
        <v>190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VLOOKUP($B10,'2706'!$B10:$M24,11,0)</f>
        <v>223</v>
      </c>
      <c r="E10" s="10">
        <f>120+139</f>
        <v>259</v>
      </c>
      <c r="F10" s="11">
        <v>10</v>
      </c>
      <c r="G10" s="11"/>
      <c r="H10" s="11"/>
      <c r="I10" s="11"/>
      <c r="J10" s="11"/>
      <c r="K10" s="9">
        <f t="shared" si="1"/>
        <v>472</v>
      </c>
      <c r="L10" s="9">
        <f>213+259</f>
        <v>472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VLOOKUP($B11,'2706'!$B11:$M25,11,0)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VLOOKUP($B12,'2706'!$B12:$M26,11,0)</f>
        <v>142</v>
      </c>
      <c r="E12" s="14">
        <f>81+128</f>
        <v>209</v>
      </c>
      <c r="F12" s="11">
        <v>30</v>
      </c>
      <c r="G12" s="11"/>
      <c r="H12" s="11"/>
      <c r="I12" s="11"/>
      <c r="J12" s="11"/>
      <c r="K12" s="9">
        <f t="shared" si="1"/>
        <v>321</v>
      </c>
      <c r="L12" s="9">
        <v>321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VLOOKUP($B13,'2706'!$B13:$M27,11,0)</f>
        <v>129</v>
      </c>
      <c r="E13" s="14">
        <v>159</v>
      </c>
      <c r="F13" s="11">
        <v>20</v>
      </c>
      <c r="G13" s="11"/>
      <c r="H13" s="11"/>
      <c r="I13" s="11"/>
      <c r="J13" s="11"/>
      <c r="K13" s="9">
        <f t="shared" si="1"/>
        <v>268</v>
      </c>
      <c r="L13" s="9">
        <v>268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VLOOKUP($B14,'2706'!$B14:$M28,11,0)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VLOOKUP($B15,'2706'!$B15:$M29,11,0)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VLOOKUP($B16,'2706'!$B16:$M30,11,0)</f>
        <v>11</v>
      </c>
      <c r="E16" s="14"/>
      <c r="F16" s="11"/>
      <c r="G16" s="11"/>
      <c r="H16" s="11"/>
      <c r="I16" s="11"/>
      <c r="J16" s="11"/>
      <c r="K16" s="9">
        <f t="shared" si="1"/>
        <v>11</v>
      </c>
      <c r="L16" s="9">
        <v>11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VLOOKUP($B17,'2706'!$B17:$M31,11,0)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VLOOKUP($B18,'2706'!$B18:$M32,11,0)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VLOOKUP($B19,'2706'!$B19:$M33,11,0)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VLOOKUP($B20,'2706'!$B20:$M34,11,0)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VLOOKUP($B21,'2706'!$B21:$M35,11,0)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VLOOKUP($B22,'2706'!$B22:$M36,11,0)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VLOOKUP($B23,'2706'!$B23:$M37,11,0)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VLOOKUP($B24,'2706'!$B24:$M38,11,0)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VLOOKUP($B26,'2706'!$B26:$M40,11,0)</f>
        <v>259</v>
      </c>
      <c r="E26" s="10">
        <v>134</v>
      </c>
      <c r="F26" s="9">
        <v>85</v>
      </c>
      <c r="G26" s="11"/>
      <c r="H26" s="9"/>
      <c r="I26" s="9"/>
      <c r="J26" s="9"/>
      <c r="K26" s="9">
        <f t="shared" ref="K26" si="4">D26+E26-F26</f>
        <v>308</v>
      </c>
      <c r="L26" s="9">
        <v>308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VLOOKUP($B27,'2706'!$B27:$M41,11,0)</f>
        <v>132</v>
      </c>
      <c r="E27" s="9"/>
      <c r="F27" s="9">
        <v>20</v>
      </c>
      <c r="G27" s="11"/>
      <c r="H27" s="9"/>
      <c r="I27" s="9"/>
      <c r="J27" s="9"/>
      <c r="K27" s="9">
        <f>D27+E27-F27</f>
        <v>112</v>
      </c>
      <c r="L27" s="9">
        <v>112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VLOOKUP($B28,'2706'!$B28:$M42,11,0)</f>
        <v>298</v>
      </c>
      <c r="E28" s="9"/>
      <c r="F28" s="9"/>
      <c r="G28" s="11"/>
      <c r="H28" s="9"/>
      <c r="I28" s="9"/>
      <c r="J28" s="9"/>
      <c r="K28" s="9">
        <f>D28+E28-F28</f>
        <v>298</v>
      </c>
      <c r="L28" s="9">
        <v>298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VLOOKUP($B29,'2706'!$B29:$M43,11,0)</f>
        <v>98</v>
      </c>
      <c r="E29" s="9">
        <v>89</v>
      </c>
      <c r="F29" s="9">
        <v>14</v>
      </c>
      <c r="G29" s="11"/>
      <c r="H29" s="9"/>
      <c r="I29" s="9"/>
      <c r="J29" s="9"/>
      <c r="K29" s="9">
        <f>D29+E29-F29</f>
        <v>173</v>
      </c>
      <c r="L29" s="9">
        <v>173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9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DATE(2015,4,8)</f>
        <v>42102</v>
      </c>
      <c r="E5" s="293">
        <f>D5+1</f>
        <v>42103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31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48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VLOOKUP($B8,'0804'!$B8:$K22,10,0)</f>
        <v>441</v>
      </c>
      <c r="E8" s="10">
        <f>111+50</f>
        <v>161</v>
      </c>
      <c r="F8" s="11">
        <v>210</v>
      </c>
      <c r="G8" s="11">
        <v>50</v>
      </c>
      <c r="H8" s="11"/>
      <c r="I8" s="11"/>
      <c r="J8" s="11"/>
      <c r="K8" s="9">
        <f>D8+E8-SUM(F8:J8)</f>
        <v>342</v>
      </c>
      <c r="L8" s="9">
        <v>342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VLOOKUP($B9,'0804'!$B9:$K23,10,0)</f>
        <v>0</v>
      </c>
      <c r="E9" s="14">
        <f>56+32+55</f>
        <v>143</v>
      </c>
      <c r="F9" s="11"/>
      <c r="G9" s="11"/>
      <c r="H9" s="11"/>
      <c r="I9" s="11"/>
      <c r="J9" s="11"/>
      <c r="K9" s="9">
        <f t="shared" ref="K9:K19" si="1">D9+E9-SUM(F9:J9)</f>
        <v>143</v>
      </c>
      <c r="L9" s="9">
        <v>143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VLOOKUP($B10,'0804'!$B10:$K24,10,0)</f>
        <v>133</v>
      </c>
      <c r="E10" s="10"/>
      <c r="F10" s="11"/>
      <c r="G10" s="11"/>
      <c r="H10" s="11"/>
      <c r="I10" s="11"/>
      <c r="J10" s="11"/>
      <c r="K10" s="9">
        <f t="shared" si="1"/>
        <v>133</v>
      </c>
      <c r="L10" s="9">
        <v>133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VLOOKUP($B11,'0804'!$B11:$K25,10,0)</f>
        <v>0</v>
      </c>
      <c r="E11" s="10">
        <v>278</v>
      </c>
      <c r="F11" s="11"/>
      <c r="G11" s="11"/>
      <c r="H11" s="11"/>
      <c r="I11" s="11"/>
      <c r="J11" s="11"/>
      <c r="K11" s="9">
        <f t="shared" si="1"/>
        <v>278</v>
      </c>
      <c r="L11" s="9">
        <v>278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VLOOKUP($B12,'0804'!$B12:$K26,10,0)</f>
        <v>114</v>
      </c>
      <c r="E12" s="14">
        <v>130</v>
      </c>
      <c r="F12" s="11"/>
      <c r="G12" s="11">
        <v>100</v>
      </c>
      <c r="H12" s="11"/>
      <c r="I12" s="11"/>
      <c r="J12" s="11"/>
      <c r="K12" s="9">
        <f t="shared" si="1"/>
        <v>144</v>
      </c>
      <c r="L12" s="9">
        <v>144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VLOOKUP($B13,'0804'!$B13:$K27,10,0)</f>
        <v>191</v>
      </c>
      <c r="E13" s="14">
        <v>40</v>
      </c>
      <c r="F13" s="11">
        <v>6</v>
      </c>
      <c r="G13" s="11">
        <v>95</v>
      </c>
      <c r="H13" s="11"/>
      <c r="I13" s="11"/>
      <c r="J13" s="11"/>
      <c r="K13" s="9">
        <f t="shared" si="1"/>
        <v>130</v>
      </c>
      <c r="L13" s="9">
        <f>90+40</f>
        <v>130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VLOOKUP($B14,'0804'!$B14:$K28,10,0)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VLOOKUP($B15,'0804'!$B15:$K29,10,0)</f>
        <v>0</v>
      </c>
      <c r="E15" s="14">
        <v>2</v>
      </c>
      <c r="F15" s="11"/>
      <c r="G15" s="11"/>
      <c r="H15" s="11"/>
      <c r="I15" s="11"/>
      <c r="J15" s="11"/>
      <c r="K15" s="9">
        <f t="shared" si="1"/>
        <v>2</v>
      </c>
      <c r="L15" s="9">
        <v>2</v>
      </c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VLOOKUP($B16,'0804'!$B16:$K30,10,0)</f>
        <v>2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2</v>
      </c>
      <c r="L16" s="9">
        <v>2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VLOOKUP($B17,'0804'!$B17:$K31,10,0)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VLOOKUP($B18,'0804'!$B18:$K32,10,0)</f>
        <v>1</v>
      </c>
      <c r="E18" s="14"/>
      <c r="F18" s="11"/>
      <c r="G18" s="11">
        <v>1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VLOOKUP($B19,'0804'!$B19:$K33,10,0)</f>
        <v>2</v>
      </c>
      <c r="E19" s="14"/>
      <c r="F19" s="11"/>
      <c r="G19" s="11">
        <v>1</v>
      </c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VLOOKUP($B20,'0804'!$B20:$K34,10,0)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VLOOKUP($B21,'0804'!$B21:$K35,10,0)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VLOOKUP($B22,'0804'!$B22:$K36,10,0)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 t="shared" ref="D24" si="3">SUM(D8:D22)</f>
        <v>886</v>
      </c>
      <c r="E24" s="9">
        <f t="shared" ref="E24:L24" si="4">SUM(E8:E22)</f>
        <v>756</v>
      </c>
      <c r="F24" s="9">
        <f t="shared" si="4"/>
        <v>216</v>
      </c>
      <c r="G24" s="9">
        <f t="shared" si="4"/>
        <v>249</v>
      </c>
      <c r="H24" s="9">
        <f t="shared" si="4"/>
        <v>0</v>
      </c>
      <c r="I24" s="9">
        <f t="shared" si="4"/>
        <v>0</v>
      </c>
      <c r="J24" s="9"/>
      <c r="K24" s="9">
        <f t="shared" si="4"/>
        <v>1177</v>
      </c>
      <c r="L24" s="9">
        <f t="shared" si="4"/>
        <v>1177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VLOOKUP($B26,'0804'!$B26:$K29,10,0)</f>
        <v>212</v>
      </c>
      <c r="E26" s="10">
        <v>106</v>
      </c>
      <c r="F26" s="9">
        <v>150</v>
      </c>
      <c r="G26" s="11"/>
      <c r="H26" s="9"/>
      <c r="I26" s="9"/>
      <c r="J26" s="9"/>
      <c r="K26" s="9">
        <f t="shared" ref="K26" si="5">D26+E26-F26</f>
        <v>168</v>
      </c>
      <c r="L26" s="9">
        <v>168</v>
      </c>
      <c r="M26" s="9">
        <f t="shared" ref="M26" si="6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VLOOKUP($B27,'0804'!$B27:$K30,10,0)</f>
        <v>56</v>
      </c>
      <c r="E27" s="9">
        <v>60</v>
      </c>
      <c r="F27" s="9">
        <v>19</v>
      </c>
      <c r="G27" s="11"/>
      <c r="H27" s="9"/>
      <c r="I27" s="9"/>
      <c r="J27" s="9"/>
      <c r="K27" s="9">
        <f>D27+E27-F27</f>
        <v>97</v>
      </c>
      <c r="L27" s="9">
        <v>97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VLOOKUP($B28,'0804'!$B28:$K31,10,0)</f>
        <v>325</v>
      </c>
      <c r="E28" s="9">
        <f>108+200</f>
        <v>308</v>
      </c>
      <c r="F28" s="9">
        <v>317</v>
      </c>
      <c r="G28" s="11"/>
      <c r="H28" s="9"/>
      <c r="I28" s="9"/>
      <c r="J28" s="9"/>
      <c r="K28" s="9">
        <f>D28+E28-F28</f>
        <v>316</v>
      </c>
      <c r="L28" s="9">
        <v>316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VLOOKUP($B29,'0804'!$B29:$K32,10,0)</f>
        <v>93</v>
      </c>
      <c r="E29" s="9">
        <v>95</v>
      </c>
      <c r="F29" s="9">
        <v>60</v>
      </c>
      <c r="G29" s="11"/>
      <c r="H29" s="9"/>
      <c r="I29" s="9"/>
      <c r="J29" s="9"/>
      <c r="K29" s="9">
        <f>D29+E29-F29</f>
        <v>128</v>
      </c>
      <c r="L29" s="9">
        <v>128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conditionalFormatting sqref="D23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" workbookViewId="0">
      <pane xSplit="1" topLeftCell="G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9" width="18.42578125" customWidth="1"/>
    <col min="10" max="10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92" t="s">
        <v>1</v>
      </c>
      <c r="B5" s="292"/>
      <c r="C5" s="292"/>
      <c r="D5" s="4">
        <f>DATE(2015,6,27)</f>
        <v>42182</v>
      </c>
      <c r="E5" s="293">
        <f>D5+1</f>
        <v>42183</v>
      </c>
      <c r="F5" s="294"/>
      <c r="G5" s="294"/>
      <c r="H5" s="294"/>
      <c r="I5" s="294"/>
      <c r="J5" s="294"/>
      <c r="K5" s="294"/>
      <c r="L5" s="294"/>
      <c r="M5" s="294"/>
      <c r="N5" s="294"/>
    </row>
    <row r="6" spans="1:14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0"/>
      <c r="J6" s="301"/>
      <c r="K6" s="99"/>
      <c r="L6" s="302" t="s">
        <v>8</v>
      </c>
      <c r="M6" s="289" t="s">
        <v>9</v>
      </c>
      <c r="N6" s="289" t="s">
        <v>10</v>
      </c>
    </row>
    <row r="7" spans="1:14">
      <c r="A7" s="295"/>
      <c r="B7" s="296"/>
      <c r="C7" s="298"/>
      <c r="D7" s="290"/>
      <c r="E7" s="290"/>
      <c r="F7" s="5" t="s">
        <v>11</v>
      </c>
      <c r="G7" s="5" t="s">
        <v>45</v>
      </c>
      <c r="H7" s="5" t="s">
        <v>70</v>
      </c>
      <c r="I7" s="5" t="s">
        <v>52</v>
      </c>
      <c r="J7" s="5" t="s">
        <v>66</v>
      </c>
      <c r="K7" s="5"/>
      <c r="L7" s="302"/>
      <c r="M7" s="290"/>
      <c r="N7" s="290"/>
    </row>
    <row r="8" spans="1:14" ht="18.75">
      <c r="A8" s="6">
        <v>1</v>
      </c>
      <c r="B8" s="7" t="s">
        <v>12</v>
      </c>
      <c r="C8" s="8" t="s">
        <v>13</v>
      </c>
      <c r="D8" s="9">
        <f>VLOOKUP($B8,'2806'!$B8:$M22,11,0)</f>
        <v>400</v>
      </c>
      <c r="E8" s="10">
        <f>108+100+76</f>
        <v>284</v>
      </c>
      <c r="F8" s="11">
        <v>50</v>
      </c>
      <c r="G8" s="11">
        <v>50</v>
      </c>
      <c r="H8" s="11">
        <v>40</v>
      </c>
      <c r="I8" s="11"/>
      <c r="J8" s="11"/>
      <c r="K8" s="11"/>
      <c r="L8" s="9">
        <f>D8+E8-SUM(F8:K8)</f>
        <v>544</v>
      </c>
      <c r="M8" s="9">
        <v>544</v>
      </c>
      <c r="N8" s="9">
        <f t="shared" ref="N8:N19" si="0">M8-L8</f>
        <v>0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VLOOKUP($B9,'2806'!$B9:$M23,11,0)</f>
        <v>190</v>
      </c>
      <c r="E9" s="14">
        <f>69+71+70+70</f>
        <v>280</v>
      </c>
      <c r="F9" s="11"/>
      <c r="G9" s="11"/>
      <c r="H9" s="11">
        <v>60</v>
      </c>
      <c r="I9" s="11"/>
      <c r="J9" s="11"/>
      <c r="K9" s="11"/>
      <c r="L9" s="9">
        <f t="shared" ref="L9:L20" si="1">D9+E9-SUM(F9:K9)</f>
        <v>410</v>
      </c>
      <c r="M9" s="9">
        <v>410</v>
      </c>
      <c r="N9" s="9">
        <f t="shared" si="0"/>
        <v>0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VLOOKUP($B10,'2806'!$B10:$M24,11,0)</f>
        <v>472</v>
      </c>
      <c r="E10" s="10"/>
      <c r="F10" s="11">
        <v>10</v>
      </c>
      <c r="G10" s="11">
        <v>30</v>
      </c>
      <c r="H10" s="11">
        <v>40</v>
      </c>
      <c r="I10" s="11"/>
      <c r="J10" s="11"/>
      <c r="K10" s="11"/>
      <c r="L10" s="9">
        <f t="shared" si="1"/>
        <v>392</v>
      </c>
      <c r="M10" s="9">
        <f>100+150+142</f>
        <v>392</v>
      </c>
      <c r="N10" s="9">
        <f t="shared" si="0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VLOOKUP($B11,'2806'!$B11:$M25,11,0)</f>
        <v>0</v>
      </c>
      <c r="E11" s="10"/>
      <c r="F11" s="11"/>
      <c r="G11" s="11"/>
      <c r="H11" s="11"/>
      <c r="I11" s="11"/>
      <c r="J11" s="11"/>
      <c r="K11" s="11"/>
      <c r="L11" s="9">
        <f t="shared" si="1"/>
        <v>0</v>
      </c>
      <c r="M11" s="9"/>
      <c r="N11" s="9">
        <f t="shared" si="0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VLOOKUP($B12,'2806'!$B12:$M26,11,0)</f>
        <v>321</v>
      </c>
      <c r="E12" s="14">
        <v>73</v>
      </c>
      <c r="F12" s="11">
        <v>30</v>
      </c>
      <c r="G12" s="11">
        <v>30</v>
      </c>
      <c r="H12" s="11">
        <v>60</v>
      </c>
      <c r="I12" s="11">
        <v>100</v>
      </c>
      <c r="J12" s="11"/>
      <c r="K12" s="11"/>
      <c r="L12" s="9">
        <f t="shared" si="1"/>
        <v>174</v>
      </c>
      <c r="M12" s="9">
        <f>68+73+33</f>
        <v>174</v>
      </c>
      <c r="N12" s="9">
        <f t="shared" si="0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VLOOKUP($B13,'2806'!$B13:$M27,11,0)</f>
        <v>268</v>
      </c>
      <c r="E13" s="14">
        <v>110</v>
      </c>
      <c r="F13" s="11">
        <v>20</v>
      </c>
      <c r="G13" s="11"/>
      <c r="H13" s="11">
        <v>40</v>
      </c>
      <c r="I13" s="11">
        <v>100</v>
      </c>
      <c r="J13" s="11"/>
      <c r="K13" s="11"/>
      <c r="L13" s="9">
        <f t="shared" si="1"/>
        <v>218</v>
      </c>
      <c r="M13" s="9">
        <v>218</v>
      </c>
      <c r="N13" s="9">
        <f t="shared" si="0"/>
        <v>0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VLOOKUP($B14,'2806'!$B14:$M28,11,0)</f>
        <v>0</v>
      </c>
      <c r="E14" s="14"/>
      <c r="F14" s="11"/>
      <c r="G14" s="11"/>
      <c r="H14" s="11"/>
      <c r="I14" s="11"/>
      <c r="J14" s="11"/>
      <c r="K14" s="11"/>
      <c r="L14" s="9">
        <f t="shared" si="1"/>
        <v>0</v>
      </c>
      <c r="M14" s="9"/>
      <c r="N14" s="9">
        <f t="shared" si="0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VLOOKUP($B15,'2806'!$B15:$M29,11,0)</f>
        <v>0</v>
      </c>
      <c r="E15" s="14"/>
      <c r="F15" s="11"/>
      <c r="G15" s="11"/>
      <c r="H15" s="11"/>
      <c r="I15" s="11"/>
      <c r="J15" s="11"/>
      <c r="K15" s="11"/>
      <c r="L15" s="9">
        <f t="shared" si="1"/>
        <v>0</v>
      </c>
      <c r="M15" s="9"/>
      <c r="N15" s="9">
        <f t="shared" si="0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VLOOKUP($B16,'2806'!$B16:$M30,11,0)</f>
        <v>11</v>
      </c>
      <c r="E16" s="14"/>
      <c r="F16" s="11"/>
      <c r="G16" s="11">
        <v>1</v>
      </c>
      <c r="H16" s="11">
        <v>1</v>
      </c>
      <c r="I16" s="11"/>
      <c r="J16" s="11"/>
      <c r="K16" s="11"/>
      <c r="L16" s="9">
        <f t="shared" si="1"/>
        <v>9</v>
      </c>
      <c r="M16" s="9">
        <v>9</v>
      </c>
      <c r="N16" s="9">
        <f t="shared" si="0"/>
        <v>0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VLOOKUP($B17,'2806'!$B17:$M31,11,0)</f>
        <v>2</v>
      </c>
      <c r="E17" s="14"/>
      <c r="F17" s="11"/>
      <c r="G17" s="11">
        <v>1</v>
      </c>
      <c r="H17" s="11"/>
      <c r="I17" s="11"/>
      <c r="J17" s="11"/>
      <c r="K17" s="11"/>
      <c r="L17" s="9">
        <f t="shared" si="1"/>
        <v>1</v>
      </c>
      <c r="M17" s="9">
        <v>1</v>
      </c>
      <c r="N17" s="9">
        <f t="shared" si="0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VLOOKUP($B18,'2806'!$B18:$M32,11,0)</f>
        <v>2</v>
      </c>
      <c r="E18" s="14"/>
      <c r="F18" s="11"/>
      <c r="G18" s="11"/>
      <c r="H18" s="11">
        <v>1</v>
      </c>
      <c r="I18" s="11"/>
      <c r="J18" s="11"/>
      <c r="K18" s="11"/>
      <c r="L18" s="9">
        <f t="shared" si="1"/>
        <v>1</v>
      </c>
      <c r="M18" s="9">
        <v>1</v>
      </c>
      <c r="N18" s="9">
        <f t="shared" si="0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VLOOKUP($B19,'2806'!$B19:$M33,11,0)</f>
        <v>0</v>
      </c>
      <c r="E19" s="14"/>
      <c r="F19" s="11"/>
      <c r="G19" s="11"/>
      <c r="H19" s="11"/>
      <c r="I19" s="11"/>
      <c r="J19" s="11"/>
      <c r="K19" s="11"/>
      <c r="L19" s="9">
        <f t="shared" si="1"/>
        <v>0</v>
      </c>
      <c r="M19" s="9"/>
      <c r="N19" s="9">
        <f t="shared" si="0"/>
        <v>0</v>
      </c>
    </row>
    <row r="20" spans="1:14" ht="18.75">
      <c r="A20" s="6">
        <v>13</v>
      </c>
      <c r="B20" s="12" t="s">
        <v>29</v>
      </c>
      <c r="C20" s="6" t="s">
        <v>17</v>
      </c>
      <c r="D20" s="9">
        <f>VLOOKUP($B20,'2806'!$B20:$M34,11,0)</f>
        <v>0</v>
      </c>
      <c r="E20" s="14"/>
      <c r="F20" s="11"/>
      <c r="G20" s="11"/>
      <c r="H20" s="11"/>
      <c r="I20" s="11"/>
      <c r="J20" s="11"/>
      <c r="K20" s="11"/>
      <c r="L20" s="9">
        <f t="shared" si="1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VLOOKUP($B21,'2806'!$B21:$M35,11,0)</f>
        <v>0</v>
      </c>
      <c r="E21" s="14"/>
      <c r="F21" s="11"/>
      <c r="G21" s="11"/>
      <c r="H21" s="11"/>
      <c r="I21" s="11"/>
      <c r="J21" s="11"/>
      <c r="K21" s="11"/>
      <c r="L21" s="9">
        <f>D21+E21-SUM(F21:J21)</f>
        <v>0</v>
      </c>
      <c r="M21" s="9"/>
      <c r="N21" s="9">
        <f t="shared" ref="N21" si="2"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VLOOKUP($B22,'2806'!$B22:$M36,11,0)</f>
        <v>0</v>
      </c>
      <c r="E22" s="14"/>
      <c r="F22" s="11"/>
      <c r="G22" s="11"/>
      <c r="H22" s="11"/>
      <c r="I22" s="11"/>
      <c r="J22" s="11"/>
      <c r="K22" s="11"/>
      <c r="L22" s="9">
        <f>D22+E22-SUM(F22:J22)</f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VLOOKUP($B23,'2806'!$B23:$M37,11,0)</f>
        <v>0</v>
      </c>
      <c r="E23" s="14">
        <v>62</v>
      </c>
      <c r="F23" s="9">
        <v>30</v>
      </c>
      <c r="G23" s="9"/>
      <c r="H23" s="9"/>
      <c r="I23" s="9"/>
      <c r="J23" s="9">
        <v>32</v>
      </c>
      <c r="K23" s="9"/>
      <c r="L23" s="9">
        <f t="shared" ref="L23:L24" si="3">D23+E23-SUM(F23:J23)</f>
        <v>0</v>
      </c>
      <c r="M23" s="9"/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VLOOKUP($B24,'2806'!$B24:$M38,11,0)</f>
        <v>0</v>
      </c>
      <c r="E24" s="9"/>
      <c r="F24" s="9"/>
      <c r="G24" s="9"/>
      <c r="H24" s="9"/>
      <c r="I24" s="9"/>
      <c r="J24" s="9"/>
      <c r="K24" s="9"/>
      <c r="L24" s="9">
        <f t="shared" si="3"/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VLOOKUP($B26,'2806'!$B26:$M40,11,0)</f>
        <v>308</v>
      </c>
      <c r="E26" s="10">
        <v>68</v>
      </c>
      <c r="F26" s="9">
        <v>114</v>
      </c>
      <c r="G26" s="11"/>
      <c r="H26" s="9"/>
      <c r="I26" s="9"/>
      <c r="J26" s="9"/>
      <c r="K26" s="9"/>
      <c r="L26" s="9">
        <f t="shared" ref="L26" si="4">D26+E26-F26</f>
        <v>262</v>
      </c>
      <c r="M26" s="9">
        <v>262</v>
      </c>
      <c r="N26" s="9">
        <f t="shared" ref="N26" si="5"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VLOOKUP($B27,'2806'!$B27:$M41,11,0)</f>
        <v>112</v>
      </c>
      <c r="E27" s="9"/>
      <c r="F27" s="9">
        <v>10</v>
      </c>
      <c r="G27" s="11"/>
      <c r="H27" s="9"/>
      <c r="I27" s="9"/>
      <c r="J27" s="9"/>
      <c r="K27" s="9"/>
      <c r="L27" s="9">
        <f>D27+E27-F27</f>
        <v>102</v>
      </c>
      <c r="M27" s="9">
        <v>102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VLOOKUP($B28,'2806'!$B28:$M42,11,0)</f>
        <v>298</v>
      </c>
      <c r="E28" s="9">
        <v>110</v>
      </c>
      <c r="F28" s="9">
        <v>116</v>
      </c>
      <c r="G28" s="11"/>
      <c r="H28" s="9"/>
      <c r="I28" s="9"/>
      <c r="J28" s="9"/>
      <c r="K28" s="9"/>
      <c r="L28" s="9">
        <f>D28+E28-F28</f>
        <v>292</v>
      </c>
      <c r="M28" s="9">
        <v>292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VLOOKUP($B29,'2806'!$B29:$M43,11,0)</f>
        <v>173</v>
      </c>
      <c r="E29" s="9"/>
      <c r="F29" s="9">
        <v>46</v>
      </c>
      <c r="G29" s="11"/>
      <c r="H29" s="9"/>
      <c r="I29" s="9"/>
      <c r="J29" s="9"/>
      <c r="K29" s="9"/>
      <c r="L29" s="9">
        <f>D29+E29-F29</f>
        <v>127</v>
      </c>
      <c r="M29" s="9">
        <v>127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J6"/>
    <mergeCell ref="L6:L7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B44" sqref="B44"/>
      <selection pane="topRight" activeCell="G8" sqref="G8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DATE(2015,6,29)</f>
        <v>42184</v>
      </c>
      <c r="E5" s="293">
        <f>D5+1</f>
        <v>42185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00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54</v>
      </c>
      <c r="H7" s="5"/>
      <c r="I7" s="5"/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VLOOKUP($B8,'2906'!$B8:$M22,11,0)</f>
        <v>544</v>
      </c>
      <c r="E8" s="10"/>
      <c r="F8" s="11">
        <v>54</v>
      </c>
      <c r="G8" s="11">
        <v>90</v>
      </c>
      <c r="H8" s="11"/>
      <c r="I8" s="11"/>
      <c r="J8" s="11"/>
      <c r="K8" s="9">
        <f>D8+E8-SUM(F8:J8)</f>
        <v>400</v>
      </c>
      <c r="L8" s="9">
        <f>130+120+120+30</f>
        <v>400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VLOOKUP($B9,'2906'!$B9:$M23,11,0)</f>
        <v>410</v>
      </c>
      <c r="E9" s="14"/>
      <c r="F9" s="11"/>
      <c r="G9" s="11">
        <v>80</v>
      </c>
      <c r="H9" s="11"/>
      <c r="I9" s="11"/>
      <c r="J9" s="11"/>
      <c r="K9" s="9">
        <f t="shared" ref="K9:K20" si="1">D9+E9-SUM(F9:J9)</f>
        <v>330</v>
      </c>
      <c r="L9" s="9">
        <v>330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VLOOKUP($B10,'2906'!$B10:$M24,11,0)</f>
        <v>392</v>
      </c>
      <c r="E10" s="10">
        <f>150+150+160</f>
        <v>460</v>
      </c>
      <c r="F10" s="11">
        <v>10</v>
      </c>
      <c r="G10" s="11">
        <v>40</v>
      </c>
      <c r="H10" s="11"/>
      <c r="I10" s="11"/>
      <c r="J10" s="11"/>
      <c r="K10" s="9">
        <f t="shared" si="1"/>
        <v>802</v>
      </c>
      <c r="L10" s="9">
        <f>200+143+460</f>
        <v>803</v>
      </c>
      <c r="M10" s="9">
        <f t="shared" si="0"/>
        <v>1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VLOOKUP($B11,'2906'!$B11:$M25,11,0)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VLOOKUP($B12,'2906'!$B12:$M26,11,0)</f>
        <v>174</v>
      </c>
      <c r="E12" s="14">
        <v>171</v>
      </c>
      <c r="F12" s="11">
        <v>30</v>
      </c>
      <c r="G12" s="11">
        <v>58</v>
      </c>
      <c r="H12" s="11"/>
      <c r="I12" s="11"/>
      <c r="J12" s="11"/>
      <c r="K12" s="9">
        <f t="shared" si="1"/>
        <v>257</v>
      </c>
      <c r="L12" s="9">
        <v>257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VLOOKUP($B13,'2906'!$B13:$M27,11,0)</f>
        <v>218</v>
      </c>
      <c r="E13" s="14">
        <v>145</v>
      </c>
      <c r="F13" s="11">
        <v>20</v>
      </c>
      <c r="G13" s="11">
        <v>40</v>
      </c>
      <c r="H13" s="11"/>
      <c r="I13" s="11"/>
      <c r="J13" s="11"/>
      <c r="K13" s="9">
        <f t="shared" si="1"/>
        <v>303</v>
      </c>
      <c r="L13" s="9">
        <v>303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VLOOKUP($B14,'2906'!$B14:$M28,11,0)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VLOOKUP($B15,'2906'!$B15:$M29,11,0)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VLOOKUP($B16,'2906'!$B16:$M30,11,0)</f>
        <v>9</v>
      </c>
      <c r="E16" s="14"/>
      <c r="F16" s="11"/>
      <c r="G16" s="11">
        <v>1</v>
      </c>
      <c r="H16" s="11"/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VLOOKUP($B17,'2906'!$B17:$M31,11,0)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VLOOKUP($B18,'2906'!$B18:$M32,11,0)</f>
        <v>1</v>
      </c>
      <c r="E18" s="14">
        <v>2</v>
      </c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VLOOKUP($B19,'2906'!$B19:$M33,11,0)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VLOOKUP($B20,'2906'!$B20:$M34,11,0)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VLOOKUP($B21,'2906'!$B21:$M35,11,0)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VLOOKUP($B22,'2906'!$B22:$M36,11,0)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VLOOKUP($B23,'2906'!$B23:$M37,11,0)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VLOOKUP($B24,'2906'!$B24:$M38,11,0)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VLOOKUP($B26,'2906'!$B26:$M40,11,0)</f>
        <v>262</v>
      </c>
      <c r="E26" s="10">
        <v>127</v>
      </c>
      <c r="F26" s="9">
        <v>228</v>
      </c>
      <c r="G26" s="11"/>
      <c r="H26" s="9"/>
      <c r="I26" s="9"/>
      <c r="J26" s="9"/>
      <c r="K26" s="9">
        <f t="shared" ref="K26" si="4">D26+E26-F26</f>
        <v>161</v>
      </c>
      <c r="L26" s="9">
        <v>161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VLOOKUP($B27,'2906'!$B27:$M41,11,0)</f>
        <v>102</v>
      </c>
      <c r="E27" s="9">
        <v>62</v>
      </c>
      <c r="F27" s="9">
        <v>25</v>
      </c>
      <c r="G27" s="11"/>
      <c r="H27" s="9"/>
      <c r="I27" s="9"/>
      <c r="J27" s="9"/>
      <c r="K27" s="9">
        <f>D27+E27-F27</f>
        <v>139</v>
      </c>
      <c r="L27" s="9">
        <v>139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VLOOKUP($B28,'2906'!$B28:$M42,11,0)</f>
        <v>292</v>
      </c>
      <c r="E28" s="9">
        <v>144</v>
      </c>
      <c r="F28" s="9">
        <v>55</v>
      </c>
      <c r="G28" s="11"/>
      <c r="H28" s="9"/>
      <c r="I28" s="9"/>
      <c r="J28" s="9"/>
      <c r="K28" s="9">
        <f>D28+E28-F28</f>
        <v>381</v>
      </c>
      <c r="L28" s="9">
        <v>381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VLOOKUP($B29,'2906'!$B29:$M43,11,0)</f>
        <v>127</v>
      </c>
      <c r="E29" s="9">
        <v>85</v>
      </c>
      <c r="F29" s="9">
        <v>104</v>
      </c>
      <c r="G29" s="11"/>
      <c r="H29" s="9"/>
      <c r="I29" s="9"/>
      <c r="J29" s="9"/>
      <c r="K29" s="9">
        <f>D29+E29-F29</f>
        <v>108</v>
      </c>
      <c r="L29" s="9">
        <v>108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7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DATE(2015,6,29)</f>
        <v>42184</v>
      </c>
      <c r="E5" s="293">
        <f>D5+1</f>
        <v>42185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01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39</v>
      </c>
      <c r="H7" s="5" t="s">
        <v>40</v>
      </c>
      <c r="I7" s="5" t="s">
        <v>38</v>
      </c>
      <c r="J7" s="5" t="s">
        <v>71</v>
      </c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VLOOKUP($B8,'3006'!$B8:$M22,11,0)</f>
        <v>400</v>
      </c>
      <c r="E8" s="10">
        <f>81+95+83+93</f>
        <v>352</v>
      </c>
      <c r="F8" s="11">
        <v>60</v>
      </c>
      <c r="G8" s="11">
        <v>40</v>
      </c>
      <c r="H8" s="11">
        <v>10</v>
      </c>
      <c r="I8" s="11">
        <v>30</v>
      </c>
      <c r="J8" s="11"/>
      <c r="K8" s="9">
        <f>D8+E8-SUM(F8:J8)</f>
        <v>612</v>
      </c>
      <c r="L8" s="9">
        <f>220+30+342+20</f>
        <v>612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VLOOKUP($B9,'3006'!$B9:$M23,11,0)</f>
        <v>330</v>
      </c>
      <c r="E9" s="14"/>
      <c r="F9" s="11"/>
      <c r="G9" s="11">
        <v>30</v>
      </c>
      <c r="H9" s="11">
        <v>40</v>
      </c>
      <c r="I9" s="11">
        <v>30</v>
      </c>
      <c r="J9" s="11"/>
      <c r="K9" s="9">
        <f t="shared" ref="K9:K24" si="1">D9+E9-SUM(F9:J9)</f>
        <v>230</v>
      </c>
      <c r="L9" s="9">
        <v>230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VLOOKUP($B10,'3006'!$B10:$M24,11,0)</f>
        <v>803</v>
      </c>
      <c r="E10" s="10">
        <v>172</v>
      </c>
      <c r="F10" s="11">
        <v>10</v>
      </c>
      <c r="G10" s="11">
        <v>40</v>
      </c>
      <c r="H10" s="11">
        <v>50</v>
      </c>
      <c r="I10" s="11">
        <v>20</v>
      </c>
      <c r="J10" s="11"/>
      <c r="K10" s="9">
        <f t="shared" si="1"/>
        <v>855</v>
      </c>
      <c r="L10" s="9">
        <f>213+172+470</f>
        <v>855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VLOOKUP($B11,'3006'!$B11:$M25,11,0)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VLOOKUP($B12,'3006'!$B12:$M26,11,0)</f>
        <v>257</v>
      </c>
      <c r="E12" s="14">
        <f>150+106</f>
        <v>256</v>
      </c>
      <c r="F12" s="11">
        <v>20</v>
      </c>
      <c r="G12" s="11">
        <v>40</v>
      </c>
      <c r="H12" s="11">
        <v>50</v>
      </c>
      <c r="I12" s="11">
        <v>30</v>
      </c>
      <c r="J12" s="11"/>
      <c r="K12" s="9">
        <f t="shared" si="1"/>
        <v>373</v>
      </c>
      <c r="L12" s="9">
        <f>85+288</f>
        <v>373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VLOOKUP($B13,'3006'!$B13:$M27,11,0)</f>
        <v>303</v>
      </c>
      <c r="E13" s="14">
        <v>136</v>
      </c>
      <c r="F13" s="11">
        <v>20</v>
      </c>
      <c r="G13" s="11">
        <v>40</v>
      </c>
      <c r="H13" s="11">
        <v>40</v>
      </c>
      <c r="I13" s="11">
        <v>20</v>
      </c>
      <c r="J13" s="11"/>
      <c r="K13" s="9">
        <f t="shared" si="1"/>
        <v>319</v>
      </c>
      <c r="L13" s="9">
        <f>106+100+113</f>
        <v>319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VLOOKUP($B14,'3006'!$B14:$M28,11,0)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VLOOKUP($B15,'3006'!$B15:$M29,11,0)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VLOOKUP($B16,'3006'!$B16:$M30,11,0)</f>
        <v>8</v>
      </c>
      <c r="E16" s="14">
        <v>4</v>
      </c>
      <c r="F16" s="11"/>
      <c r="G16" s="11">
        <v>1</v>
      </c>
      <c r="H16" s="11">
        <v>1</v>
      </c>
      <c r="I16" s="11">
        <v>1</v>
      </c>
      <c r="J16" s="11"/>
      <c r="K16" s="9">
        <f t="shared" si="1"/>
        <v>9</v>
      </c>
      <c r="L16" s="9">
        <v>9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VLOOKUP($B17,'3006'!$B17:$M31,11,0)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VLOOKUP($B18,'3006'!$B18:$M32,11,0)</f>
        <v>3</v>
      </c>
      <c r="E18" s="14"/>
      <c r="F18" s="11"/>
      <c r="G18" s="11">
        <v>1</v>
      </c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VLOOKUP($B19,'3006'!$B19:$M33,11,0)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VLOOKUP($B21,'3006'!$B21:$M35,11,0)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VLOOKUP($B22,'3006'!$B22:$M36,11,0)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VLOOKUP($B23,'3006'!$B23:$M37,11,0)</f>
        <v>0</v>
      </c>
      <c r="E23" s="14">
        <v>64</v>
      </c>
      <c r="F23" s="9"/>
      <c r="G23" s="9"/>
      <c r="H23" s="9"/>
      <c r="I23" s="9"/>
      <c r="J23" s="9">
        <v>64</v>
      </c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VLOOKUP($B24,'3006'!$B24:$M38,11,0)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VLOOKUP($B26,'3006'!$B26:$M40,11,0)</f>
        <v>161</v>
      </c>
      <c r="E26" s="10">
        <f>208+78</f>
        <v>286</v>
      </c>
      <c r="F26" s="9">
        <v>161</v>
      </c>
      <c r="G26" s="11"/>
      <c r="H26" s="9"/>
      <c r="I26" s="9"/>
      <c r="J26" s="9"/>
      <c r="K26" s="9">
        <f t="shared" ref="K26" si="3">D26+E26-F26</f>
        <v>286</v>
      </c>
      <c r="L26" s="9">
        <v>286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VLOOKUP($B27,'3006'!$B27:$M41,11,0)</f>
        <v>139</v>
      </c>
      <c r="E27" s="9"/>
      <c r="F27" s="9">
        <v>40</v>
      </c>
      <c r="G27" s="11"/>
      <c r="H27" s="9"/>
      <c r="I27" s="9"/>
      <c r="J27" s="9"/>
      <c r="K27" s="9">
        <f>D27+E27-F27</f>
        <v>99</v>
      </c>
      <c r="L27" s="9">
        <v>99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VLOOKUP($B28,'3006'!$B28:$M42,11,0)</f>
        <v>381</v>
      </c>
      <c r="E28" s="9"/>
      <c r="F28" s="9">
        <v>122</v>
      </c>
      <c r="G28" s="11"/>
      <c r="H28" s="9"/>
      <c r="I28" s="9"/>
      <c r="J28" s="9"/>
      <c r="K28" s="9">
        <f>D28+E28-F28</f>
        <v>259</v>
      </c>
      <c r="L28" s="9">
        <v>259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VLOOKUP($B29,'3006'!$B29:$M43,11,0)</f>
        <v>108</v>
      </c>
      <c r="E29" s="9">
        <v>48</v>
      </c>
      <c r="F29" s="9">
        <v>40</v>
      </c>
      <c r="G29" s="11"/>
      <c r="H29" s="9"/>
      <c r="I29" s="9"/>
      <c r="J29" s="9"/>
      <c r="K29" s="9">
        <f>D29+E29-F29</f>
        <v>116</v>
      </c>
      <c r="L29" s="9">
        <v>116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7" workbookViewId="0">
      <pane xSplit="1" topLeftCell="D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DATE(2015,7,1)</f>
        <v>42186</v>
      </c>
      <c r="E5" s="293">
        <f>D5+1</f>
        <v>42187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02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52</v>
      </c>
      <c r="H7" s="5" t="s">
        <v>51</v>
      </c>
      <c r="I7" s="5" t="s">
        <v>66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VLOOKUP($B8,'0107'!$B8:$M22,11,0)</f>
        <v>612</v>
      </c>
      <c r="E8" s="10">
        <f>105+95+27</f>
        <v>227</v>
      </c>
      <c r="F8" s="11">
        <v>50</v>
      </c>
      <c r="G8" s="11">
        <v>200</v>
      </c>
      <c r="H8" s="11">
        <v>102</v>
      </c>
      <c r="I8" s="11"/>
      <c r="J8" s="11"/>
      <c r="K8" s="9">
        <f>D8+E8-SUM(F8:J8)</f>
        <v>487</v>
      </c>
      <c r="L8" s="9">
        <f>240+227+20</f>
        <v>487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VLOOKUP($B9,'0107'!$B9:$M23,11,0)</f>
        <v>230</v>
      </c>
      <c r="E9" s="14"/>
      <c r="F9" s="11">
        <v>10</v>
      </c>
      <c r="G9" s="11"/>
      <c r="H9" s="11"/>
      <c r="I9" s="11"/>
      <c r="J9" s="11"/>
      <c r="K9" s="9">
        <f t="shared" ref="K9:K24" si="1">D9+E9-SUM(F9:J9)</f>
        <v>220</v>
      </c>
      <c r="L9" s="9">
        <v>220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VLOOKUP($B10,'0107'!$B10:$M24,11,0)</f>
        <v>855</v>
      </c>
      <c r="E10" s="10">
        <v>157</v>
      </c>
      <c r="F10" s="11">
        <v>10</v>
      </c>
      <c r="G10" s="11">
        <v>142</v>
      </c>
      <c r="H10" s="11">
        <v>70</v>
      </c>
      <c r="I10" s="11"/>
      <c r="J10" s="11"/>
      <c r="K10" s="9">
        <f t="shared" si="1"/>
        <v>790</v>
      </c>
      <c r="L10" s="9">
        <f>632+157</f>
        <v>789</v>
      </c>
      <c r="M10" s="9">
        <f t="shared" si="0"/>
        <v>-1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VLOOKUP($B11,'0107'!$B11:$M25,11,0)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VLOOKUP($B12,'0107'!$B12:$M26,11,0)</f>
        <v>373</v>
      </c>
      <c r="E12" s="14">
        <f>120+84</f>
        <v>204</v>
      </c>
      <c r="F12" s="11">
        <v>30</v>
      </c>
      <c r="G12" s="11">
        <v>270</v>
      </c>
      <c r="H12" s="11">
        <v>100</v>
      </c>
      <c r="I12" s="11"/>
      <c r="J12" s="11"/>
      <c r="K12" s="9">
        <f t="shared" si="1"/>
        <v>177</v>
      </c>
      <c r="L12" s="9">
        <v>177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VLOOKUP($B13,'0107'!$B13:$M27,11,0)</f>
        <v>319</v>
      </c>
      <c r="E13" s="14">
        <v>150</v>
      </c>
      <c r="F13" s="11">
        <v>20</v>
      </c>
      <c r="G13" s="11">
        <v>200</v>
      </c>
      <c r="H13" s="11">
        <v>100</v>
      </c>
      <c r="I13" s="11"/>
      <c r="J13" s="11"/>
      <c r="K13" s="9">
        <f t="shared" si="1"/>
        <v>149</v>
      </c>
      <c r="L13" s="9">
        <v>150</v>
      </c>
      <c r="M13" s="9">
        <f t="shared" si="0"/>
        <v>1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VLOOKUP($B14,'0107'!$B14:$M28,11,0)</f>
        <v>2</v>
      </c>
      <c r="E14" s="14"/>
      <c r="F14" s="11"/>
      <c r="G14" s="11"/>
      <c r="H14" s="11">
        <v>2</v>
      </c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VLOOKUP($B15,'0107'!$B15:$M29,11,0)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VLOOKUP($B16,'0107'!$B16:$M30,11,0)</f>
        <v>9</v>
      </c>
      <c r="E16" s="14">
        <v>4</v>
      </c>
      <c r="F16" s="11"/>
      <c r="G16" s="11">
        <v>3</v>
      </c>
      <c r="H16" s="11">
        <v>2</v>
      </c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VLOOKUP($B17,'0107'!$B17:$M31,11,0)</f>
        <v>1</v>
      </c>
      <c r="E17" s="14"/>
      <c r="F17" s="11"/>
      <c r="G17" s="11"/>
      <c r="H17" s="11">
        <v>1</v>
      </c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VLOOKUP($B18,'0107'!$B18:$M32,11,0)</f>
        <v>2</v>
      </c>
      <c r="E18" s="14"/>
      <c r="F18" s="11"/>
      <c r="G18" s="11"/>
      <c r="H18" s="11">
        <v>1</v>
      </c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VLOOKUP($B19,'0107'!$B19:$M33,11,0)</f>
        <v>0</v>
      </c>
      <c r="E19" s="14">
        <v>2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VLOOKUP($B20,'0107'!$B20:$M34,11,0)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VLOOKUP($B21,'0107'!$B21:$M35,11,0)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VLOOKUP($B22,'0107'!$B22:$M36,11,0)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VLOOKUP($B23,'0107'!$B23:$M37,11,0)</f>
        <v>0</v>
      </c>
      <c r="E23" s="14">
        <v>80</v>
      </c>
      <c r="F23" s="9"/>
      <c r="G23" s="9"/>
      <c r="H23" s="9"/>
      <c r="I23" s="9">
        <v>80</v>
      </c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VLOOKUP($B24,'0107'!$B24:$M38,11,0)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VLOOKUP($B26,'0107'!$B26:$M40,11,0)</f>
        <v>286</v>
      </c>
      <c r="E26" s="10">
        <v>128</v>
      </c>
      <c r="F26" s="9">
        <v>150</v>
      </c>
      <c r="G26" s="11"/>
      <c r="H26" s="9"/>
      <c r="I26" s="9"/>
      <c r="J26" s="9"/>
      <c r="K26" s="9">
        <f t="shared" ref="K26" si="3">D26+E26-F26</f>
        <v>264</v>
      </c>
      <c r="L26" s="9">
        <v>264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VLOOKUP($B27,'0107'!$B27:$M41,11,0)</f>
        <v>99</v>
      </c>
      <c r="E27" s="9">
        <v>31</v>
      </c>
      <c r="F27" s="9">
        <v>35</v>
      </c>
      <c r="G27" s="11"/>
      <c r="H27" s="9"/>
      <c r="I27" s="9"/>
      <c r="J27" s="9"/>
      <c r="K27" s="9">
        <f>D27+E27-F27</f>
        <v>95</v>
      </c>
      <c r="L27" s="9">
        <v>95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VLOOKUP($B28,'0107'!$B28:$M42,11,0)</f>
        <v>259</v>
      </c>
      <c r="E28" s="9">
        <v>145</v>
      </c>
      <c r="F28" s="9">
        <v>55</v>
      </c>
      <c r="G28" s="11"/>
      <c r="H28" s="9"/>
      <c r="I28" s="9"/>
      <c r="J28" s="9"/>
      <c r="K28" s="9">
        <f>D28+E28-F28</f>
        <v>349</v>
      </c>
      <c r="L28" s="9">
        <v>349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VLOOKUP($B29,'0107'!$B29:$M43,11,0)</f>
        <v>116</v>
      </c>
      <c r="E29" s="9">
        <v>39</v>
      </c>
      <c r="F29" s="9">
        <v>38</v>
      </c>
      <c r="G29" s="11"/>
      <c r="H29" s="9"/>
      <c r="I29" s="9"/>
      <c r="J29" s="9"/>
      <c r="K29" s="9">
        <f>D29+E29-F29</f>
        <v>117</v>
      </c>
      <c r="L29" s="9">
        <v>117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DATE(2015,7,2)</f>
        <v>42187</v>
      </c>
      <c r="E5" s="293">
        <f>D5+1</f>
        <v>42188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03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49</v>
      </c>
      <c r="H7" s="5"/>
      <c r="I7" s="5" t="s">
        <v>66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VLOOKUP($B8,'0207'!$B8:$M22,11,0)</f>
        <v>487</v>
      </c>
      <c r="E8" s="10">
        <f>102+103+94+99+15</f>
        <v>413</v>
      </c>
      <c r="F8" s="11">
        <v>52</v>
      </c>
      <c r="G8" s="11">
        <v>100</v>
      </c>
      <c r="H8" s="11"/>
      <c r="I8" s="11"/>
      <c r="J8" s="11"/>
      <c r="K8" s="9">
        <f>D8+E8-SUM(F8:J8)</f>
        <v>748</v>
      </c>
      <c r="L8" s="9">
        <f>120+120+110+398</f>
        <v>748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VLOOKUP($B9,'0207'!$B9:$M23,11,0)</f>
        <v>220</v>
      </c>
      <c r="E9" s="14"/>
      <c r="F9" s="11"/>
      <c r="G9" s="11">
        <v>30</v>
      </c>
      <c r="H9" s="11"/>
      <c r="I9" s="11"/>
      <c r="J9" s="11"/>
      <c r="K9" s="9">
        <f t="shared" ref="K9:K24" si="1">D9+E9-SUM(F9:J9)</f>
        <v>190</v>
      </c>
      <c r="L9" s="9">
        <v>190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VLOOKUP($B10,'0207'!$B10:$M24,11,0)</f>
        <v>789</v>
      </c>
      <c r="E10" s="10">
        <v>159</v>
      </c>
      <c r="F10" s="11">
        <f>16+632+34</f>
        <v>682</v>
      </c>
      <c r="G10" s="11">
        <v>70</v>
      </c>
      <c r="H10" s="11"/>
      <c r="I10" s="11"/>
      <c r="J10" s="11"/>
      <c r="K10" s="9">
        <f t="shared" si="1"/>
        <v>196</v>
      </c>
      <c r="L10" s="9">
        <f>159+37</f>
        <v>196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VLOOKUP($B11,'0207'!$B11:$M25,11,0)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VLOOKUP($B12,'0207'!$B12:$M26,11,0)</f>
        <v>177</v>
      </c>
      <c r="E12" s="14">
        <f>120+135+8</f>
        <v>263</v>
      </c>
      <c r="F12" s="11">
        <v>20</v>
      </c>
      <c r="G12" s="11">
        <v>60</v>
      </c>
      <c r="H12" s="11"/>
      <c r="I12" s="11"/>
      <c r="J12" s="11"/>
      <c r="K12" s="9">
        <f t="shared" si="1"/>
        <v>360</v>
      </c>
      <c r="L12" s="9">
        <f>105+255</f>
        <v>360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VLOOKUP($B13,'0207'!$B13:$M27,11,0)</f>
        <v>150</v>
      </c>
      <c r="E13" s="14">
        <v>112</v>
      </c>
      <c r="F13" s="11">
        <v>30</v>
      </c>
      <c r="G13" s="11"/>
      <c r="H13" s="11"/>
      <c r="I13" s="11"/>
      <c r="J13" s="11"/>
      <c r="K13" s="9">
        <f t="shared" si="1"/>
        <v>232</v>
      </c>
      <c r="L13" s="9">
        <f>120+112</f>
        <v>232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VLOOKUP($B14,'0207'!$B14:$M28,11,0)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VLOOKUP($B15,'0207'!$B15:$M29,11,0)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VLOOKUP($B16,'0207'!$B16:$M30,11,0)</f>
        <v>8</v>
      </c>
      <c r="E16" s="14"/>
      <c r="F16" s="11">
        <v>1</v>
      </c>
      <c r="G16" s="11">
        <v>2</v>
      </c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VLOOKUP($B17,'0207'!$B17:$M31,11,0)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VLOOKUP($B18,'0207'!$B18:$M32,11,0)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VLOOKUP($B19,'0207'!$B19:$M33,11,0)</f>
        <v>2</v>
      </c>
      <c r="E19" s="14"/>
      <c r="F19" s="11"/>
      <c r="G19" s="11">
        <v>2</v>
      </c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VLOOKUP($B20,'0207'!$B20:$M34,11,0)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VLOOKUP($B21,'0207'!$B21:$M35,11,0)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VLOOKUP($B22,'0207'!$B22:$M36,11,0)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VLOOKUP($B23,'0207'!$B23:$M37,11,0)</f>
        <v>0</v>
      </c>
      <c r="E23" s="14">
        <v>52</v>
      </c>
      <c r="F23" s="9"/>
      <c r="G23" s="9"/>
      <c r="H23" s="9"/>
      <c r="I23" s="9">
        <v>52</v>
      </c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VLOOKUP($B24,'0207'!$B24:$M38,11,0)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VLOOKUP($B26,'0207'!$B26:$M40,11,0)</f>
        <v>264</v>
      </c>
      <c r="E26" s="10">
        <v>129</v>
      </c>
      <c r="F26" s="9">
        <v>60</v>
      </c>
      <c r="G26" s="11"/>
      <c r="H26" s="9"/>
      <c r="I26" s="9"/>
      <c r="J26" s="9"/>
      <c r="K26" s="9">
        <f t="shared" ref="K26" si="3">D26+E26-F26</f>
        <v>333</v>
      </c>
      <c r="L26" s="9">
        <v>333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VLOOKUP($B27,'0207'!$B27:$M41,11,0)</f>
        <v>95</v>
      </c>
      <c r="E27" s="9"/>
      <c r="F27" s="9"/>
      <c r="G27" s="11"/>
      <c r="H27" s="9"/>
      <c r="I27" s="9"/>
      <c r="J27" s="9"/>
      <c r="K27" s="9">
        <f>D27+E27-F27</f>
        <v>95</v>
      </c>
      <c r="L27" s="9">
        <v>95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VLOOKUP($B28,'0207'!$B28:$M42,11,0)</f>
        <v>349</v>
      </c>
      <c r="E28" s="9">
        <v>140</v>
      </c>
      <c r="F28" s="9">
        <v>66</v>
      </c>
      <c r="G28" s="11"/>
      <c r="H28" s="9"/>
      <c r="I28" s="9"/>
      <c r="J28" s="9"/>
      <c r="K28" s="9">
        <f>D28+E28-F28</f>
        <v>423</v>
      </c>
      <c r="L28" s="9">
        <v>423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VLOOKUP($B29,'0207'!$B29:$M43,11,0)</f>
        <v>117</v>
      </c>
      <c r="E29" s="9">
        <v>74</v>
      </c>
      <c r="F29" s="9">
        <v>62</v>
      </c>
      <c r="G29" s="11"/>
      <c r="H29" s="9"/>
      <c r="I29" s="9"/>
      <c r="J29" s="9"/>
      <c r="K29" s="9">
        <f>D29+E29-F29</f>
        <v>129</v>
      </c>
      <c r="L29" s="9">
        <v>129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2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DATE(2015,7,3)</f>
        <v>42188</v>
      </c>
      <c r="E5" s="293">
        <f>D5+1</f>
        <v>42189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04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43</v>
      </c>
      <c r="H7" s="5"/>
      <c r="I7" s="5" t="s">
        <v>66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VLOOKUP($B8,'0307'!$B8:$M22,11,0)</f>
        <v>748</v>
      </c>
      <c r="E8" s="10"/>
      <c r="F8" s="11">
        <v>52</v>
      </c>
      <c r="G8" s="11">
        <v>80</v>
      </c>
      <c r="H8" s="11"/>
      <c r="I8" s="11"/>
      <c r="J8" s="11"/>
      <c r="K8" s="9">
        <f>D8+E8-SUM(F8:J8)</f>
        <v>616</v>
      </c>
      <c r="L8" s="9">
        <f>200+240+176</f>
        <v>616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VLOOKUP($B9,'0307'!$B9:$M23,11,0)</f>
        <v>190</v>
      </c>
      <c r="E9" s="14">
        <f>80+82</f>
        <v>162</v>
      </c>
      <c r="F9" s="11"/>
      <c r="G9" s="11"/>
      <c r="H9" s="11"/>
      <c r="I9" s="11"/>
      <c r="J9" s="11"/>
      <c r="K9" s="9">
        <f t="shared" ref="K9:K24" si="1">D9+E9-SUM(F9:J9)</f>
        <v>352</v>
      </c>
      <c r="L9" s="9">
        <f>190+E9</f>
        <v>352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VLOOKUP($B10,'0307'!$B10:$M24,11,0)</f>
        <v>196</v>
      </c>
      <c r="E10" s="10">
        <v>81</v>
      </c>
      <c r="F10" s="11">
        <v>16</v>
      </c>
      <c r="G10" s="11">
        <v>70</v>
      </c>
      <c r="H10" s="11"/>
      <c r="I10" s="11"/>
      <c r="J10" s="11"/>
      <c r="K10" s="9">
        <f t="shared" si="1"/>
        <v>191</v>
      </c>
      <c r="L10" s="9">
        <f>110+81</f>
        <v>191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VLOOKUP($B11,'0307'!$B11:$M25,11,0)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VLOOKUP($B12,'0307'!$B12:$M26,11,0)</f>
        <v>360</v>
      </c>
      <c r="E12" s="14">
        <v>165</v>
      </c>
      <c r="F12" s="11">
        <v>20</v>
      </c>
      <c r="G12" s="11"/>
      <c r="H12" s="11"/>
      <c r="I12" s="11"/>
      <c r="J12" s="11"/>
      <c r="K12" s="9">
        <f t="shared" si="1"/>
        <v>505</v>
      </c>
      <c r="L12" s="9">
        <f>109+90+140+E12</f>
        <v>504</v>
      </c>
      <c r="M12" s="9">
        <f t="shared" si="0"/>
        <v>-1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VLOOKUP($B13,'0307'!$B13:$M27,11,0)</f>
        <v>232</v>
      </c>
      <c r="E13" s="14">
        <v>108</v>
      </c>
      <c r="F13" s="11">
        <v>10</v>
      </c>
      <c r="G13" s="11">
        <v>80</v>
      </c>
      <c r="H13" s="11"/>
      <c r="I13" s="11"/>
      <c r="J13" s="11"/>
      <c r="K13" s="9">
        <f t="shared" si="1"/>
        <v>250</v>
      </c>
      <c r="L13" s="9">
        <f>142+108</f>
        <v>250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VLOOKUP($B14,'0307'!$B14:$M28,11,0)</f>
        <v>0</v>
      </c>
      <c r="E14" s="14">
        <v>2</v>
      </c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VLOOKUP($B15,'0307'!$B15:$M29,11,0)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VLOOKUP($B16,'0307'!$B16:$M30,11,0)</f>
        <v>5</v>
      </c>
      <c r="E16" s="14"/>
      <c r="F16" s="11"/>
      <c r="G16" s="11">
        <v>3</v>
      </c>
      <c r="H16" s="11"/>
      <c r="I16" s="11"/>
      <c r="J16" s="11"/>
      <c r="K16" s="9">
        <f t="shared" si="1"/>
        <v>2</v>
      </c>
      <c r="L16" s="9">
        <v>2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VLOOKUP($B17,'0307'!$B17:$M31,11,0)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VLOOKUP($B18,'0307'!$B18:$M32,11,0)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VLOOKUP($B19,'0307'!$B19:$M33,11,0)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VLOOKUP($B20,'0307'!$B20:$M34,11,0)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VLOOKUP($B21,'0307'!$B21:$M35,11,0)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VLOOKUP($B22,'0307'!$B22:$M36,11,0)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VLOOKUP($B23,'0307'!$B23:$M37,11,0)</f>
        <v>0</v>
      </c>
      <c r="E23" s="14">
        <v>60</v>
      </c>
      <c r="F23" s="9">
        <v>12</v>
      </c>
      <c r="G23" s="9"/>
      <c r="H23" s="9"/>
      <c r="I23" s="9"/>
      <c r="J23" s="9"/>
      <c r="K23" s="9">
        <f t="shared" si="1"/>
        <v>48</v>
      </c>
      <c r="L23" s="9">
        <v>48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VLOOKUP($B24,'0307'!$B24:$M38,11,0)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VLOOKUP($B26,'0307'!$B26:$M40,11,0)</f>
        <v>333</v>
      </c>
      <c r="E26" s="10">
        <f>137+131</f>
        <v>268</v>
      </c>
      <c r="F26" s="9">
        <v>206</v>
      </c>
      <c r="G26" s="11"/>
      <c r="H26" s="9"/>
      <c r="I26" s="9"/>
      <c r="J26" s="9"/>
      <c r="K26" s="9">
        <f t="shared" ref="K26" si="3">D26+E26-F26</f>
        <v>395</v>
      </c>
      <c r="L26" s="9">
        <v>395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VLOOKUP($B27,'0307'!$B27:$M41,11,0)</f>
        <v>95</v>
      </c>
      <c r="E27" s="9">
        <v>64</v>
      </c>
      <c r="F27" s="9">
        <v>25</v>
      </c>
      <c r="G27" s="11"/>
      <c r="H27" s="9"/>
      <c r="I27" s="9"/>
      <c r="J27" s="9"/>
      <c r="K27" s="9">
        <f>D27+E27-F27</f>
        <v>134</v>
      </c>
      <c r="L27" s="9">
        <v>134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VLOOKUP($B28,'0307'!$B28:$M42,11,0)</f>
        <v>423</v>
      </c>
      <c r="E28" s="9">
        <f>200+185</f>
        <v>385</v>
      </c>
      <c r="F28" s="9">
        <v>128</v>
      </c>
      <c r="G28" s="11"/>
      <c r="H28" s="9"/>
      <c r="I28" s="9"/>
      <c r="J28" s="9"/>
      <c r="K28" s="9">
        <f>D28+E28-F28</f>
        <v>680</v>
      </c>
      <c r="L28" s="9">
        <v>680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VLOOKUP($B29,'0307'!$B29:$M43,11,0)</f>
        <v>129</v>
      </c>
      <c r="E29" s="9">
        <v>80</v>
      </c>
      <c r="F29" s="9">
        <v>17</v>
      </c>
      <c r="G29" s="11"/>
      <c r="H29" s="9"/>
      <c r="I29" s="9"/>
      <c r="J29" s="9"/>
      <c r="K29" s="9">
        <f>D29+E29-F29</f>
        <v>192</v>
      </c>
      <c r="L29" s="9">
        <v>192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9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DATE(2015,7,4)</f>
        <v>42189</v>
      </c>
      <c r="E5" s="293">
        <f>D5+1</f>
        <v>42190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05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/>
      <c r="H7" s="5"/>
      <c r="I7" s="5" t="s">
        <v>66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VLOOKUP($B8,'0407'!$B8:$M22,11,0)</f>
        <v>616</v>
      </c>
      <c r="E8" s="10"/>
      <c r="F8" s="11">
        <v>52</v>
      </c>
      <c r="G8" s="11"/>
      <c r="H8" s="11"/>
      <c r="I8" s="11"/>
      <c r="J8" s="11"/>
      <c r="K8" s="9">
        <f>D8+E8-SUM(F8:J8)</f>
        <v>564</v>
      </c>
      <c r="L8" s="9">
        <f>240+80+244</f>
        <v>564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VLOOKUP($B9,'0407'!$B9:$M23,11,0)</f>
        <v>352</v>
      </c>
      <c r="E9" s="14"/>
      <c r="F9" s="11"/>
      <c r="G9" s="11"/>
      <c r="H9" s="11"/>
      <c r="I9" s="11"/>
      <c r="J9" s="11"/>
      <c r="K9" s="9">
        <f t="shared" ref="K9:K24" si="1">D9+E9-SUM(F9:J9)</f>
        <v>352</v>
      </c>
      <c r="L9" s="9">
        <f>156+200</f>
        <v>356</v>
      </c>
      <c r="M9" s="9">
        <f t="shared" si="0"/>
        <v>4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VLOOKUP($B10,'0407'!$B10:$M24,11,0)</f>
        <v>191</v>
      </c>
      <c r="E10" s="10"/>
      <c r="F10" s="11">
        <v>16</v>
      </c>
      <c r="G10" s="11"/>
      <c r="H10" s="11"/>
      <c r="I10" s="11"/>
      <c r="J10" s="11"/>
      <c r="K10" s="9">
        <f t="shared" si="1"/>
        <v>175</v>
      </c>
      <c r="L10" s="9">
        <f>81+94</f>
        <v>175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VLOOKUP($B11,'0407'!$B11:$M25,11,0)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VLOOKUP($B12,'0407'!$B12:$M26,11,0)</f>
        <v>504</v>
      </c>
      <c r="E12" s="14"/>
      <c r="F12" s="11">
        <v>29</v>
      </c>
      <c r="G12" s="11"/>
      <c r="H12" s="11"/>
      <c r="I12" s="11"/>
      <c r="J12" s="11"/>
      <c r="K12" s="9">
        <f t="shared" si="1"/>
        <v>475</v>
      </c>
      <c r="L12" s="9">
        <f>220+120+135</f>
        <v>475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VLOOKUP($B13,'0407'!$B13:$M27,11,0)</f>
        <v>250</v>
      </c>
      <c r="E13" s="14"/>
      <c r="F13" s="11">
        <v>13</v>
      </c>
      <c r="G13" s="11"/>
      <c r="H13" s="11"/>
      <c r="I13" s="11"/>
      <c r="J13" s="11"/>
      <c r="K13" s="9">
        <f t="shared" si="1"/>
        <v>237</v>
      </c>
      <c r="L13" s="9">
        <f>115+122</f>
        <v>237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VLOOKUP($B14,'0407'!$B14:$M28,11,0)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VLOOKUP($B15,'0407'!$B15:$M29,11,0)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VLOOKUP($B16,'0407'!$B16:$M30,11,0)</f>
        <v>2</v>
      </c>
      <c r="E16" s="14">
        <v>8</v>
      </c>
      <c r="F16" s="11">
        <v>1</v>
      </c>
      <c r="G16" s="11"/>
      <c r="H16" s="11"/>
      <c r="I16" s="11"/>
      <c r="J16" s="11"/>
      <c r="K16" s="9">
        <f t="shared" si="1"/>
        <v>9</v>
      </c>
      <c r="L16" s="9">
        <v>9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VLOOKUP($B17,'0407'!$B17:$M31,11,0)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VLOOKUP($B18,'0407'!$B18:$M32,11,0)</f>
        <v>1</v>
      </c>
      <c r="E18" s="14">
        <v>2</v>
      </c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VLOOKUP($B19,'0407'!$B19:$M33,11,0)</f>
        <v>0</v>
      </c>
      <c r="E19" s="14">
        <v>2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VLOOKUP($B20,'0407'!$B20:$M34,11,0)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VLOOKUP($B21,'0407'!$B21:$M35,11,0)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VLOOKUP($B22,'0407'!$B22:$M36,11,0)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VLOOKUP($B23,'0407'!$B23:$M37,11,0)</f>
        <v>48</v>
      </c>
      <c r="E23" s="14"/>
      <c r="F23" s="9"/>
      <c r="G23" s="9"/>
      <c r="H23" s="9"/>
      <c r="I23" s="9"/>
      <c r="J23" s="9"/>
      <c r="K23" s="9">
        <f t="shared" si="1"/>
        <v>48</v>
      </c>
      <c r="L23" s="9">
        <v>48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VLOOKUP($B24,'0407'!$B24:$M38,11,0)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VLOOKUP($B26,'0407'!$B26:$M40,11,0)</f>
        <v>395</v>
      </c>
      <c r="E26" s="10"/>
      <c r="F26" s="9">
        <v>72</v>
      </c>
      <c r="G26" s="11"/>
      <c r="H26" s="9"/>
      <c r="I26" s="9"/>
      <c r="J26" s="9"/>
      <c r="K26" s="9">
        <f t="shared" ref="K26" si="3">D26+E26-F26</f>
        <v>323</v>
      </c>
      <c r="L26" s="9">
        <v>323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VLOOKUP($B27,'0407'!$B27:$M41,11,0)</f>
        <v>134</v>
      </c>
      <c r="E27" s="9"/>
      <c r="F27" s="9">
        <v>30</v>
      </c>
      <c r="G27" s="11"/>
      <c r="H27" s="9"/>
      <c r="I27" s="9"/>
      <c r="J27" s="9"/>
      <c r="K27" s="9">
        <f>D27+E27-F27</f>
        <v>104</v>
      </c>
      <c r="L27" s="9">
        <v>104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VLOOKUP($B28,'0407'!$B28:$M42,11,0)</f>
        <v>680</v>
      </c>
      <c r="E28" s="9"/>
      <c r="F28" s="9">
        <v>88</v>
      </c>
      <c r="G28" s="11"/>
      <c r="H28" s="9"/>
      <c r="I28" s="9"/>
      <c r="J28" s="9"/>
      <c r="K28" s="9">
        <f>D28+E28-F28</f>
        <v>592</v>
      </c>
      <c r="L28" s="9">
        <v>592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VLOOKUP($B29,'0407'!$B29:$M43,11,0)</f>
        <v>192</v>
      </c>
      <c r="E29" s="9"/>
      <c r="F29" s="9">
        <v>63</v>
      </c>
      <c r="G29" s="11"/>
      <c r="H29" s="9"/>
      <c r="I29" s="9"/>
      <c r="J29" s="9"/>
      <c r="K29" s="9">
        <f>D29+E29-F29</f>
        <v>129</v>
      </c>
      <c r="L29" s="9">
        <v>129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7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DATE(2015,7,5)</f>
        <v>42190</v>
      </c>
      <c r="E5" s="293">
        <f>D5+1</f>
        <v>42191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05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45</v>
      </c>
      <c r="H7" s="5" t="s">
        <v>62</v>
      </c>
      <c r="I7" s="5" t="s">
        <v>39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VLOOKUP($B8,'0507'!$B8:$M22,11,0)</f>
        <v>564</v>
      </c>
      <c r="E8" s="10"/>
      <c r="F8" s="11">
        <v>54</v>
      </c>
      <c r="G8" s="11">
        <v>40</v>
      </c>
      <c r="H8" s="11">
        <v>40</v>
      </c>
      <c r="I8" s="11">
        <v>20</v>
      </c>
      <c r="J8" s="11"/>
      <c r="K8" s="9">
        <f>D8+E8-SUM(F8:J8)</f>
        <v>410</v>
      </c>
      <c r="L8" s="9">
        <f>240+150+22</f>
        <v>412</v>
      </c>
      <c r="M8" s="9">
        <f t="shared" ref="M8:M19" si="0">L8-K8</f>
        <v>2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VLOOKUP($B9,'0507'!$B9:$M23,11,0)</f>
        <v>356</v>
      </c>
      <c r="E9" s="14"/>
      <c r="F9" s="11">
        <v>40</v>
      </c>
      <c r="G9" s="11"/>
      <c r="H9" s="11">
        <v>40</v>
      </c>
      <c r="I9" s="11">
        <v>20</v>
      </c>
      <c r="J9" s="11"/>
      <c r="K9" s="9">
        <f t="shared" ref="K9:K24" si="1">D9+E9-SUM(F9:J9)</f>
        <v>256</v>
      </c>
      <c r="L9" s="9">
        <f>160+60+36</f>
        <v>256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VLOOKUP($B10,'0507'!$B10:$M24,11,0)</f>
        <v>175</v>
      </c>
      <c r="E10" s="10">
        <f>120+140+157</f>
        <v>417</v>
      </c>
      <c r="F10" s="11">
        <v>20</v>
      </c>
      <c r="G10" s="11">
        <v>20</v>
      </c>
      <c r="H10" s="11">
        <v>30</v>
      </c>
      <c r="I10" s="11">
        <v>20</v>
      </c>
      <c r="J10" s="11"/>
      <c r="K10" s="9">
        <f t="shared" si="1"/>
        <v>502</v>
      </c>
      <c r="L10" s="9">
        <f>90+412</f>
        <v>502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VLOOKUP($B11,'0507'!$B11:$M25,11,0)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VLOOKUP($B12,'0507'!$B12:$M26,11,0)</f>
        <v>475</v>
      </c>
      <c r="E12" s="14">
        <f>135+45+31</f>
        <v>211</v>
      </c>
      <c r="F12" s="11"/>
      <c r="G12" s="11">
        <v>20</v>
      </c>
      <c r="H12" s="11">
        <v>60</v>
      </c>
      <c r="I12" s="11">
        <v>20</v>
      </c>
      <c r="J12" s="11"/>
      <c r="K12" s="9">
        <f t="shared" si="1"/>
        <v>586</v>
      </c>
      <c r="L12" s="9">
        <f>140+100+135+211</f>
        <v>586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VLOOKUP($B13,'0507'!$B13:$M27,11,0)</f>
        <v>237</v>
      </c>
      <c r="E13" s="14">
        <v>115</v>
      </c>
      <c r="F13" s="11">
        <v>40</v>
      </c>
      <c r="G13" s="11"/>
      <c r="H13" s="11">
        <v>50</v>
      </c>
      <c r="I13" s="11">
        <v>20</v>
      </c>
      <c r="J13" s="11"/>
      <c r="K13" s="9">
        <f t="shared" si="1"/>
        <v>242</v>
      </c>
      <c r="L13" s="9">
        <f>75+52+115</f>
        <v>242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VLOOKUP($B14,'0507'!$B14:$M28,11,0)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VLOOKUP($B15,'0507'!$B15:$M29,11,0)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VLOOKUP($B16,'0507'!$B16:$M30,11,0)</f>
        <v>9</v>
      </c>
      <c r="E16" s="14">
        <v>2</v>
      </c>
      <c r="F16" s="11"/>
      <c r="G16" s="11">
        <v>1</v>
      </c>
      <c r="H16" s="11">
        <v>2</v>
      </c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VLOOKUP($B17,'0507'!$B17:$M31,11,0)</f>
        <v>2</v>
      </c>
      <c r="E17" s="14"/>
      <c r="F17" s="11"/>
      <c r="G17" s="11">
        <v>1</v>
      </c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VLOOKUP($B18,'0507'!$B18:$M32,11,0)</f>
        <v>3</v>
      </c>
      <c r="E18" s="14"/>
      <c r="F18" s="11"/>
      <c r="G18" s="11"/>
      <c r="H18" s="11">
        <v>1</v>
      </c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VLOOKUP($B19,'0507'!$B19:$M33,11,0)</f>
        <v>2</v>
      </c>
      <c r="E19" s="14"/>
      <c r="F19" s="11"/>
      <c r="G19" s="11"/>
      <c r="H19" s="11">
        <v>1</v>
      </c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VLOOKUP($B20,'0507'!$B20:$M34,11,0)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VLOOKUP($B21,'0507'!$B21:$M35,11,0)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VLOOKUP($B22,'0507'!$B22:$M36,11,0)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VLOOKUP($B23,'0507'!$B23:$M37,11,0)</f>
        <v>48</v>
      </c>
      <c r="E23" s="14">
        <v>32</v>
      </c>
      <c r="F23" s="9"/>
      <c r="G23" s="9"/>
      <c r="H23" s="9"/>
      <c r="I23" s="9"/>
      <c r="J23" s="9"/>
      <c r="K23" s="9">
        <f t="shared" si="1"/>
        <v>80</v>
      </c>
      <c r="L23" s="9">
        <v>80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VLOOKUP($B24,'0507'!$B24:$M38,11,0)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VLOOKUP($B26,'0507'!$B26:$M40,11,0)</f>
        <v>323</v>
      </c>
      <c r="E26" s="10"/>
      <c r="F26" s="9">
        <v>74</v>
      </c>
      <c r="G26" s="11"/>
      <c r="H26" s="9"/>
      <c r="I26" s="9"/>
      <c r="J26" s="9"/>
      <c r="K26" s="9">
        <f t="shared" ref="K26" si="3">D26+E26-F26</f>
        <v>249</v>
      </c>
      <c r="L26" s="9">
        <v>249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VLOOKUP($B27,'0507'!$B27:$M41,11,0)</f>
        <v>104</v>
      </c>
      <c r="E27" s="9">
        <v>64</v>
      </c>
      <c r="F27" s="9">
        <v>40</v>
      </c>
      <c r="G27" s="11"/>
      <c r="H27" s="9"/>
      <c r="I27" s="9"/>
      <c r="J27" s="9"/>
      <c r="K27" s="9">
        <f>D27+E27-F27</f>
        <v>128</v>
      </c>
      <c r="L27" s="9">
        <v>128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VLOOKUP($B28,'0507'!$B28:$M42,11,0)</f>
        <v>592</v>
      </c>
      <c r="E28" s="9"/>
      <c r="F28" s="9">
        <v>108</v>
      </c>
      <c r="G28" s="11"/>
      <c r="H28" s="9"/>
      <c r="I28" s="9"/>
      <c r="J28" s="9"/>
      <c r="K28" s="9">
        <f>D28+E28-F28</f>
        <v>484</v>
      </c>
      <c r="L28" s="9">
        <v>484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VLOOKUP($B29,'0507'!$B29:$M43,11,0)</f>
        <v>129</v>
      </c>
      <c r="E29" s="9">
        <v>81</v>
      </c>
      <c r="F29" s="9">
        <v>65</v>
      </c>
      <c r="G29" s="11"/>
      <c r="H29" s="9"/>
      <c r="I29" s="9"/>
      <c r="J29" s="9"/>
      <c r="K29" s="9">
        <f>D29+E29-F29</f>
        <v>145</v>
      </c>
      <c r="L29" s="9">
        <v>145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7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DATE(2015,7,6)</f>
        <v>42191</v>
      </c>
      <c r="E5" s="293">
        <f>D5+1</f>
        <v>42192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05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54</v>
      </c>
      <c r="H7" s="5"/>
      <c r="I7" s="5" t="s">
        <v>66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VLOOKUP($B8,'0607'!$B8:$M22,11,0)</f>
        <v>412</v>
      </c>
      <c r="E8" s="10">
        <f>114+110</f>
        <v>224</v>
      </c>
      <c r="F8" s="11">
        <v>54</v>
      </c>
      <c r="G8" s="11">
        <v>100</v>
      </c>
      <c r="H8" s="11"/>
      <c r="I8" s="11"/>
      <c r="J8" s="11"/>
      <c r="K8" s="9">
        <f>D8+E8-SUM(F8:J8)</f>
        <v>482</v>
      </c>
      <c r="L8" s="9">
        <f>120+100+224+38</f>
        <v>482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VLOOKUP($B9,'0607'!$B9:$M23,11,0)</f>
        <v>256</v>
      </c>
      <c r="E9" s="14"/>
      <c r="F9" s="11">
        <v>16</v>
      </c>
      <c r="G9" s="11">
        <v>20</v>
      </c>
      <c r="H9" s="11"/>
      <c r="I9" s="11"/>
      <c r="J9" s="11"/>
      <c r="K9" s="9">
        <f t="shared" ref="K9:K24" si="1">D9+E9-SUM(F9:J9)</f>
        <v>220</v>
      </c>
      <c r="L9" s="9">
        <f>220</f>
        <v>220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VLOOKUP($B10,'0607'!$B10:$M24,11,0)</f>
        <v>502</v>
      </c>
      <c r="E10" s="10"/>
      <c r="F10" s="11">
        <v>20</v>
      </c>
      <c r="G10" s="11">
        <v>40</v>
      </c>
      <c r="H10" s="11"/>
      <c r="I10" s="11"/>
      <c r="J10" s="11"/>
      <c r="K10" s="9">
        <f t="shared" si="1"/>
        <v>442</v>
      </c>
      <c r="L10" s="9">
        <f>51+70+143+180</f>
        <v>444</v>
      </c>
      <c r="M10" s="9">
        <f t="shared" si="0"/>
        <v>2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VLOOKUP($B11,'0607'!$B11:$M25,11,0)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VLOOKUP($B12,'0607'!$B12:$M26,11,0)</f>
        <v>586</v>
      </c>
      <c r="E12" s="14">
        <f>133+132</f>
        <v>265</v>
      </c>
      <c r="F12" s="11">
        <v>20</v>
      </c>
      <c r="G12" s="11">
        <v>39</v>
      </c>
      <c r="H12" s="11"/>
      <c r="I12" s="11"/>
      <c r="J12" s="11"/>
      <c r="K12" s="9">
        <f t="shared" si="1"/>
        <v>792</v>
      </c>
      <c r="L12" s="9">
        <f>135+40+250+140+227</f>
        <v>792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VLOOKUP($B13,'0607'!$B13:$M27,11,0)</f>
        <v>242</v>
      </c>
      <c r="E13" s="14">
        <f>147+21</f>
        <v>168</v>
      </c>
      <c r="F13" s="11">
        <v>20</v>
      </c>
      <c r="G13" s="11">
        <v>20</v>
      </c>
      <c r="H13" s="11"/>
      <c r="I13" s="11"/>
      <c r="J13" s="11"/>
      <c r="K13" s="9">
        <f t="shared" si="1"/>
        <v>370</v>
      </c>
      <c r="L13" s="9">
        <f>98+115+10+147</f>
        <v>370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VLOOKUP($B14,'0607'!$B14:$M28,11,0)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VLOOKUP($B15,'0607'!$B15:$M29,11,0)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VLOOKUP($B16,'0607'!$B16:$M30,11,0)</f>
        <v>8</v>
      </c>
      <c r="E16" s="14">
        <v>4</v>
      </c>
      <c r="F16" s="11"/>
      <c r="G16" s="11">
        <v>1</v>
      </c>
      <c r="H16" s="11"/>
      <c r="I16" s="11"/>
      <c r="J16" s="11"/>
      <c r="K16" s="9">
        <f t="shared" si="1"/>
        <v>11</v>
      </c>
      <c r="L16" s="9">
        <v>11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VLOOKUP($B17,'0607'!$B17:$M31,11,0)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VLOOKUP($B18,'0607'!$B18:$M32,11,0)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VLOOKUP($B19,'0607'!$B19:$M33,11,0)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VLOOKUP($B20,'0607'!$B20:$M34,11,0)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VLOOKUP($B21,'0607'!$B21:$M35,11,0)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VLOOKUP($B22,'0607'!$B22:$M36,11,0)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VLOOKUP($B23,'0607'!$B23:$M37,11,0)</f>
        <v>80</v>
      </c>
      <c r="E23" s="14">
        <v>32</v>
      </c>
      <c r="F23" s="9"/>
      <c r="G23" s="9"/>
      <c r="H23" s="9"/>
      <c r="I23" s="9"/>
      <c r="J23" s="9"/>
      <c r="K23" s="9">
        <f t="shared" si="1"/>
        <v>112</v>
      </c>
      <c r="L23" s="9">
        <v>112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VLOOKUP($B24,'0607'!$B24:$M38,11,0)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VLOOKUP($B26,'0607'!$B26:$M40,11,0)</f>
        <v>249</v>
      </c>
      <c r="E26" s="10">
        <v>60</v>
      </c>
      <c r="F26" s="9">
        <v>92</v>
      </c>
      <c r="G26" s="11"/>
      <c r="H26" s="9"/>
      <c r="I26" s="9"/>
      <c r="J26" s="9"/>
      <c r="K26" s="9">
        <f t="shared" ref="K26" si="3">D26+E26-F26</f>
        <v>217</v>
      </c>
      <c r="L26" s="9">
        <v>217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VLOOKUP($B27,'0607'!$B27:$M41,11,0)</f>
        <v>128</v>
      </c>
      <c r="E27" s="9">
        <v>60</v>
      </c>
      <c r="F27" s="9">
        <v>36</v>
      </c>
      <c r="G27" s="11"/>
      <c r="H27" s="9"/>
      <c r="I27" s="9"/>
      <c r="J27" s="9"/>
      <c r="K27" s="9">
        <f>D27+E27-F27</f>
        <v>152</v>
      </c>
      <c r="L27" s="9">
        <v>152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VLOOKUP($B28,'0607'!$B28:$M42,11,0)</f>
        <v>484</v>
      </c>
      <c r="E28" s="9"/>
      <c r="F28" s="9">
        <v>82</v>
      </c>
      <c r="G28" s="11"/>
      <c r="H28" s="9"/>
      <c r="I28" s="9"/>
      <c r="J28" s="9"/>
      <c r="K28" s="9">
        <f>D28+E28-F28</f>
        <v>402</v>
      </c>
      <c r="L28" s="9">
        <v>402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VLOOKUP($B29,'0607'!$B29:$M43,11,0)</f>
        <v>145</v>
      </c>
      <c r="E29" s="9">
        <v>80</v>
      </c>
      <c r="F29" s="9">
        <v>50</v>
      </c>
      <c r="G29" s="11"/>
      <c r="H29" s="9"/>
      <c r="I29" s="9"/>
      <c r="J29" s="9"/>
      <c r="K29" s="9">
        <f>D29+E29-F29</f>
        <v>175</v>
      </c>
      <c r="L29" s="9">
        <v>175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5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91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92" t="s">
        <v>1</v>
      </c>
      <c r="B5" s="292"/>
      <c r="C5" s="292"/>
      <c r="D5" s="4">
        <f>DATE(2015,7,7)</f>
        <v>42192</v>
      </c>
      <c r="E5" s="293">
        <f>D5+1</f>
        <v>42193</v>
      </c>
      <c r="F5" s="294"/>
      <c r="G5" s="294"/>
      <c r="H5" s="294"/>
      <c r="I5" s="294"/>
      <c r="J5" s="294"/>
      <c r="K5" s="294"/>
      <c r="L5" s="294"/>
      <c r="M5" s="294"/>
    </row>
    <row r="6" spans="1:13">
      <c r="A6" s="295" t="s">
        <v>2</v>
      </c>
      <c r="B6" s="296" t="s">
        <v>3</v>
      </c>
      <c r="C6" s="297" t="s">
        <v>4</v>
      </c>
      <c r="D6" s="289" t="s">
        <v>5</v>
      </c>
      <c r="E6" s="289" t="s">
        <v>6</v>
      </c>
      <c r="F6" s="299" t="s">
        <v>7</v>
      </c>
      <c r="G6" s="300"/>
      <c r="H6" s="300"/>
      <c r="I6" s="301"/>
      <c r="J6" s="106"/>
      <c r="K6" s="302" t="s">
        <v>8</v>
      </c>
      <c r="L6" s="289" t="s">
        <v>9</v>
      </c>
      <c r="M6" s="289" t="s">
        <v>10</v>
      </c>
    </row>
    <row r="7" spans="1:13">
      <c r="A7" s="295"/>
      <c r="B7" s="296"/>
      <c r="C7" s="298"/>
      <c r="D7" s="290"/>
      <c r="E7" s="290"/>
      <c r="F7" s="5" t="s">
        <v>11</v>
      </c>
      <c r="G7" s="5" t="s">
        <v>39</v>
      </c>
      <c r="H7" s="5" t="s">
        <v>40</v>
      </c>
      <c r="I7" s="5" t="s">
        <v>38</v>
      </c>
      <c r="J7" s="5"/>
      <c r="K7" s="302"/>
      <c r="L7" s="290"/>
      <c r="M7" s="290"/>
    </row>
    <row r="8" spans="1:13" ht="18.75">
      <c r="A8" s="6">
        <v>1</v>
      </c>
      <c r="B8" s="7" t="s">
        <v>12</v>
      </c>
      <c r="C8" s="8" t="s">
        <v>13</v>
      </c>
      <c r="D8" s="9">
        <f>VLOOKUP($B8,'0707'!$B8:$M22,11,0)</f>
        <v>482</v>
      </c>
      <c r="E8" s="10">
        <f>103+106+91+87</f>
        <v>387</v>
      </c>
      <c r="F8" s="11">
        <v>60</v>
      </c>
      <c r="G8" s="11">
        <v>70</v>
      </c>
      <c r="H8" s="11">
        <v>30</v>
      </c>
      <c r="I8" s="11">
        <v>30</v>
      </c>
      <c r="J8" s="11"/>
      <c r="K8" s="9">
        <f>D8+E8-SUM(F8:J8)</f>
        <v>679</v>
      </c>
      <c r="L8" s="9">
        <f>114+110+50+405</f>
        <v>679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VLOOKUP($B9,'0707'!$B9:$M23,11,0)</f>
        <v>220</v>
      </c>
      <c r="E9" s="14">
        <v>45</v>
      </c>
      <c r="F9" s="11"/>
      <c r="G9" s="11">
        <v>70</v>
      </c>
      <c r="H9" s="11"/>
      <c r="I9" s="11"/>
      <c r="J9" s="11"/>
      <c r="K9" s="9">
        <f t="shared" ref="K9:K24" si="1">D9+E9-SUM(F9:J9)</f>
        <v>195</v>
      </c>
      <c r="L9" s="9">
        <f>85+110</f>
        <v>195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VLOOKUP($B10,'0707'!$B10:$M24,11,0)</f>
        <v>444</v>
      </c>
      <c r="E10" s="10">
        <v>160</v>
      </c>
      <c r="F10" s="11">
        <v>10</v>
      </c>
      <c r="G10" s="11">
        <v>100</v>
      </c>
      <c r="H10" s="11"/>
      <c r="I10" s="11">
        <v>11</v>
      </c>
      <c r="J10" s="11"/>
      <c r="K10" s="9">
        <f t="shared" si="1"/>
        <v>483</v>
      </c>
      <c r="L10" s="9">
        <f>153+170+160</f>
        <v>483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VLOOKUP($B11,'0707'!$B11:$M25,11,0)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VLOOKUP($B12,'0707'!$B12:$M26,11,0)</f>
        <v>792</v>
      </c>
      <c r="E12" s="14">
        <v>157</v>
      </c>
      <c r="F12" s="11">
        <v>34</v>
      </c>
      <c r="G12" s="11">
        <v>100</v>
      </c>
      <c r="H12" s="11">
        <v>60</v>
      </c>
      <c r="I12" s="11">
        <v>10</v>
      </c>
      <c r="J12" s="11"/>
      <c r="K12" s="9">
        <f t="shared" si="1"/>
        <v>745</v>
      </c>
      <c r="L12" s="9">
        <f>125+90+143+210+20+157</f>
        <v>745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VLOOKUP($B13,'0707'!$B13:$M27,11,0)</f>
        <v>370</v>
      </c>
      <c r="E13" s="14">
        <f>105+106</f>
        <v>211</v>
      </c>
      <c r="F13" s="11">
        <v>20</v>
      </c>
      <c r="G13" s="11">
        <v>81</v>
      </c>
      <c r="H13" s="11">
        <v>60</v>
      </c>
      <c r="I13" s="11">
        <v>30</v>
      </c>
      <c r="J13" s="11"/>
      <c r="K13" s="9">
        <f t="shared" si="1"/>
        <v>390</v>
      </c>
      <c r="L13" s="9">
        <f>30+150+211</f>
        <v>391</v>
      </c>
      <c r="M13" s="9">
        <f t="shared" si="0"/>
        <v>1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VLOOKUP($B14,'0707'!$B14:$M28,11,0)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VLOOKUP($B15,'0707'!$B15:$M29,11,0)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VLOOKUP($B16,'0707'!$B16:$M30,11,0)</f>
        <v>11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11</v>
      </c>
      <c r="L16" s="9">
        <v>11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VLOOKUP($B17,'0707'!$B17:$M31,11,0)</f>
        <v>1</v>
      </c>
      <c r="E17" s="14">
        <v>2</v>
      </c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VLOOKUP($B18,'0707'!$B18:$M32,11,0)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VLOOKUP($B19,'0707'!$B19:$M33,11,0)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VLOOKUP($B20,'0707'!$B20:$M34,11,0)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VLOOKUP($B21,'0707'!$B21:$M35,11,0)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VLOOKUP($B22,'0707'!$B22:$M36,11,0)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VLOOKUP($B23,'0707'!$B23:$M37,11,0)</f>
        <v>112</v>
      </c>
      <c r="E23" s="14"/>
      <c r="F23" s="9"/>
      <c r="G23" s="9"/>
      <c r="H23" s="9"/>
      <c r="I23" s="9"/>
      <c r="J23" s="9"/>
      <c r="K23" s="9">
        <f t="shared" si="1"/>
        <v>112</v>
      </c>
      <c r="L23" s="9">
        <v>112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VLOOKUP($B24,'0707'!$B24:$M38,11,0)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VLOOKUP($B26,'0707'!$B26:$M40,11,0)</f>
        <v>217</v>
      </c>
      <c r="E26" s="10">
        <v>137</v>
      </c>
      <c r="F26" s="9">
        <v>37</v>
      </c>
      <c r="G26" s="11"/>
      <c r="H26" s="9"/>
      <c r="I26" s="9"/>
      <c r="J26" s="9"/>
      <c r="K26" s="9">
        <f t="shared" ref="K26" si="3">D26+E26-F26</f>
        <v>317</v>
      </c>
      <c r="L26" s="9">
        <v>317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VLOOKUP($B27,'0707'!$B27:$M41,11,0)</f>
        <v>152</v>
      </c>
      <c r="E27" s="9">
        <v>54</v>
      </c>
      <c r="F27" s="9">
        <v>29</v>
      </c>
      <c r="G27" s="11"/>
      <c r="H27" s="9"/>
      <c r="I27" s="9"/>
      <c r="J27" s="9"/>
      <c r="K27" s="9">
        <f>D27+E27-F27</f>
        <v>177</v>
      </c>
      <c r="L27" s="9">
        <v>177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VLOOKUP($B28,'0707'!$B28:$M42,11,0)</f>
        <v>402</v>
      </c>
      <c r="E28" s="9">
        <v>67</v>
      </c>
      <c r="F28" s="9">
        <v>100</v>
      </c>
      <c r="G28" s="11"/>
      <c r="H28" s="9"/>
      <c r="I28" s="9"/>
      <c r="J28" s="9"/>
      <c r="K28" s="9">
        <f>D28+E28-F28</f>
        <v>369</v>
      </c>
      <c r="L28" s="9">
        <v>369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VLOOKUP($B29,'0707'!$B29:$M43,11,0)</f>
        <v>175</v>
      </c>
      <c r="E29" s="9"/>
      <c r="F29" s="9">
        <v>31</v>
      </c>
      <c r="G29" s="11"/>
      <c r="H29" s="9"/>
      <c r="I29" s="9"/>
      <c r="J29" s="9"/>
      <c r="K29" s="9">
        <f>D29+E29-F29</f>
        <v>144</v>
      </c>
      <c r="L29" s="9">
        <v>144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279</vt:i4>
      </vt:variant>
    </vt:vector>
  </HeadingPairs>
  <TitlesOfParts>
    <vt:vector size="279" baseType="lpstr">
      <vt:lpstr>0104</vt:lpstr>
      <vt:lpstr>0204</vt:lpstr>
      <vt:lpstr>0304</vt:lpstr>
      <vt:lpstr>0404</vt:lpstr>
      <vt:lpstr>0504</vt:lpstr>
      <vt:lpstr>0604</vt:lpstr>
      <vt:lpstr>0704</vt:lpstr>
      <vt:lpstr>0804</vt:lpstr>
      <vt:lpstr>0904</vt:lpstr>
      <vt:lpstr>1004</vt:lpstr>
      <vt:lpstr>1104</vt:lpstr>
      <vt:lpstr>1204</vt:lpstr>
      <vt:lpstr>1304</vt:lpstr>
      <vt:lpstr>1404</vt:lpstr>
      <vt:lpstr>1504</vt:lpstr>
      <vt:lpstr>1604</vt:lpstr>
      <vt:lpstr>1704</vt:lpstr>
      <vt:lpstr>1804</vt:lpstr>
      <vt:lpstr>1904</vt:lpstr>
      <vt:lpstr>2004</vt:lpstr>
      <vt:lpstr>2104</vt:lpstr>
      <vt:lpstr>2204</vt:lpstr>
      <vt:lpstr>2304</vt:lpstr>
      <vt:lpstr>2404</vt:lpstr>
      <vt:lpstr>2504</vt:lpstr>
      <vt:lpstr>2604</vt:lpstr>
      <vt:lpstr>2704</vt:lpstr>
      <vt:lpstr>2804</vt:lpstr>
      <vt:lpstr>2904</vt:lpstr>
      <vt:lpstr>3004</vt:lpstr>
      <vt:lpstr>0105</vt:lpstr>
      <vt:lpstr>0205</vt:lpstr>
      <vt:lpstr>0305</vt:lpstr>
      <vt:lpstr>0405</vt:lpstr>
      <vt:lpstr>0505</vt:lpstr>
      <vt:lpstr>0605</vt:lpstr>
      <vt:lpstr>0705</vt:lpstr>
      <vt:lpstr>08.05</vt:lpstr>
      <vt:lpstr>09.05</vt:lpstr>
      <vt:lpstr>1005</vt:lpstr>
      <vt:lpstr>1105</vt:lpstr>
      <vt:lpstr>1205</vt:lpstr>
      <vt:lpstr>1305</vt:lpstr>
      <vt:lpstr>1405</vt:lpstr>
      <vt:lpstr>1505</vt:lpstr>
      <vt:lpstr>1605</vt:lpstr>
      <vt:lpstr>1705</vt:lpstr>
      <vt:lpstr>1805</vt:lpstr>
      <vt:lpstr>1905</vt:lpstr>
      <vt:lpstr>2005</vt:lpstr>
      <vt:lpstr>2105</vt:lpstr>
      <vt:lpstr>2205</vt:lpstr>
      <vt:lpstr>2305</vt:lpstr>
      <vt:lpstr>2405</vt:lpstr>
      <vt:lpstr>2505</vt:lpstr>
      <vt:lpstr>2605</vt:lpstr>
      <vt:lpstr>2705</vt:lpstr>
      <vt:lpstr>2805</vt:lpstr>
      <vt:lpstr>2905</vt:lpstr>
      <vt:lpstr>3005</vt:lpstr>
      <vt:lpstr>3105</vt:lpstr>
      <vt:lpstr>0106</vt:lpstr>
      <vt:lpstr>0206</vt:lpstr>
      <vt:lpstr>0306</vt:lpstr>
      <vt:lpstr>0406</vt:lpstr>
      <vt:lpstr>0506</vt:lpstr>
      <vt:lpstr>0606</vt:lpstr>
      <vt:lpstr>0706</vt:lpstr>
      <vt:lpstr>0806</vt:lpstr>
      <vt:lpstr>0906</vt:lpstr>
      <vt:lpstr>1006</vt:lpstr>
      <vt:lpstr>1106</vt:lpstr>
      <vt:lpstr>1206</vt:lpstr>
      <vt:lpstr>1306</vt:lpstr>
      <vt:lpstr>1406</vt:lpstr>
      <vt:lpstr>1506</vt:lpstr>
      <vt:lpstr>1606</vt:lpstr>
      <vt:lpstr>1706</vt:lpstr>
      <vt:lpstr>1806</vt:lpstr>
      <vt:lpstr>1906</vt:lpstr>
      <vt:lpstr>2006</vt:lpstr>
      <vt:lpstr>2106</vt:lpstr>
      <vt:lpstr>2206</vt:lpstr>
      <vt:lpstr>2306</vt:lpstr>
      <vt:lpstr>2406</vt:lpstr>
      <vt:lpstr>2506</vt:lpstr>
      <vt:lpstr>2606</vt:lpstr>
      <vt:lpstr>2706</vt:lpstr>
      <vt:lpstr>2806</vt:lpstr>
      <vt:lpstr>2906</vt:lpstr>
      <vt:lpstr>3006</vt:lpstr>
      <vt:lpstr>0107</vt:lpstr>
      <vt:lpstr>0207</vt:lpstr>
      <vt:lpstr>0307</vt:lpstr>
      <vt:lpstr>0407</vt:lpstr>
      <vt:lpstr>0507</vt:lpstr>
      <vt:lpstr>0607</vt:lpstr>
      <vt:lpstr>0707</vt:lpstr>
      <vt:lpstr>0807</vt:lpstr>
      <vt:lpstr>0907</vt:lpstr>
      <vt:lpstr>1007</vt:lpstr>
      <vt:lpstr>1107</vt:lpstr>
      <vt:lpstr>1207</vt:lpstr>
      <vt:lpstr>1307</vt:lpstr>
      <vt:lpstr>1407</vt:lpstr>
      <vt:lpstr>1507</vt:lpstr>
      <vt:lpstr>1607</vt:lpstr>
      <vt:lpstr>1707</vt:lpstr>
      <vt:lpstr>1807</vt:lpstr>
      <vt:lpstr>1907</vt:lpstr>
      <vt:lpstr>2007</vt:lpstr>
      <vt:lpstr>2107</vt:lpstr>
      <vt:lpstr>2207</vt:lpstr>
      <vt:lpstr>2307</vt:lpstr>
      <vt:lpstr>2407</vt:lpstr>
      <vt:lpstr>2507</vt:lpstr>
      <vt:lpstr>2607</vt:lpstr>
      <vt:lpstr>2707</vt:lpstr>
      <vt:lpstr>2807</vt:lpstr>
      <vt:lpstr>2907</vt:lpstr>
      <vt:lpstr>3007</vt:lpstr>
      <vt:lpstr>3107</vt:lpstr>
      <vt:lpstr>0108</vt:lpstr>
      <vt:lpstr>0208</vt:lpstr>
      <vt:lpstr>0308</vt:lpstr>
      <vt:lpstr>0408</vt:lpstr>
      <vt:lpstr>0508</vt:lpstr>
      <vt:lpstr>0608</vt:lpstr>
      <vt:lpstr>0708</vt:lpstr>
      <vt:lpstr>0808</vt:lpstr>
      <vt:lpstr>0908</vt:lpstr>
      <vt:lpstr>1008</vt:lpstr>
      <vt:lpstr>1108</vt:lpstr>
      <vt:lpstr>1208</vt:lpstr>
      <vt:lpstr>1308</vt:lpstr>
      <vt:lpstr>1408</vt:lpstr>
      <vt:lpstr>1508</vt:lpstr>
      <vt:lpstr>1608</vt:lpstr>
      <vt:lpstr>1708</vt:lpstr>
      <vt:lpstr>1808</vt:lpstr>
      <vt:lpstr>1908</vt:lpstr>
      <vt:lpstr>2008</vt:lpstr>
      <vt:lpstr>2108</vt:lpstr>
      <vt:lpstr>2208</vt:lpstr>
      <vt:lpstr>2308</vt:lpstr>
      <vt:lpstr>2408</vt:lpstr>
      <vt:lpstr>2508</vt:lpstr>
      <vt:lpstr>2608</vt:lpstr>
      <vt:lpstr>2708</vt:lpstr>
      <vt:lpstr>2808</vt:lpstr>
      <vt:lpstr>2908</vt:lpstr>
      <vt:lpstr>3008</vt:lpstr>
      <vt:lpstr>3108</vt:lpstr>
      <vt:lpstr>0109</vt:lpstr>
      <vt:lpstr>0209</vt:lpstr>
      <vt:lpstr>0309</vt:lpstr>
      <vt:lpstr>0409</vt:lpstr>
      <vt:lpstr>0509</vt:lpstr>
      <vt:lpstr>0609</vt:lpstr>
      <vt:lpstr>0709</vt:lpstr>
      <vt:lpstr>0809</vt:lpstr>
      <vt:lpstr>0909</vt:lpstr>
      <vt:lpstr>1009</vt:lpstr>
      <vt:lpstr>1109</vt:lpstr>
      <vt:lpstr>1209</vt:lpstr>
      <vt:lpstr>1309</vt:lpstr>
      <vt:lpstr>1409</vt:lpstr>
      <vt:lpstr>1509</vt:lpstr>
      <vt:lpstr>1609</vt:lpstr>
      <vt:lpstr>1709</vt:lpstr>
      <vt:lpstr>1809</vt:lpstr>
      <vt:lpstr>1909</vt:lpstr>
      <vt:lpstr>2009</vt:lpstr>
      <vt:lpstr>2109</vt:lpstr>
      <vt:lpstr>2209</vt:lpstr>
      <vt:lpstr>2309</vt:lpstr>
      <vt:lpstr>2409</vt:lpstr>
      <vt:lpstr>2509</vt:lpstr>
      <vt:lpstr>2609</vt:lpstr>
      <vt:lpstr>2709</vt:lpstr>
      <vt:lpstr>2809</vt:lpstr>
      <vt:lpstr>2909</vt:lpstr>
      <vt:lpstr>3009</vt:lpstr>
      <vt:lpstr>0110</vt:lpstr>
      <vt:lpstr>0210</vt:lpstr>
      <vt:lpstr>0310</vt:lpstr>
      <vt:lpstr>0410</vt:lpstr>
      <vt:lpstr>0510</vt:lpstr>
      <vt:lpstr>0610</vt:lpstr>
      <vt:lpstr>0710</vt:lpstr>
      <vt:lpstr>0810</vt:lpstr>
      <vt:lpstr>0910</vt:lpstr>
      <vt:lpstr>1010</vt:lpstr>
      <vt:lpstr>1110</vt:lpstr>
      <vt:lpstr>1210</vt:lpstr>
      <vt:lpstr>1310</vt:lpstr>
      <vt:lpstr>1410</vt:lpstr>
      <vt:lpstr>1510</vt:lpstr>
      <vt:lpstr>1610</vt:lpstr>
      <vt:lpstr>1710</vt:lpstr>
      <vt:lpstr>1810</vt:lpstr>
      <vt:lpstr>1910</vt:lpstr>
      <vt:lpstr>2010</vt:lpstr>
      <vt:lpstr>2110</vt:lpstr>
      <vt:lpstr>2210</vt:lpstr>
      <vt:lpstr>2310</vt:lpstr>
      <vt:lpstr>2410</vt:lpstr>
      <vt:lpstr>2510</vt:lpstr>
      <vt:lpstr>2610</vt:lpstr>
      <vt:lpstr>2710</vt:lpstr>
      <vt:lpstr>2810</vt:lpstr>
      <vt:lpstr>2910</vt:lpstr>
      <vt:lpstr>3010</vt:lpstr>
      <vt:lpstr>3110</vt:lpstr>
      <vt:lpstr>0111</vt:lpstr>
      <vt:lpstr>0211</vt:lpstr>
      <vt:lpstr>0311</vt:lpstr>
      <vt:lpstr>0411</vt:lpstr>
      <vt:lpstr>0511</vt:lpstr>
      <vt:lpstr>0611</vt:lpstr>
      <vt:lpstr>0711</vt:lpstr>
      <vt:lpstr>0811</vt:lpstr>
      <vt:lpstr>0911</vt:lpstr>
      <vt:lpstr>1011</vt:lpstr>
      <vt:lpstr>1111</vt:lpstr>
      <vt:lpstr>1211</vt:lpstr>
      <vt:lpstr>1311</vt:lpstr>
      <vt:lpstr>1411</vt:lpstr>
      <vt:lpstr>1511</vt:lpstr>
      <vt:lpstr>1611</vt:lpstr>
      <vt:lpstr>1711</vt:lpstr>
      <vt:lpstr>1811</vt:lpstr>
      <vt:lpstr>1911</vt:lpstr>
      <vt:lpstr>2011</vt:lpstr>
      <vt:lpstr>2111</vt:lpstr>
      <vt:lpstr>2211</vt:lpstr>
      <vt:lpstr>2311</vt:lpstr>
      <vt:lpstr>2411</vt:lpstr>
      <vt:lpstr>2511</vt:lpstr>
      <vt:lpstr>2611</vt:lpstr>
      <vt:lpstr>2711</vt:lpstr>
      <vt:lpstr>2811</vt:lpstr>
      <vt:lpstr>2911</vt:lpstr>
      <vt:lpstr>3011</vt:lpstr>
      <vt:lpstr>Sheet3</vt:lpstr>
      <vt:lpstr>1.6</vt:lpstr>
      <vt:lpstr>2.6</vt:lpstr>
      <vt:lpstr>3.6</vt:lpstr>
      <vt:lpstr>4.6</vt:lpstr>
      <vt:lpstr>5.6</vt:lpstr>
      <vt:lpstr>6.6</vt:lpstr>
      <vt:lpstr>7.6</vt:lpstr>
      <vt:lpstr>8.6</vt:lpstr>
      <vt:lpstr>9.6</vt:lpstr>
      <vt:lpstr>10.6</vt:lpstr>
      <vt:lpstr>11.6</vt:lpstr>
      <vt:lpstr>12.6</vt:lpstr>
      <vt:lpstr>13.6</vt:lpstr>
      <vt:lpstr>14.6</vt:lpstr>
      <vt:lpstr>15.6</vt:lpstr>
      <vt:lpstr>16.6</vt:lpstr>
      <vt:lpstr>17.6</vt:lpstr>
      <vt:lpstr>18.6</vt:lpstr>
      <vt:lpstr>19.6</vt:lpstr>
      <vt:lpstr>20.6</vt:lpstr>
      <vt:lpstr>21.6</vt:lpstr>
      <vt:lpstr>22.6</vt:lpstr>
      <vt:lpstr>23.6</vt:lpstr>
      <vt:lpstr>24.6</vt:lpstr>
      <vt:lpstr>25.6</vt:lpstr>
      <vt:lpstr>26.6</vt:lpstr>
      <vt:lpstr>27.6</vt:lpstr>
      <vt:lpstr>28.6</vt:lpstr>
      <vt:lpstr>29.6</vt:lpstr>
      <vt:lpstr>30.6</vt:lpstr>
      <vt:lpstr>TỔNG</vt:lpstr>
      <vt:lpstr>TỔNG NHẬP</vt:lpstr>
      <vt:lpstr>TỔNG XUẤT</vt:lpstr>
      <vt:lpstr>Sheet2</vt:lpstr>
    </vt:vector>
  </TitlesOfParts>
  <Company>Binh Minh Toan Cau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bienhoa</cp:lastModifiedBy>
  <cp:lastPrinted>2016-08-03T05:15:22Z</cp:lastPrinted>
  <dcterms:created xsi:type="dcterms:W3CDTF">2015-03-02T03:08:00Z</dcterms:created>
  <dcterms:modified xsi:type="dcterms:W3CDTF">2017-07-04T05:42:05Z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1033-9.1.0.4674</vt:lpwstr>
  </property>
</Properties>
</file>