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480" windowHeight="7515" tabRatio="817" firstSheet="256" activeTab="273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7" state="hidden" r:id="rId6"/>
    <sheet name="0704" sheetId="38" state="hidden" r:id="rId7"/>
    <sheet name="0804" sheetId="39" state="hidden" r:id="rId8"/>
    <sheet name="0904" sheetId="40" state="hidden" r:id="rId9"/>
    <sheet name="1004" sheetId="41" state="hidden" r:id="rId10"/>
    <sheet name="1104" sheetId="42" state="hidden" r:id="rId11"/>
    <sheet name="1204" sheetId="43" state="hidden" r:id="rId12"/>
    <sheet name="1304" sheetId="44" state="hidden" r:id="rId13"/>
    <sheet name="1404" sheetId="45" state="hidden" r:id="rId14"/>
    <sheet name="1504" sheetId="46" state="hidden" r:id="rId15"/>
    <sheet name="1604" sheetId="47" state="hidden" r:id="rId16"/>
    <sheet name="1704" sheetId="48" state="hidden" r:id="rId17"/>
    <sheet name="1804" sheetId="49" state="hidden" r:id="rId18"/>
    <sheet name="1904" sheetId="50" state="hidden" r:id="rId19"/>
    <sheet name="2004" sheetId="51" state="hidden" r:id="rId20"/>
    <sheet name="2104" sheetId="52" state="hidden" r:id="rId21"/>
    <sheet name="2204" sheetId="53" state="hidden" r:id="rId22"/>
    <sheet name="2304" sheetId="54" state="hidden" r:id="rId23"/>
    <sheet name="2404" sheetId="55" state="hidden" r:id="rId24"/>
    <sheet name="2504" sheetId="56" state="hidden" r:id="rId25"/>
    <sheet name="2604" sheetId="57" state="hidden" r:id="rId26"/>
    <sheet name="2704" sheetId="58" state="hidden" r:id="rId27"/>
    <sheet name="2804" sheetId="59" state="hidden" r:id="rId28"/>
    <sheet name="2904" sheetId="60" state="hidden" r:id="rId29"/>
    <sheet name="3004" sheetId="61" state="hidden" r:id="rId30"/>
    <sheet name="0105" sheetId="63" state="hidden" r:id="rId31"/>
    <sheet name="0205" sheetId="64" state="hidden" r:id="rId32"/>
    <sheet name="0305" sheetId="65" state="hidden" r:id="rId33"/>
    <sheet name="0405" sheetId="66" state="hidden" r:id="rId34"/>
    <sheet name="0505" sheetId="67" state="hidden" r:id="rId35"/>
    <sheet name="0605" sheetId="68" state="hidden" r:id="rId36"/>
    <sheet name="0705" sheetId="69" state="hidden" r:id="rId37"/>
    <sheet name="0805" sheetId="70" state="hidden" r:id="rId38"/>
    <sheet name="0905" sheetId="71" state="hidden" r:id="rId39"/>
    <sheet name="1005" sheetId="72" state="hidden" r:id="rId40"/>
    <sheet name="1105" sheetId="73" state="hidden" r:id="rId41"/>
    <sheet name="1205" sheetId="74" state="hidden" r:id="rId42"/>
    <sheet name="1305" sheetId="75" state="hidden" r:id="rId43"/>
    <sheet name="1405" sheetId="76" state="hidden" r:id="rId44"/>
    <sheet name="1505" sheetId="77" state="hidden" r:id="rId45"/>
    <sheet name="1605" sheetId="78" state="hidden" r:id="rId46"/>
    <sheet name="1705" sheetId="79" state="hidden" r:id="rId47"/>
    <sheet name="1805" sheetId="80" state="hidden" r:id="rId48"/>
    <sheet name="1905" sheetId="81" state="hidden" r:id="rId49"/>
    <sheet name="2005" sheetId="82" state="hidden" r:id="rId50"/>
    <sheet name="2105" sheetId="83" state="hidden" r:id="rId51"/>
    <sheet name="2205" sheetId="84" state="hidden" r:id="rId52"/>
    <sheet name="2305" sheetId="85" state="hidden" r:id="rId53"/>
    <sheet name="2405" sheetId="86" state="hidden" r:id="rId54"/>
    <sheet name="2505" sheetId="87" state="hidden" r:id="rId55"/>
    <sheet name="2605" sheetId="88" state="hidden" r:id="rId56"/>
    <sheet name="2705" sheetId="89" state="hidden" r:id="rId57"/>
    <sheet name="2805" sheetId="90" state="hidden" r:id="rId58"/>
    <sheet name="2905" sheetId="91" state="hidden" r:id="rId59"/>
    <sheet name="3005" sheetId="92" state="hidden" r:id="rId60"/>
    <sheet name="3105" sheetId="93" state="hidden" r:id="rId61"/>
    <sheet name="0106" sheetId="94" state="hidden" r:id="rId62"/>
    <sheet name="0206" sheetId="95" state="hidden" r:id="rId63"/>
    <sheet name="0306" sheetId="96" state="hidden" r:id="rId64"/>
    <sheet name="0406" sheetId="97" state="hidden" r:id="rId65"/>
    <sheet name="0506" sheetId="98" state="hidden" r:id="rId66"/>
    <sheet name="0606" sheetId="99" state="hidden" r:id="rId67"/>
    <sheet name="0706" sheetId="100" state="hidden" r:id="rId68"/>
    <sheet name="0806" sheetId="101" state="hidden" r:id="rId69"/>
    <sheet name="0906" sheetId="102" state="hidden" r:id="rId70"/>
    <sheet name="1006" sheetId="103" state="hidden" r:id="rId71"/>
    <sheet name="1106" sheetId="104" state="hidden" r:id="rId72"/>
    <sheet name="1206" sheetId="105" state="hidden" r:id="rId73"/>
    <sheet name="1306" sheetId="106" state="hidden" r:id="rId74"/>
    <sheet name="1406" sheetId="107" state="hidden" r:id="rId75"/>
    <sheet name="1506" sheetId="108" state="hidden" r:id="rId76"/>
    <sheet name="1606" sheetId="109" state="hidden" r:id="rId77"/>
    <sheet name="1706" sheetId="110" state="hidden" r:id="rId78"/>
    <sheet name="1806" sheetId="111" state="hidden" r:id="rId79"/>
    <sheet name="1906" sheetId="112" state="hidden" r:id="rId80"/>
    <sheet name="2006" sheetId="114" state="hidden" r:id="rId81"/>
    <sheet name="2106" sheetId="115" state="hidden" r:id="rId82"/>
    <sheet name="2206" sheetId="116" state="hidden" r:id="rId83"/>
    <sheet name="2306" sheetId="117" state="hidden" r:id="rId84"/>
    <sheet name="2406" sheetId="118" state="hidden" r:id="rId85"/>
    <sheet name="2506" sheetId="119" state="hidden" r:id="rId86"/>
    <sheet name="2606" sheetId="120" state="hidden" r:id="rId87"/>
    <sheet name="2706" sheetId="121" state="hidden" r:id="rId88"/>
    <sheet name="2806" sheetId="122" state="hidden" r:id="rId89"/>
    <sheet name="2906" sheetId="124" state="hidden" r:id="rId90"/>
    <sheet name="3006" sheetId="125" state="hidden" r:id="rId91"/>
    <sheet name="0107" sheetId="126" state="hidden" r:id="rId92"/>
    <sheet name="0207" sheetId="127" state="hidden" r:id="rId93"/>
    <sheet name="0307" sheetId="128" state="hidden" r:id="rId94"/>
    <sheet name="0407" sheetId="129" state="hidden" r:id="rId95"/>
    <sheet name="0507" sheetId="130" state="hidden" r:id="rId96"/>
    <sheet name="0607" sheetId="131" state="hidden" r:id="rId97"/>
    <sheet name="0707" sheetId="132" state="hidden" r:id="rId98"/>
    <sheet name="0807" sheetId="133" state="hidden" r:id="rId99"/>
    <sheet name="0907" sheetId="134" state="hidden" r:id="rId100"/>
    <sheet name="1007" sheetId="135" state="hidden" r:id="rId101"/>
    <sheet name="1107" sheetId="136" state="hidden" r:id="rId102"/>
    <sheet name="1207" sheetId="137" state="hidden" r:id="rId103"/>
    <sheet name="1307" sheetId="138" state="hidden" r:id="rId104"/>
    <sheet name="1407" sheetId="139" state="hidden" r:id="rId105"/>
    <sheet name="1507" sheetId="140" state="hidden" r:id="rId106"/>
    <sheet name="1607" sheetId="141" state="hidden" r:id="rId107"/>
    <sheet name="1707" sheetId="142" state="hidden" r:id="rId108"/>
    <sheet name="1807" sheetId="143" state="hidden" r:id="rId109"/>
    <sheet name="1907" sheetId="144" state="hidden" r:id="rId110"/>
    <sheet name="2007" sheetId="145" state="hidden" r:id="rId111"/>
    <sheet name="2107" sheetId="146" state="hidden" r:id="rId112"/>
    <sheet name="2207" sheetId="147" state="hidden" r:id="rId113"/>
    <sheet name="2307" sheetId="148" state="hidden" r:id="rId114"/>
    <sheet name="2407" sheetId="149" state="hidden" r:id="rId115"/>
    <sheet name="2507" sheetId="150" state="hidden" r:id="rId116"/>
    <sheet name="2607" sheetId="151" state="hidden" r:id="rId117"/>
    <sheet name="2707" sheetId="152" state="hidden" r:id="rId118"/>
    <sheet name="2807" sheetId="153" state="hidden" r:id="rId119"/>
    <sheet name="2907" sheetId="154" state="hidden" r:id="rId120"/>
    <sheet name="3007" sheetId="155" state="hidden" r:id="rId121"/>
    <sheet name="3107" sheetId="156" state="hidden" r:id="rId122"/>
    <sheet name="0108" sheetId="157" state="hidden" r:id="rId123"/>
    <sheet name="0208" sheetId="158" state="hidden" r:id="rId124"/>
    <sheet name="0308" sheetId="159" state="hidden" r:id="rId125"/>
    <sheet name="0408" sheetId="160" state="hidden" r:id="rId126"/>
    <sheet name="0508" sheetId="161" state="hidden" r:id="rId127"/>
    <sheet name="0608" sheetId="162" state="hidden" r:id="rId128"/>
    <sheet name="0708" sheetId="163" state="hidden" r:id="rId129"/>
    <sheet name="0808" sheetId="164" state="hidden" r:id="rId130"/>
    <sheet name="0908" sheetId="165" state="hidden" r:id="rId131"/>
    <sheet name="1008" sheetId="166" state="hidden" r:id="rId132"/>
    <sheet name="1108" sheetId="167" state="hidden" r:id="rId133"/>
    <sheet name="1208" sheetId="168" state="hidden" r:id="rId134"/>
    <sheet name="1308" sheetId="169" state="hidden" r:id="rId135"/>
    <sheet name="1408" sheetId="170" state="hidden" r:id="rId136"/>
    <sheet name="1508" sheetId="171" state="hidden" r:id="rId137"/>
    <sheet name="1608" sheetId="172" state="hidden" r:id="rId138"/>
    <sheet name="1708" sheetId="173" state="hidden" r:id="rId139"/>
    <sheet name="1808" sheetId="174" state="hidden" r:id="rId140"/>
    <sheet name="1908" sheetId="175" state="hidden" r:id="rId141"/>
    <sheet name="2008" sheetId="176" state="hidden" r:id="rId142"/>
    <sheet name="2108" sheetId="177" state="hidden" r:id="rId143"/>
    <sheet name="2208" sheetId="178" state="hidden" r:id="rId144"/>
    <sheet name="2308" sheetId="179" state="hidden" r:id="rId145"/>
    <sheet name="2408" sheetId="180" state="hidden" r:id="rId146"/>
    <sheet name="2508" sheetId="181" state="hidden" r:id="rId147"/>
    <sheet name="2608" sheetId="182" state="hidden" r:id="rId148"/>
    <sheet name="2708" sheetId="183" state="hidden" r:id="rId149"/>
    <sheet name="2808" sheetId="184" state="hidden" r:id="rId150"/>
    <sheet name="2908" sheetId="185" state="hidden" r:id="rId151"/>
    <sheet name="3008" sheetId="186" state="hidden" r:id="rId152"/>
    <sheet name="3108" sheetId="187" state="hidden" r:id="rId153"/>
    <sheet name="0109" sheetId="188" state="hidden" r:id="rId154"/>
    <sheet name="0209" sheetId="189" state="hidden" r:id="rId155"/>
    <sheet name="0309" sheetId="190" state="hidden" r:id="rId156"/>
    <sheet name="0409" sheetId="191" state="hidden" r:id="rId157"/>
    <sheet name="0509" sheetId="192" state="hidden" r:id="rId158"/>
    <sheet name="0609" sheetId="193" state="hidden" r:id="rId159"/>
    <sheet name="0709" sheetId="194" state="hidden" r:id="rId160"/>
    <sheet name="0809" sheetId="195" state="hidden" r:id="rId161"/>
    <sheet name="0909" sheetId="196" state="hidden" r:id="rId162"/>
    <sheet name="1009" sheetId="197" state="hidden" r:id="rId163"/>
    <sheet name="1109" sheetId="198" state="hidden" r:id="rId164"/>
    <sheet name="1209" sheetId="199" state="hidden" r:id="rId165"/>
    <sheet name="1309" sheetId="200" state="hidden" r:id="rId166"/>
    <sheet name="1409" sheetId="201" state="hidden" r:id="rId167"/>
    <sheet name="1509" sheetId="202" state="hidden" r:id="rId168"/>
    <sheet name="1609" sheetId="203" state="hidden" r:id="rId169"/>
    <sheet name="1709" sheetId="204" state="hidden" r:id="rId170"/>
    <sheet name="1809" sheetId="205" state="hidden" r:id="rId171"/>
    <sheet name="1909" sheetId="206" state="hidden" r:id="rId172"/>
    <sheet name="2009" sheetId="207" state="hidden" r:id="rId173"/>
    <sheet name="2109" sheetId="208" state="hidden" r:id="rId174"/>
    <sheet name="2209" sheetId="209" state="hidden" r:id="rId175"/>
    <sheet name="2309" sheetId="210" state="hidden" r:id="rId176"/>
    <sheet name="2409" sheetId="211" state="hidden" r:id="rId177"/>
    <sheet name="2509" sheetId="212" state="hidden" r:id="rId178"/>
    <sheet name="2609" sheetId="213" state="hidden" r:id="rId179"/>
    <sheet name="2709" sheetId="214" state="hidden" r:id="rId180"/>
    <sheet name="2809" sheetId="215" state="hidden" r:id="rId181"/>
    <sheet name="2909" sheetId="216" state="hidden" r:id="rId182"/>
    <sheet name="3009" sheetId="217" state="hidden" r:id="rId183"/>
    <sheet name="0110" sheetId="218" state="hidden" r:id="rId184"/>
    <sheet name="0210" sheetId="219" state="hidden" r:id="rId185"/>
    <sheet name="0310" sheetId="220" state="hidden" r:id="rId186"/>
    <sheet name="0410" sheetId="221" state="hidden" r:id="rId187"/>
    <sheet name="0510" sheetId="222" state="hidden" r:id="rId188"/>
    <sheet name="0610" sheetId="223" state="hidden" r:id="rId189"/>
    <sheet name="0710" sheetId="224" state="hidden" r:id="rId190"/>
    <sheet name="0810" sheetId="225" state="hidden" r:id="rId191"/>
    <sheet name="0910" sheetId="226" state="hidden" r:id="rId192"/>
    <sheet name="1010" sheetId="227" state="hidden" r:id="rId193"/>
    <sheet name="1110" sheetId="228" state="hidden" r:id="rId194"/>
    <sheet name="1210" sheetId="229" state="hidden" r:id="rId195"/>
    <sheet name="1310" sheetId="230" state="hidden" r:id="rId196"/>
    <sheet name="1410" sheetId="231" state="hidden" r:id="rId197"/>
    <sheet name="1510" sheetId="232" state="hidden" r:id="rId198"/>
    <sheet name="1610" sheetId="233" state="hidden" r:id="rId199"/>
    <sheet name="1710" sheetId="234" state="hidden" r:id="rId200"/>
    <sheet name="1810" sheetId="235" state="hidden" r:id="rId201"/>
    <sheet name="1910" sheetId="236" state="hidden" r:id="rId202"/>
    <sheet name="2010" sheetId="237" state="hidden" r:id="rId203"/>
    <sheet name="2110" sheetId="238" state="hidden" r:id="rId204"/>
    <sheet name="2210" sheetId="239" state="hidden" r:id="rId205"/>
    <sheet name="2310" sheetId="240" state="hidden" r:id="rId206"/>
    <sheet name="2410" sheetId="241" state="hidden" r:id="rId207"/>
    <sheet name="2510" sheetId="242" state="hidden" r:id="rId208"/>
    <sheet name="2610" sheetId="243" state="hidden" r:id="rId209"/>
    <sheet name="2710" sheetId="244" state="hidden" r:id="rId210"/>
    <sheet name="2810" sheetId="245" state="hidden" r:id="rId211"/>
    <sheet name="2910" sheetId="246" state="hidden" r:id="rId212"/>
    <sheet name="3010" sheetId="247" state="hidden" r:id="rId213"/>
    <sheet name="3110" sheetId="248" state="hidden" r:id="rId214"/>
    <sheet name="0111" sheetId="249" state="hidden" r:id="rId215"/>
    <sheet name="0211" sheetId="250" state="hidden" r:id="rId216"/>
    <sheet name="0311" sheetId="251" state="hidden" r:id="rId217"/>
    <sheet name="0411" sheetId="252" state="hidden" r:id="rId218"/>
    <sheet name="0511" sheetId="253" state="hidden" r:id="rId219"/>
    <sheet name="0611" sheetId="254" state="hidden" r:id="rId220"/>
    <sheet name="0711" sheetId="255" state="hidden" r:id="rId221"/>
    <sheet name="0811" sheetId="256" state="hidden" r:id="rId222"/>
    <sheet name="0911" sheetId="257" state="hidden" r:id="rId223"/>
    <sheet name="1011" sheetId="258" state="hidden" r:id="rId224"/>
    <sheet name="1111" sheetId="259" state="hidden" r:id="rId225"/>
    <sheet name="1211" sheetId="260" state="hidden" r:id="rId226"/>
    <sheet name="1311" sheetId="261" state="hidden" r:id="rId227"/>
    <sheet name="1411" sheetId="262" state="hidden" r:id="rId228"/>
    <sheet name="1511" sheetId="263" state="hidden" r:id="rId229"/>
    <sheet name="1611" sheetId="264" state="hidden" r:id="rId230"/>
    <sheet name="1711" sheetId="265" state="hidden" r:id="rId231"/>
    <sheet name="1811" sheetId="267" state="hidden" r:id="rId232"/>
    <sheet name="1911" sheetId="268" state="hidden" r:id="rId233"/>
    <sheet name="2011" sheetId="269" state="hidden" r:id="rId234"/>
    <sheet name="2111" sheetId="270" state="hidden" r:id="rId235"/>
    <sheet name="2211" sheetId="271" state="hidden" r:id="rId236"/>
    <sheet name="2311" sheetId="272" state="hidden" r:id="rId237"/>
    <sheet name="2411" sheetId="273" state="hidden" r:id="rId238"/>
    <sheet name="2511" sheetId="274" state="hidden" r:id="rId239"/>
    <sheet name="2611" sheetId="275" state="hidden" r:id="rId240"/>
    <sheet name="2711" sheetId="276" state="hidden" r:id="rId241"/>
    <sheet name="2811" sheetId="277" state="hidden" r:id="rId242"/>
    <sheet name="2911" sheetId="278" state="hidden" r:id="rId243"/>
    <sheet name="3011" sheetId="279" state="hidden" r:id="rId244"/>
    <sheet name="1.6" sheetId="767" r:id="rId245"/>
    <sheet name="2.6" sheetId="768" r:id="rId246"/>
    <sheet name="3.6" sheetId="769" r:id="rId247"/>
    <sheet name="4.6" sheetId="770" r:id="rId248"/>
    <sheet name="5.6" sheetId="771" r:id="rId249"/>
    <sheet name="6.6" sheetId="772" r:id="rId250"/>
    <sheet name="7.6" sheetId="773" r:id="rId251"/>
    <sheet name="8.6" sheetId="774" r:id="rId252"/>
    <sheet name="9.6" sheetId="775" r:id="rId253"/>
    <sheet name="10.6" sheetId="776" r:id="rId254"/>
    <sheet name="11.6" sheetId="777" r:id="rId255"/>
    <sheet name="12.6" sheetId="778" r:id="rId256"/>
    <sheet name="13.6" sheetId="779" r:id="rId257"/>
    <sheet name="14.6" sheetId="780" r:id="rId258"/>
    <sheet name="15.6" sheetId="781" r:id="rId259"/>
    <sheet name="16.6" sheetId="782" r:id="rId260"/>
    <sheet name="17.6" sheetId="783" r:id="rId261"/>
    <sheet name="18.6" sheetId="784" r:id="rId262"/>
    <sheet name="19.6" sheetId="785" r:id="rId263"/>
    <sheet name="20.6" sheetId="786" r:id="rId264"/>
    <sheet name="21.6" sheetId="787" r:id="rId265"/>
    <sheet name="22.6" sheetId="788" r:id="rId266"/>
    <sheet name="23.6" sheetId="789" r:id="rId267"/>
    <sheet name="24.6" sheetId="790" r:id="rId268"/>
    <sheet name="25.6" sheetId="791" r:id="rId269"/>
    <sheet name="26.6" sheetId="792" r:id="rId270"/>
    <sheet name="27.6" sheetId="793" r:id="rId271"/>
    <sheet name="28.6" sheetId="794" r:id="rId272"/>
    <sheet name="29.6" sheetId="795" r:id="rId273"/>
    <sheet name="30.6" sheetId="796" r:id="rId274"/>
    <sheet name="TỔNG" sheetId="715" r:id="rId275"/>
    <sheet name="TỔNG NHẬP" sheetId="710" r:id="rId276"/>
    <sheet name="TỔNG XUẤT" sheetId="712" r:id="rId277"/>
    <sheet name="Sheet3" sheetId="548" r:id="rId278"/>
  </sheets>
  <calcPr calcId="144525"/>
</workbook>
</file>

<file path=xl/calcChain.xml><?xml version="1.0" encoding="utf-8"?>
<calcChain xmlns="http://schemas.openxmlformats.org/spreadsheetml/2006/main">
  <c r="AE8" i="712" l="1"/>
  <c r="AF8" i="712"/>
  <c r="AG8" i="712"/>
  <c r="AH8" i="712"/>
  <c r="AE9" i="712"/>
  <c r="AF9" i="712"/>
  <c r="AG9" i="712"/>
  <c r="AH9" i="712"/>
  <c r="AE10" i="712"/>
  <c r="AF10" i="712"/>
  <c r="AG10" i="712"/>
  <c r="AH10" i="712"/>
  <c r="AE11" i="712"/>
  <c r="AF11" i="712"/>
  <c r="AG11" i="712"/>
  <c r="AH11" i="712"/>
  <c r="AE12" i="712"/>
  <c r="AF12" i="712"/>
  <c r="AG12" i="712"/>
  <c r="AH12" i="712"/>
  <c r="AE13" i="712"/>
  <c r="AF13" i="712"/>
  <c r="AG13" i="712"/>
  <c r="AH13" i="712"/>
  <c r="AE14" i="712"/>
  <c r="AF14" i="712"/>
  <c r="AG14" i="712"/>
  <c r="AH14" i="712"/>
  <c r="AE15" i="712"/>
  <c r="AF15" i="712"/>
  <c r="AG15" i="712"/>
  <c r="AH15" i="712"/>
  <c r="AE16" i="712"/>
  <c r="AF16" i="712"/>
  <c r="AG16" i="712"/>
  <c r="AH16" i="712"/>
  <c r="AE17" i="712"/>
  <c r="AF17" i="712"/>
  <c r="AG17" i="712"/>
  <c r="AH17" i="712"/>
  <c r="AE18" i="712"/>
  <c r="AF18" i="712"/>
  <c r="AG18" i="712"/>
  <c r="AH18" i="712"/>
  <c r="AE19" i="712"/>
  <c r="AF19" i="712"/>
  <c r="AG19" i="712"/>
  <c r="AH19" i="712"/>
  <c r="AE20" i="712"/>
  <c r="AF20" i="712"/>
  <c r="AG20" i="712"/>
  <c r="AH20" i="712"/>
  <c r="AE21" i="712"/>
  <c r="AF21" i="712"/>
  <c r="AG21" i="712"/>
  <c r="AH21" i="712"/>
  <c r="AE22" i="712"/>
  <c r="AF22" i="712"/>
  <c r="AG22" i="712"/>
  <c r="AH22" i="712"/>
  <c r="AE23" i="712"/>
  <c r="AF23" i="712"/>
  <c r="AG23" i="712"/>
  <c r="AH23" i="712"/>
  <c r="AE24" i="712"/>
  <c r="AF24" i="712"/>
  <c r="AG24" i="712"/>
  <c r="AH24" i="712"/>
  <c r="AH7" i="712"/>
  <c r="AG7" i="712"/>
  <c r="AF7" i="712"/>
  <c r="AE7" i="712"/>
  <c r="AE8" i="710"/>
  <c r="AF8" i="710"/>
  <c r="AG8" i="710"/>
  <c r="AH8" i="710"/>
  <c r="AE9" i="710"/>
  <c r="AF9" i="710"/>
  <c r="AG9" i="710"/>
  <c r="AH9" i="710"/>
  <c r="AE10" i="710"/>
  <c r="AF10" i="710"/>
  <c r="AG10" i="710"/>
  <c r="AH10" i="710"/>
  <c r="AE11" i="710"/>
  <c r="AF11" i="710"/>
  <c r="AG11" i="710"/>
  <c r="AH11" i="710"/>
  <c r="AE12" i="710"/>
  <c r="AF12" i="710"/>
  <c r="AG12" i="710"/>
  <c r="AH12" i="710"/>
  <c r="AE13" i="710"/>
  <c r="AF13" i="710"/>
  <c r="AG13" i="710"/>
  <c r="AH13" i="710"/>
  <c r="AE14" i="710"/>
  <c r="AF14" i="710"/>
  <c r="AG14" i="710"/>
  <c r="AH14" i="710"/>
  <c r="AE15" i="710"/>
  <c r="AF15" i="710"/>
  <c r="AG15" i="710"/>
  <c r="AH15" i="710"/>
  <c r="AE16" i="710"/>
  <c r="AF16" i="710"/>
  <c r="AG16" i="710"/>
  <c r="AH16" i="710"/>
  <c r="AE17" i="710"/>
  <c r="AF17" i="710"/>
  <c r="AG17" i="710"/>
  <c r="AH17" i="710"/>
  <c r="AE18" i="710"/>
  <c r="AF18" i="710"/>
  <c r="AG18" i="710"/>
  <c r="AH18" i="710"/>
  <c r="AE19" i="710"/>
  <c r="AF19" i="710"/>
  <c r="AG19" i="710"/>
  <c r="AH19" i="710"/>
  <c r="AE20" i="710"/>
  <c r="AF20" i="710"/>
  <c r="AG20" i="710"/>
  <c r="AH20" i="710"/>
  <c r="AE21" i="710"/>
  <c r="AF21" i="710"/>
  <c r="AG21" i="710"/>
  <c r="AH21" i="710"/>
  <c r="AE22" i="710"/>
  <c r="AF22" i="710"/>
  <c r="AG22" i="710"/>
  <c r="AH22" i="710"/>
  <c r="AE23" i="710"/>
  <c r="AF23" i="710"/>
  <c r="AG23" i="710"/>
  <c r="AH23" i="710"/>
  <c r="AE24" i="710"/>
  <c r="AF24" i="710"/>
  <c r="AG24" i="710"/>
  <c r="AH24" i="710"/>
  <c r="AH7" i="710"/>
  <c r="AG7" i="710"/>
  <c r="AF7" i="710"/>
  <c r="AE7" i="710"/>
  <c r="E8" i="715"/>
  <c r="F8" i="715"/>
  <c r="G8" i="715"/>
  <c r="H8" i="715"/>
  <c r="I8" i="715"/>
  <c r="J8" i="715"/>
  <c r="K8" i="715"/>
  <c r="L8" i="715"/>
  <c r="M8" i="715"/>
  <c r="N8" i="715"/>
  <c r="O8" i="715"/>
  <c r="P8" i="715"/>
  <c r="Q8" i="715"/>
  <c r="R8" i="715"/>
  <c r="E9" i="715"/>
  <c r="F9" i="715"/>
  <c r="G9" i="715"/>
  <c r="H9" i="715"/>
  <c r="I9" i="715"/>
  <c r="J9" i="715"/>
  <c r="K9" i="715"/>
  <c r="L9" i="715"/>
  <c r="M9" i="715"/>
  <c r="N9" i="715"/>
  <c r="O9" i="715"/>
  <c r="P9" i="715"/>
  <c r="Q9" i="715"/>
  <c r="R9" i="715"/>
  <c r="E10" i="715"/>
  <c r="F10" i="715"/>
  <c r="G10" i="715"/>
  <c r="H10" i="715"/>
  <c r="I10" i="715"/>
  <c r="J10" i="715"/>
  <c r="K10" i="715"/>
  <c r="L10" i="715"/>
  <c r="M10" i="715"/>
  <c r="N10" i="715"/>
  <c r="O10" i="715"/>
  <c r="P10" i="715"/>
  <c r="Q10" i="715"/>
  <c r="R10" i="715"/>
  <c r="E11" i="715"/>
  <c r="F11" i="715"/>
  <c r="G11" i="715"/>
  <c r="H11" i="715"/>
  <c r="I11" i="715"/>
  <c r="J11" i="715"/>
  <c r="K11" i="715"/>
  <c r="L11" i="715"/>
  <c r="M11" i="715"/>
  <c r="N11" i="715"/>
  <c r="O11" i="715"/>
  <c r="P11" i="715"/>
  <c r="Q11" i="715"/>
  <c r="R11" i="715"/>
  <c r="E12" i="715"/>
  <c r="F12" i="715"/>
  <c r="G12" i="715"/>
  <c r="H12" i="715"/>
  <c r="I12" i="715"/>
  <c r="J12" i="715"/>
  <c r="K12" i="715"/>
  <c r="L12" i="715"/>
  <c r="M12" i="715"/>
  <c r="N12" i="715"/>
  <c r="O12" i="715"/>
  <c r="P12" i="715"/>
  <c r="Q12" i="715"/>
  <c r="R12" i="715"/>
  <c r="E13" i="715"/>
  <c r="F13" i="715"/>
  <c r="G13" i="715"/>
  <c r="H13" i="715"/>
  <c r="I13" i="715"/>
  <c r="J13" i="715"/>
  <c r="K13" i="715"/>
  <c r="L13" i="715"/>
  <c r="M13" i="715"/>
  <c r="N13" i="715"/>
  <c r="O13" i="715"/>
  <c r="P13" i="715"/>
  <c r="Q13" i="715"/>
  <c r="R13" i="715"/>
  <c r="E14" i="715"/>
  <c r="F14" i="715"/>
  <c r="G14" i="715"/>
  <c r="H14" i="715"/>
  <c r="I14" i="715"/>
  <c r="J14" i="715"/>
  <c r="K14" i="715"/>
  <c r="L14" i="715"/>
  <c r="M14" i="715"/>
  <c r="N14" i="715"/>
  <c r="O14" i="715"/>
  <c r="P14" i="715"/>
  <c r="Q14" i="715"/>
  <c r="R14" i="715"/>
  <c r="E15" i="715"/>
  <c r="F15" i="715"/>
  <c r="G15" i="715"/>
  <c r="H15" i="715"/>
  <c r="I15" i="715"/>
  <c r="J15" i="715"/>
  <c r="K15" i="715"/>
  <c r="L15" i="715"/>
  <c r="M15" i="715"/>
  <c r="N15" i="715"/>
  <c r="O15" i="715"/>
  <c r="P15" i="715"/>
  <c r="Q15" i="715"/>
  <c r="R15" i="715"/>
  <c r="E16" i="715"/>
  <c r="F16" i="715"/>
  <c r="G16" i="715"/>
  <c r="H16" i="715"/>
  <c r="I16" i="715"/>
  <c r="J16" i="715"/>
  <c r="K16" i="715"/>
  <c r="L16" i="715"/>
  <c r="M16" i="715"/>
  <c r="N16" i="715"/>
  <c r="O16" i="715"/>
  <c r="P16" i="715"/>
  <c r="Q16" i="715"/>
  <c r="R16" i="715"/>
  <c r="E17" i="715"/>
  <c r="F17" i="715"/>
  <c r="G17" i="715"/>
  <c r="H17" i="715"/>
  <c r="I17" i="715"/>
  <c r="J17" i="715"/>
  <c r="K17" i="715"/>
  <c r="L17" i="715"/>
  <c r="M17" i="715"/>
  <c r="N17" i="715"/>
  <c r="O17" i="715"/>
  <c r="P17" i="715"/>
  <c r="Q17" i="715"/>
  <c r="R17" i="715"/>
  <c r="E18" i="715"/>
  <c r="F18" i="715"/>
  <c r="G18" i="715"/>
  <c r="H18" i="715"/>
  <c r="I18" i="715"/>
  <c r="J18" i="715"/>
  <c r="K18" i="715"/>
  <c r="L18" i="715"/>
  <c r="M18" i="715"/>
  <c r="N18" i="715"/>
  <c r="O18" i="715"/>
  <c r="P18" i="715"/>
  <c r="Q18" i="715"/>
  <c r="R18" i="715"/>
  <c r="E19" i="715"/>
  <c r="F19" i="715"/>
  <c r="G19" i="715"/>
  <c r="H19" i="715"/>
  <c r="I19" i="715"/>
  <c r="J19" i="715"/>
  <c r="K19" i="715"/>
  <c r="L19" i="715"/>
  <c r="M19" i="715"/>
  <c r="N19" i="715"/>
  <c r="O19" i="715"/>
  <c r="P19" i="715"/>
  <c r="Q19" i="715"/>
  <c r="R19" i="715"/>
  <c r="E20" i="715"/>
  <c r="F20" i="715"/>
  <c r="G20" i="715"/>
  <c r="H20" i="715"/>
  <c r="I20" i="715"/>
  <c r="J20" i="715"/>
  <c r="K20" i="715"/>
  <c r="L20" i="715"/>
  <c r="M20" i="715"/>
  <c r="N20" i="715"/>
  <c r="O20" i="715"/>
  <c r="P20" i="715"/>
  <c r="Q20" i="715"/>
  <c r="R20" i="715"/>
  <c r="E21" i="715"/>
  <c r="F21" i="715"/>
  <c r="G21" i="715"/>
  <c r="H21" i="715"/>
  <c r="I21" i="715"/>
  <c r="J21" i="715"/>
  <c r="K21" i="715"/>
  <c r="L21" i="715"/>
  <c r="M21" i="715"/>
  <c r="N21" i="715"/>
  <c r="O21" i="715"/>
  <c r="P21" i="715"/>
  <c r="Q21" i="715"/>
  <c r="R21" i="715"/>
  <c r="E22" i="715"/>
  <c r="F22" i="715"/>
  <c r="G22" i="715"/>
  <c r="H22" i="715"/>
  <c r="I22" i="715"/>
  <c r="J22" i="715"/>
  <c r="K22" i="715"/>
  <c r="L22" i="715"/>
  <c r="M22" i="715"/>
  <c r="N22" i="715"/>
  <c r="O22" i="715"/>
  <c r="P22" i="715"/>
  <c r="Q22" i="715"/>
  <c r="R22" i="715"/>
  <c r="E23" i="715"/>
  <c r="F23" i="715"/>
  <c r="G23" i="715"/>
  <c r="H23" i="715"/>
  <c r="I23" i="715"/>
  <c r="J23" i="715"/>
  <c r="K23" i="715"/>
  <c r="L23" i="715"/>
  <c r="M23" i="715"/>
  <c r="N23" i="715"/>
  <c r="O23" i="715"/>
  <c r="P23" i="715"/>
  <c r="Q23" i="715"/>
  <c r="R23" i="715"/>
  <c r="E24" i="715"/>
  <c r="F24" i="715"/>
  <c r="G24" i="715"/>
  <c r="H24" i="715"/>
  <c r="I24" i="715"/>
  <c r="J24" i="715"/>
  <c r="K24" i="715"/>
  <c r="L24" i="715"/>
  <c r="M24" i="715"/>
  <c r="N24" i="715"/>
  <c r="O24" i="715"/>
  <c r="P24" i="715"/>
  <c r="Q24" i="715"/>
  <c r="R24" i="715"/>
  <c r="F7" i="715"/>
  <c r="G7" i="715"/>
  <c r="H7" i="715"/>
  <c r="I7" i="715"/>
  <c r="J7" i="715"/>
  <c r="K7" i="715"/>
  <c r="L7" i="715"/>
  <c r="M7" i="715"/>
  <c r="N7" i="715"/>
  <c r="O7" i="715"/>
  <c r="P7" i="715"/>
  <c r="Q7" i="715"/>
  <c r="R7" i="715"/>
  <c r="E25" i="715"/>
  <c r="E26" i="715"/>
  <c r="E7" i="715"/>
  <c r="D4" i="796" l="1"/>
  <c r="S27" i="796" l="1"/>
  <c r="R27" i="796"/>
  <c r="Q27" i="796"/>
  <c r="P27" i="796"/>
  <c r="O27" i="796"/>
  <c r="N27" i="796"/>
  <c r="M27" i="796"/>
  <c r="L27" i="796"/>
  <c r="K27" i="796"/>
  <c r="J27" i="796"/>
  <c r="I27" i="796"/>
  <c r="H27" i="796"/>
  <c r="G27" i="796"/>
  <c r="F27" i="796"/>
  <c r="E27" i="796"/>
  <c r="X26" i="796"/>
  <c r="U26" i="796"/>
  <c r="D26" i="796"/>
  <c r="X25" i="796"/>
  <c r="U25" i="796"/>
  <c r="D25" i="796"/>
  <c r="U24" i="796"/>
  <c r="D24" i="796"/>
  <c r="V24" i="796" s="1"/>
  <c r="X24" i="796" s="1"/>
  <c r="U23" i="796"/>
  <c r="D23" i="796"/>
  <c r="V23" i="796" s="1"/>
  <c r="X23" i="796" s="1"/>
  <c r="U22" i="796"/>
  <c r="D22" i="796"/>
  <c r="V22" i="796" s="1"/>
  <c r="X22" i="796" s="1"/>
  <c r="U21" i="796"/>
  <c r="D21" i="796"/>
  <c r="V21" i="796" s="1"/>
  <c r="X21" i="796" s="1"/>
  <c r="U20" i="796"/>
  <c r="D20" i="796"/>
  <c r="V20" i="796" s="1"/>
  <c r="X20" i="796" s="1"/>
  <c r="U19" i="796"/>
  <c r="D19" i="796"/>
  <c r="V19" i="796" s="1"/>
  <c r="X19" i="796" s="1"/>
  <c r="U18" i="796"/>
  <c r="D18" i="796"/>
  <c r="V18" i="796" s="1"/>
  <c r="X18" i="796" s="1"/>
  <c r="U17" i="796"/>
  <c r="D17" i="796"/>
  <c r="V17" i="796" s="1"/>
  <c r="X17" i="796" s="1"/>
  <c r="U16" i="796"/>
  <c r="D16" i="796"/>
  <c r="V16" i="796" s="1"/>
  <c r="X16" i="796" s="1"/>
  <c r="U15" i="796"/>
  <c r="D15" i="796"/>
  <c r="V15" i="796" s="1"/>
  <c r="X15" i="796" s="1"/>
  <c r="U14" i="796"/>
  <c r="D14" i="796"/>
  <c r="V14" i="796" s="1"/>
  <c r="X14" i="796" s="1"/>
  <c r="U13" i="796"/>
  <c r="D13" i="796"/>
  <c r="V13" i="796" s="1"/>
  <c r="X13" i="796" s="1"/>
  <c r="U12" i="796"/>
  <c r="D12" i="796"/>
  <c r="V12" i="796" s="1"/>
  <c r="X12" i="796" s="1"/>
  <c r="U11" i="796"/>
  <c r="D11" i="796"/>
  <c r="V11" i="796" s="1"/>
  <c r="X11" i="796" s="1"/>
  <c r="U10" i="796"/>
  <c r="D10" i="796"/>
  <c r="V10" i="796" s="1"/>
  <c r="X10" i="796" s="1"/>
  <c r="U9" i="796"/>
  <c r="D9" i="796"/>
  <c r="V9" i="796" s="1"/>
  <c r="X9" i="796" s="1"/>
  <c r="U8" i="796"/>
  <c r="D8" i="796"/>
  <c r="V8" i="796" s="1"/>
  <c r="X8" i="796" s="1"/>
  <c r="U7" i="796"/>
  <c r="D7" i="796"/>
  <c r="D27" i="796" s="1"/>
  <c r="E4" i="796"/>
  <c r="V7" i="796" l="1"/>
  <c r="D8" i="795"/>
  <c r="D27" i="795" s="1"/>
  <c r="D9" i="795"/>
  <c r="D10" i="795"/>
  <c r="D11" i="795"/>
  <c r="D12" i="795"/>
  <c r="D13" i="795"/>
  <c r="D14" i="795"/>
  <c r="D15" i="795"/>
  <c r="D16" i="795"/>
  <c r="D17" i="795"/>
  <c r="D18" i="795"/>
  <c r="D19" i="795"/>
  <c r="D20" i="795"/>
  <c r="D21" i="795"/>
  <c r="D22" i="795"/>
  <c r="D23" i="795"/>
  <c r="D24" i="795"/>
  <c r="V24" i="795" s="1"/>
  <c r="X24" i="795" s="1"/>
  <c r="D25" i="795"/>
  <c r="D26" i="795"/>
  <c r="D7" i="795"/>
  <c r="D4" i="795"/>
  <c r="E4" i="795" s="1"/>
  <c r="S27" i="795"/>
  <c r="R27" i="795"/>
  <c r="Q27" i="795"/>
  <c r="P27" i="795"/>
  <c r="O27" i="795"/>
  <c r="N27" i="795"/>
  <c r="M27" i="795"/>
  <c r="L27" i="795"/>
  <c r="K27" i="795"/>
  <c r="J27" i="795"/>
  <c r="I27" i="795"/>
  <c r="H27" i="795"/>
  <c r="G27" i="795"/>
  <c r="F27" i="795"/>
  <c r="E27" i="795"/>
  <c r="X26" i="795"/>
  <c r="U26" i="795"/>
  <c r="X25" i="795"/>
  <c r="U25" i="795"/>
  <c r="U24" i="795"/>
  <c r="U23" i="795"/>
  <c r="V23" i="795"/>
  <c r="X23" i="795" s="1"/>
  <c r="U22" i="795"/>
  <c r="V22" i="795"/>
  <c r="X22" i="795" s="1"/>
  <c r="U21" i="795"/>
  <c r="V21" i="795"/>
  <c r="X21" i="795" s="1"/>
  <c r="U20" i="795"/>
  <c r="V20" i="795"/>
  <c r="X20" i="795" s="1"/>
  <c r="U19" i="795"/>
  <c r="V19" i="795"/>
  <c r="X19" i="795" s="1"/>
  <c r="U18" i="795"/>
  <c r="V18" i="795"/>
  <c r="X18" i="795" s="1"/>
  <c r="U17" i="795"/>
  <c r="V17" i="795"/>
  <c r="X17" i="795" s="1"/>
  <c r="U16" i="795"/>
  <c r="V16" i="795"/>
  <c r="X16" i="795" s="1"/>
  <c r="U15" i="795"/>
  <c r="V15" i="795"/>
  <c r="X15" i="795" s="1"/>
  <c r="U14" i="795"/>
  <c r="V14" i="795"/>
  <c r="X14" i="795" s="1"/>
  <c r="U13" i="795"/>
  <c r="V13" i="795"/>
  <c r="X13" i="795" s="1"/>
  <c r="U12" i="795"/>
  <c r="V12" i="795"/>
  <c r="X12" i="795" s="1"/>
  <c r="U11" i="795"/>
  <c r="V11" i="795"/>
  <c r="X11" i="795" s="1"/>
  <c r="U10" i="795"/>
  <c r="V10" i="795"/>
  <c r="X10" i="795" s="1"/>
  <c r="U9" i="795"/>
  <c r="V9" i="795"/>
  <c r="X9" i="795" s="1"/>
  <c r="U8" i="795"/>
  <c r="V8" i="795"/>
  <c r="X8" i="795" s="1"/>
  <c r="U7" i="795"/>
  <c r="X7" i="796" l="1"/>
  <c r="X27" i="796" s="1"/>
  <c r="V27" i="796"/>
  <c r="V7" i="795"/>
  <c r="X7" i="795" l="1"/>
  <c r="X27" i="795" s="1"/>
  <c r="V27" i="795"/>
  <c r="D8" i="794"/>
  <c r="D27" i="794" s="1"/>
  <c r="D9" i="794"/>
  <c r="D10" i="794"/>
  <c r="D11" i="794"/>
  <c r="D12" i="794"/>
  <c r="V12" i="794" s="1"/>
  <c r="X12" i="794" s="1"/>
  <c r="D13" i="794"/>
  <c r="D14" i="794"/>
  <c r="D15" i="794"/>
  <c r="D16" i="794"/>
  <c r="V16" i="794" s="1"/>
  <c r="X16" i="794" s="1"/>
  <c r="D17" i="794"/>
  <c r="D18" i="794"/>
  <c r="D19" i="794"/>
  <c r="D20" i="794"/>
  <c r="V20" i="794" s="1"/>
  <c r="X20" i="794" s="1"/>
  <c r="D21" i="794"/>
  <c r="D22" i="794"/>
  <c r="D23" i="794"/>
  <c r="D24" i="794"/>
  <c r="V24" i="794" s="1"/>
  <c r="X24" i="794" s="1"/>
  <c r="D25" i="794"/>
  <c r="D26" i="794"/>
  <c r="D7" i="794"/>
  <c r="D4" i="794"/>
  <c r="E4" i="794" s="1"/>
  <c r="S27" i="794"/>
  <c r="R27" i="794"/>
  <c r="Q27" i="794"/>
  <c r="P27" i="794"/>
  <c r="O27" i="794"/>
  <c r="N27" i="794"/>
  <c r="M27" i="794"/>
  <c r="L27" i="794"/>
  <c r="K27" i="794"/>
  <c r="J27" i="794"/>
  <c r="I27" i="794"/>
  <c r="H27" i="794"/>
  <c r="G27" i="794"/>
  <c r="F27" i="794"/>
  <c r="E27" i="794"/>
  <c r="X26" i="794"/>
  <c r="U26" i="794"/>
  <c r="X25" i="794"/>
  <c r="U25" i="794"/>
  <c r="U24" i="794"/>
  <c r="U23" i="794"/>
  <c r="V23" i="794"/>
  <c r="X23" i="794" s="1"/>
  <c r="U22" i="794"/>
  <c r="V22" i="794"/>
  <c r="X22" i="794" s="1"/>
  <c r="U21" i="794"/>
  <c r="V21" i="794"/>
  <c r="X21" i="794" s="1"/>
  <c r="U20" i="794"/>
  <c r="U19" i="794"/>
  <c r="V19" i="794"/>
  <c r="X19" i="794" s="1"/>
  <c r="U18" i="794"/>
  <c r="V18" i="794"/>
  <c r="X18" i="794" s="1"/>
  <c r="U17" i="794"/>
  <c r="V17" i="794"/>
  <c r="X17" i="794" s="1"/>
  <c r="U16" i="794"/>
  <c r="U15" i="794"/>
  <c r="V15" i="794"/>
  <c r="X15" i="794" s="1"/>
  <c r="U14" i="794"/>
  <c r="V14" i="794"/>
  <c r="X14" i="794" s="1"/>
  <c r="U13" i="794"/>
  <c r="V13" i="794"/>
  <c r="X13" i="794" s="1"/>
  <c r="U12" i="794"/>
  <c r="U11" i="794"/>
  <c r="V11" i="794"/>
  <c r="X11" i="794" s="1"/>
  <c r="U10" i="794"/>
  <c r="V10" i="794"/>
  <c r="X10" i="794" s="1"/>
  <c r="U9" i="794"/>
  <c r="V9" i="794"/>
  <c r="X9" i="794" s="1"/>
  <c r="U8" i="794"/>
  <c r="U7" i="794"/>
  <c r="V8" i="794" l="1"/>
  <c r="X8" i="794" s="1"/>
  <c r="V7" i="794"/>
  <c r="D4" i="793"/>
  <c r="E4" i="793" s="1"/>
  <c r="D8" i="793"/>
  <c r="D9" i="793"/>
  <c r="V9" i="793" s="1"/>
  <c r="X9" i="793" s="1"/>
  <c r="D10" i="793"/>
  <c r="D11" i="793"/>
  <c r="V11" i="793" s="1"/>
  <c r="X11" i="793" s="1"/>
  <c r="D12" i="793"/>
  <c r="D13" i="793"/>
  <c r="D14" i="793"/>
  <c r="V14" i="793" s="1"/>
  <c r="X14" i="793" s="1"/>
  <c r="D15" i="793"/>
  <c r="V15" i="793" s="1"/>
  <c r="X15" i="793" s="1"/>
  <c r="D16" i="793"/>
  <c r="D17" i="793"/>
  <c r="D18" i="793"/>
  <c r="V18" i="793" s="1"/>
  <c r="X18" i="793" s="1"/>
  <c r="D19" i="793"/>
  <c r="V19" i="793" s="1"/>
  <c r="X19" i="793" s="1"/>
  <c r="D20" i="793"/>
  <c r="D21" i="793"/>
  <c r="V21" i="793" s="1"/>
  <c r="X21" i="793" s="1"/>
  <c r="D22" i="793"/>
  <c r="D23" i="793"/>
  <c r="V23" i="793" s="1"/>
  <c r="X23" i="793" s="1"/>
  <c r="D24" i="793"/>
  <c r="V24" i="793" s="1"/>
  <c r="X24" i="793" s="1"/>
  <c r="D25" i="793"/>
  <c r="D26" i="793"/>
  <c r="D7" i="793"/>
  <c r="S27" i="793"/>
  <c r="R27" i="793"/>
  <c r="Q27" i="793"/>
  <c r="P27" i="793"/>
  <c r="O27" i="793"/>
  <c r="N27" i="793"/>
  <c r="M27" i="793"/>
  <c r="L27" i="793"/>
  <c r="K27" i="793"/>
  <c r="J27" i="793"/>
  <c r="I27" i="793"/>
  <c r="H27" i="793"/>
  <c r="G27" i="793"/>
  <c r="F27" i="793"/>
  <c r="E27" i="793"/>
  <c r="X26" i="793"/>
  <c r="U26" i="793"/>
  <c r="X25" i="793"/>
  <c r="U25" i="793"/>
  <c r="U24" i="793"/>
  <c r="U23" i="793"/>
  <c r="U22" i="793"/>
  <c r="V22" i="793"/>
  <c r="X22" i="793" s="1"/>
  <c r="U21" i="793"/>
  <c r="U20" i="793"/>
  <c r="V20" i="793"/>
  <c r="X20" i="793" s="1"/>
  <c r="U19" i="793"/>
  <c r="U18" i="793"/>
  <c r="U17" i="793"/>
  <c r="V17" i="793"/>
  <c r="X17" i="793" s="1"/>
  <c r="U16" i="793"/>
  <c r="V16" i="793"/>
  <c r="X16" i="793" s="1"/>
  <c r="U15" i="793"/>
  <c r="U14" i="793"/>
  <c r="U13" i="793"/>
  <c r="V13" i="793"/>
  <c r="X13" i="793" s="1"/>
  <c r="U12" i="793"/>
  <c r="V12" i="793"/>
  <c r="X12" i="793" s="1"/>
  <c r="U11" i="793"/>
  <c r="U10" i="793"/>
  <c r="V10" i="793"/>
  <c r="X10" i="793" s="1"/>
  <c r="U9" i="793"/>
  <c r="U8" i="793"/>
  <c r="V8" i="793"/>
  <c r="X8" i="793" s="1"/>
  <c r="U7" i="793"/>
  <c r="X7" i="794" l="1"/>
  <c r="X27" i="794" s="1"/>
  <c r="V27" i="794"/>
  <c r="D27" i="793"/>
  <c r="V7" i="793"/>
  <c r="G8" i="710"/>
  <c r="H8" i="710"/>
  <c r="I8" i="710"/>
  <c r="J8" i="710"/>
  <c r="K8" i="710"/>
  <c r="L8" i="710"/>
  <c r="M8" i="710"/>
  <c r="N8" i="710"/>
  <c r="O8" i="710"/>
  <c r="P8" i="710"/>
  <c r="Q8" i="710"/>
  <c r="R8" i="710"/>
  <c r="S8" i="710"/>
  <c r="T8" i="710"/>
  <c r="U8" i="710"/>
  <c r="V8" i="710"/>
  <c r="W8" i="710"/>
  <c r="X8" i="710"/>
  <c r="Y8" i="710"/>
  <c r="Z8" i="710"/>
  <c r="AA8" i="710"/>
  <c r="AB8" i="710"/>
  <c r="AC8" i="710"/>
  <c r="AD8" i="710"/>
  <c r="G9" i="710"/>
  <c r="H9" i="710"/>
  <c r="I9" i="710"/>
  <c r="J9" i="710"/>
  <c r="K9" i="710"/>
  <c r="L9" i="710"/>
  <c r="M9" i="710"/>
  <c r="N9" i="710"/>
  <c r="O9" i="710"/>
  <c r="P9" i="710"/>
  <c r="Q9" i="710"/>
  <c r="R9" i="710"/>
  <c r="S9" i="710"/>
  <c r="T9" i="710"/>
  <c r="U9" i="710"/>
  <c r="V9" i="710"/>
  <c r="W9" i="710"/>
  <c r="X9" i="710"/>
  <c r="Y9" i="710"/>
  <c r="Z9" i="710"/>
  <c r="AA9" i="710"/>
  <c r="AB9" i="710"/>
  <c r="AC9" i="710"/>
  <c r="AD9" i="710"/>
  <c r="G10" i="710"/>
  <c r="H10" i="710"/>
  <c r="I10" i="710"/>
  <c r="J10" i="710"/>
  <c r="K10" i="710"/>
  <c r="L10" i="710"/>
  <c r="M10" i="710"/>
  <c r="N10" i="710"/>
  <c r="O10" i="710"/>
  <c r="P10" i="710"/>
  <c r="Q10" i="710"/>
  <c r="R10" i="710"/>
  <c r="S10" i="710"/>
  <c r="T10" i="710"/>
  <c r="U10" i="710"/>
  <c r="V10" i="710"/>
  <c r="W10" i="710"/>
  <c r="X10" i="710"/>
  <c r="Y10" i="710"/>
  <c r="Z10" i="710"/>
  <c r="AA10" i="710"/>
  <c r="AB10" i="710"/>
  <c r="AC10" i="710"/>
  <c r="AD10" i="710"/>
  <c r="G11" i="710"/>
  <c r="H11" i="710"/>
  <c r="I11" i="710"/>
  <c r="J11" i="710"/>
  <c r="K11" i="710"/>
  <c r="L11" i="710"/>
  <c r="M11" i="710"/>
  <c r="N11" i="710"/>
  <c r="O11" i="710"/>
  <c r="P11" i="710"/>
  <c r="Q11" i="710"/>
  <c r="R11" i="710"/>
  <c r="S11" i="710"/>
  <c r="T11" i="710"/>
  <c r="U11" i="710"/>
  <c r="V11" i="710"/>
  <c r="W11" i="710"/>
  <c r="X11" i="710"/>
  <c r="Y11" i="710"/>
  <c r="Z11" i="710"/>
  <c r="AA11" i="710"/>
  <c r="AB11" i="710"/>
  <c r="AC11" i="710"/>
  <c r="AD11" i="710"/>
  <c r="G12" i="710"/>
  <c r="H12" i="710"/>
  <c r="I12" i="710"/>
  <c r="J12" i="710"/>
  <c r="K12" i="710"/>
  <c r="L12" i="710"/>
  <c r="M12" i="710"/>
  <c r="N12" i="710"/>
  <c r="O12" i="710"/>
  <c r="P12" i="710"/>
  <c r="Q12" i="710"/>
  <c r="R12" i="710"/>
  <c r="S12" i="710"/>
  <c r="T12" i="710"/>
  <c r="U12" i="710"/>
  <c r="V12" i="710"/>
  <c r="W12" i="710"/>
  <c r="X12" i="710"/>
  <c r="Y12" i="710"/>
  <c r="Z12" i="710"/>
  <c r="AA12" i="710"/>
  <c r="AB12" i="710"/>
  <c r="AC12" i="710"/>
  <c r="AD12" i="710"/>
  <c r="G13" i="710"/>
  <c r="H13" i="710"/>
  <c r="I13" i="710"/>
  <c r="J13" i="710"/>
  <c r="K13" i="710"/>
  <c r="L13" i="710"/>
  <c r="M13" i="710"/>
  <c r="N13" i="710"/>
  <c r="O13" i="710"/>
  <c r="P13" i="710"/>
  <c r="Q13" i="710"/>
  <c r="R13" i="710"/>
  <c r="S13" i="710"/>
  <c r="T13" i="710"/>
  <c r="U13" i="710"/>
  <c r="V13" i="710"/>
  <c r="W13" i="710"/>
  <c r="X13" i="710"/>
  <c r="Y13" i="710"/>
  <c r="Z13" i="710"/>
  <c r="AA13" i="710"/>
  <c r="AB13" i="710"/>
  <c r="AC13" i="710"/>
  <c r="AD13" i="710"/>
  <c r="G14" i="710"/>
  <c r="H14" i="710"/>
  <c r="I14" i="710"/>
  <c r="J14" i="710"/>
  <c r="K14" i="710"/>
  <c r="L14" i="710"/>
  <c r="M14" i="710"/>
  <c r="N14" i="710"/>
  <c r="O14" i="710"/>
  <c r="P14" i="710"/>
  <c r="Q14" i="710"/>
  <c r="R14" i="710"/>
  <c r="S14" i="710"/>
  <c r="T14" i="710"/>
  <c r="U14" i="710"/>
  <c r="V14" i="710"/>
  <c r="W14" i="710"/>
  <c r="X14" i="710"/>
  <c r="Y14" i="710"/>
  <c r="Z14" i="710"/>
  <c r="AA14" i="710"/>
  <c r="AB14" i="710"/>
  <c r="AC14" i="710"/>
  <c r="AD14" i="710"/>
  <c r="G15" i="710"/>
  <c r="H15" i="710"/>
  <c r="I15" i="710"/>
  <c r="J15" i="710"/>
  <c r="K15" i="710"/>
  <c r="L15" i="710"/>
  <c r="M15" i="710"/>
  <c r="N15" i="710"/>
  <c r="O15" i="710"/>
  <c r="P15" i="710"/>
  <c r="Q15" i="710"/>
  <c r="R15" i="710"/>
  <c r="S15" i="710"/>
  <c r="T15" i="710"/>
  <c r="U15" i="710"/>
  <c r="V15" i="710"/>
  <c r="W15" i="710"/>
  <c r="X15" i="710"/>
  <c r="Y15" i="710"/>
  <c r="Z15" i="710"/>
  <c r="AA15" i="710"/>
  <c r="AB15" i="710"/>
  <c r="AC15" i="710"/>
  <c r="AD15" i="710"/>
  <c r="G16" i="710"/>
  <c r="H16" i="710"/>
  <c r="I16" i="710"/>
  <c r="J16" i="710"/>
  <c r="K16" i="710"/>
  <c r="L16" i="710"/>
  <c r="M16" i="710"/>
  <c r="N16" i="710"/>
  <c r="O16" i="710"/>
  <c r="P16" i="710"/>
  <c r="Q16" i="710"/>
  <c r="R16" i="710"/>
  <c r="S16" i="710"/>
  <c r="T16" i="710"/>
  <c r="U16" i="710"/>
  <c r="V16" i="710"/>
  <c r="W16" i="710"/>
  <c r="X16" i="710"/>
  <c r="Y16" i="710"/>
  <c r="Z16" i="710"/>
  <c r="AA16" i="710"/>
  <c r="AB16" i="710"/>
  <c r="AC16" i="710"/>
  <c r="AD16" i="710"/>
  <c r="G17" i="710"/>
  <c r="H17" i="710"/>
  <c r="I17" i="710"/>
  <c r="J17" i="710"/>
  <c r="K17" i="710"/>
  <c r="L17" i="710"/>
  <c r="M17" i="710"/>
  <c r="N17" i="710"/>
  <c r="O17" i="710"/>
  <c r="P17" i="710"/>
  <c r="Q17" i="710"/>
  <c r="R17" i="710"/>
  <c r="S17" i="710"/>
  <c r="T17" i="710"/>
  <c r="U17" i="710"/>
  <c r="V17" i="710"/>
  <c r="W17" i="710"/>
  <c r="X17" i="710"/>
  <c r="Y17" i="710"/>
  <c r="Z17" i="710"/>
  <c r="AA17" i="710"/>
  <c r="AB17" i="710"/>
  <c r="AC17" i="710"/>
  <c r="AD17" i="710"/>
  <c r="G18" i="710"/>
  <c r="H18" i="710"/>
  <c r="I18" i="710"/>
  <c r="J18" i="710"/>
  <c r="K18" i="710"/>
  <c r="L18" i="710"/>
  <c r="M18" i="710"/>
  <c r="N18" i="710"/>
  <c r="O18" i="710"/>
  <c r="P18" i="710"/>
  <c r="Q18" i="710"/>
  <c r="R18" i="710"/>
  <c r="S18" i="710"/>
  <c r="T18" i="710"/>
  <c r="U18" i="710"/>
  <c r="V18" i="710"/>
  <c r="W18" i="710"/>
  <c r="X18" i="710"/>
  <c r="Y18" i="710"/>
  <c r="Z18" i="710"/>
  <c r="AA18" i="710"/>
  <c r="AB18" i="710"/>
  <c r="AC18" i="710"/>
  <c r="AD18" i="710"/>
  <c r="G19" i="710"/>
  <c r="H19" i="710"/>
  <c r="I19" i="710"/>
  <c r="J19" i="710"/>
  <c r="K19" i="710"/>
  <c r="L19" i="710"/>
  <c r="M19" i="710"/>
  <c r="N19" i="710"/>
  <c r="O19" i="710"/>
  <c r="P19" i="710"/>
  <c r="Q19" i="710"/>
  <c r="R19" i="710"/>
  <c r="S19" i="710"/>
  <c r="T19" i="710"/>
  <c r="U19" i="710"/>
  <c r="V19" i="710"/>
  <c r="W19" i="710"/>
  <c r="X19" i="710"/>
  <c r="Y19" i="710"/>
  <c r="Z19" i="710"/>
  <c r="AA19" i="710"/>
  <c r="AB19" i="710"/>
  <c r="AC19" i="710"/>
  <c r="AD19" i="710"/>
  <c r="G20" i="710"/>
  <c r="H20" i="710"/>
  <c r="I20" i="710"/>
  <c r="J20" i="710"/>
  <c r="K20" i="710"/>
  <c r="L20" i="710"/>
  <c r="M20" i="710"/>
  <c r="N20" i="710"/>
  <c r="O20" i="710"/>
  <c r="P20" i="710"/>
  <c r="Q20" i="710"/>
  <c r="R20" i="710"/>
  <c r="S20" i="710"/>
  <c r="T20" i="710"/>
  <c r="U20" i="710"/>
  <c r="V20" i="710"/>
  <c r="W20" i="710"/>
  <c r="X20" i="710"/>
  <c r="Y20" i="710"/>
  <c r="Z20" i="710"/>
  <c r="AA20" i="710"/>
  <c r="AB20" i="710"/>
  <c r="AC20" i="710"/>
  <c r="AD20" i="710"/>
  <c r="G21" i="710"/>
  <c r="H21" i="710"/>
  <c r="I21" i="710"/>
  <c r="J21" i="710"/>
  <c r="K21" i="710"/>
  <c r="L21" i="710"/>
  <c r="M21" i="710"/>
  <c r="N21" i="710"/>
  <c r="O21" i="710"/>
  <c r="P21" i="710"/>
  <c r="Q21" i="710"/>
  <c r="R21" i="710"/>
  <c r="S21" i="710"/>
  <c r="T21" i="710"/>
  <c r="U21" i="710"/>
  <c r="V21" i="710"/>
  <c r="W21" i="710"/>
  <c r="X21" i="710"/>
  <c r="Y21" i="710"/>
  <c r="Z21" i="710"/>
  <c r="AA21" i="710"/>
  <c r="AB21" i="710"/>
  <c r="AC21" i="710"/>
  <c r="AD21" i="710"/>
  <c r="G22" i="710"/>
  <c r="H22" i="710"/>
  <c r="I22" i="710"/>
  <c r="J22" i="710"/>
  <c r="K22" i="710"/>
  <c r="L22" i="710"/>
  <c r="M22" i="710"/>
  <c r="N22" i="710"/>
  <c r="O22" i="710"/>
  <c r="P22" i="710"/>
  <c r="Q22" i="710"/>
  <c r="R22" i="710"/>
  <c r="S22" i="710"/>
  <c r="T22" i="710"/>
  <c r="U22" i="710"/>
  <c r="V22" i="710"/>
  <c r="W22" i="710"/>
  <c r="X22" i="710"/>
  <c r="Y22" i="710"/>
  <c r="Z22" i="710"/>
  <c r="AA22" i="710"/>
  <c r="AB22" i="710"/>
  <c r="AC22" i="710"/>
  <c r="AD22" i="710"/>
  <c r="G23" i="710"/>
  <c r="H23" i="710"/>
  <c r="I23" i="710"/>
  <c r="J23" i="710"/>
  <c r="K23" i="710"/>
  <c r="L23" i="710"/>
  <c r="M23" i="710"/>
  <c r="N23" i="710"/>
  <c r="O23" i="710"/>
  <c r="P23" i="710"/>
  <c r="Q23" i="710"/>
  <c r="R23" i="710"/>
  <c r="S23" i="710"/>
  <c r="T23" i="710"/>
  <c r="U23" i="710"/>
  <c r="V23" i="710"/>
  <c r="W23" i="710"/>
  <c r="X23" i="710"/>
  <c r="Y23" i="710"/>
  <c r="Z23" i="710"/>
  <c r="AA23" i="710"/>
  <c r="AB23" i="710"/>
  <c r="AC23" i="710"/>
  <c r="AD23" i="710"/>
  <c r="G24" i="710"/>
  <c r="H24" i="710"/>
  <c r="I24" i="710"/>
  <c r="J24" i="710"/>
  <c r="K24" i="710"/>
  <c r="L24" i="710"/>
  <c r="M24" i="710"/>
  <c r="N24" i="710"/>
  <c r="O24" i="710"/>
  <c r="P24" i="710"/>
  <c r="Q24" i="710"/>
  <c r="R24" i="710"/>
  <c r="S24" i="710"/>
  <c r="T24" i="710"/>
  <c r="U24" i="710"/>
  <c r="V24" i="710"/>
  <c r="W24" i="710"/>
  <c r="X24" i="710"/>
  <c r="Y24" i="710"/>
  <c r="Z24" i="710"/>
  <c r="AA24" i="710"/>
  <c r="AB24" i="710"/>
  <c r="AC24" i="710"/>
  <c r="AD24" i="710"/>
  <c r="AD7" i="710"/>
  <c r="AC7" i="710"/>
  <c r="AB7" i="710"/>
  <c r="AA7" i="710"/>
  <c r="Z7" i="710"/>
  <c r="Y7" i="710"/>
  <c r="X7" i="710"/>
  <c r="W7" i="710"/>
  <c r="V7" i="710"/>
  <c r="U7" i="710"/>
  <c r="T7" i="710"/>
  <c r="S7" i="710"/>
  <c r="R7" i="710"/>
  <c r="Q7" i="710"/>
  <c r="P7" i="710"/>
  <c r="O7" i="710"/>
  <c r="N7" i="710"/>
  <c r="M7" i="710"/>
  <c r="L7" i="710"/>
  <c r="K7" i="710"/>
  <c r="J7" i="710"/>
  <c r="I7" i="710"/>
  <c r="H7" i="710"/>
  <c r="G7" i="710"/>
  <c r="F8" i="710"/>
  <c r="F9" i="710"/>
  <c r="F10" i="710"/>
  <c r="F11" i="710"/>
  <c r="F12" i="710"/>
  <c r="F13" i="710"/>
  <c r="F14" i="710"/>
  <c r="F15" i="710"/>
  <c r="F16" i="710"/>
  <c r="F17" i="710"/>
  <c r="F18" i="710"/>
  <c r="F19" i="710"/>
  <c r="F20" i="710"/>
  <c r="F21" i="710"/>
  <c r="F22" i="710"/>
  <c r="F23" i="710"/>
  <c r="F24" i="710"/>
  <c r="F7" i="710"/>
  <c r="E8" i="710"/>
  <c r="E9" i="710"/>
  <c r="E10" i="710"/>
  <c r="E11" i="710"/>
  <c r="E12" i="710"/>
  <c r="E13" i="710"/>
  <c r="E14" i="710"/>
  <c r="E15" i="710"/>
  <c r="E16" i="710"/>
  <c r="E17" i="710"/>
  <c r="E18" i="710"/>
  <c r="E19" i="710"/>
  <c r="E20" i="710"/>
  <c r="E21" i="710"/>
  <c r="E22" i="710"/>
  <c r="E23" i="710"/>
  <c r="E24" i="710"/>
  <c r="E7" i="710"/>
  <c r="D8" i="792"/>
  <c r="D9" i="792"/>
  <c r="D10" i="792"/>
  <c r="D11" i="792"/>
  <c r="D12" i="792"/>
  <c r="D13" i="792"/>
  <c r="D14" i="792"/>
  <c r="D15" i="792"/>
  <c r="D16" i="792"/>
  <c r="D17" i="792"/>
  <c r="D18" i="792"/>
  <c r="D19" i="792"/>
  <c r="D20" i="792"/>
  <c r="D21" i="792"/>
  <c r="D22" i="792"/>
  <c r="D23" i="792"/>
  <c r="D24" i="792"/>
  <c r="D25" i="792"/>
  <c r="D26" i="792"/>
  <c r="D7" i="792"/>
  <c r="D4" i="792"/>
  <c r="X7" i="793" l="1"/>
  <c r="X27" i="793" s="1"/>
  <c r="V27" i="793"/>
  <c r="S27" i="792"/>
  <c r="R27" i="792"/>
  <c r="Q27" i="792"/>
  <c r="P27" i="792"/>
  <c r="O27" i="792"/>
  <c r="N27" i="792"/>
  <c r="M27" i="792"/>
  <c r="L27" i="792"/>
  <c r="K27" i="792"/>
  <c r="J27" i="792"/>
  <c r="I27" i="792"/>
  <c r="H27" i="792"/>
  <c r="G27" i="792"/>
  <c r="F27" i="792"/>
  <c r="E27" i="792"/>
  <c r="X26" i="792"/>
  <c r="U26" i="792"/>
  <c r="X25" i="792"/>
  <c r="U25" i="792"/>
  <c r="U24" i="792"/>
  <c r="AD24" i="712" s="1"/>
  <c r="V24" i="792"/>
  <c r="X24" i="792" s="1"/>
  <c r="U23" i="792"/>
  <c r="AD23" i="712" s="1"/>
  <c r="V23" i="792"/>
  <c r="X23" i="792" s="1"/>
  <c r="U22" i="792"/>
  <c r="AD22" i="712" s="1"/>
  <c r="V22" i="792"/>
  <c r="X22" i="792" s="1"/>
  <c r="U21" i="792"/>
  <c r="AD21" i="712" s="1"/>
  <c r="V21" i="792"/>
  <c r="X21" i="792" s="1"/>
  <c r="U20" i="792"/>
  <c r="AD20" i="712" s="1"/>
  <c r="V20" i="792"/>
  <c r="X20" i="792" s="1"/>
  <c r="U19" i="792"/>
  <c r="AD19" i="712" s="1"/>
  <c r="V19" i="792"/>
  <c r="X19" i="792" s="1"/>
  <c r="U18" i="792"/>
  <c r="AD18" i="712" s="1"/>
  <c r="V18" i="792"/>
  <c r="X18" i="792" s="1"/>
  <c r="U17" i="792"/>
  <c r="AD17" i="712" s="1"/>
  <c r="V17" i="792"/>
  <c r="X17" i="792" s="1"/>
  <c r="U16" i="792"/>
  <c r="AD16" i="712" s="1"/>
  <c r="V16" i="792"/>
  <c r="X16" i="792" s="1"/>
  <c r="U15" i="792"/>
  <c r="AD15" i="712" s="1"/>
  <c r="V15" i="792"/>
  <c r="X15" i="792" s="1"/>
  <c r="U14" i="792"/>
  <c r="AD14" i="712" s="1"/>
  <c r="V14" i="792"/>
  <c r="X14" i="792" s="1"/>
  <c r="U13" i="792"/>
  <c r="AD13" i="712" s="1"/>
  <c r="V13" i="792"/>
  <c r="X13" i="792" s="1"/>
  <c r="U12" i="792"/>
  <c r="AD12" i="712" s="1"/>
  <c r="V12" i="792"/>
  <c r="X12" i="792" s="1"/>
  <c r="U11" i="792"/>
  <c r="AD11" i="712" s="1"/>
  <c r="V11" i="792"/>
  <c r="X11" i="792" s="1"/>
  <c r="U10" i="792"/>
  <c r="AD10" i="712" s="1"/>
  <c r="V10" i="792"/>
  <c r="X10" i="792" s="1"/>
  <c r="U9" i="792"/>
  <c r="AD9" i="712" s="1"/>
  <c r="V9" i="792"/>
  <c r="X9" i="792" s="1"/>
  <c r="U8" i="792"/>
  <c r="AD8" i="712" s="1"/>
  <c r="V8" i="792"/>
  <c r="X8" i="792" s="1"/>
  <c r="U7" i="792"/>
  <c r="AD7" i="712" s="1"/>
  <c r="E4" i="792"/>
  <c r="D27" i="792" l="1"/>
  <c r="V7" i="792"/>
  <c r="D8" i="791"/>
  <c r="V8" i="791" s="1"/>
  <c r="X8" i="791" s="1"/>
  <c r="D9" i="791"/>
  <c r="D10" i="791"/>
  <c r="D11" i="791"/>
  <c r="D12" i="791"/>
  <c r="V12" i="791" s="1"/>
  <c r="X12" i="791" s="1"/>
  <c r="D13" i="791"/>
  <c r="D14" i="791"/>
  <c r="V14" i="791" s="1"/>
  <c r="X14" i="791" s="1"/>
  <c r="D15" i="791"/>
  <c r="D16" i="791"/>
  <c r="V16" i="791" s="1"/>
  <c r="X16" i="791" s="1"/>
  <c r="D17" i="791"/>
  <c r="D18" i="791"/>
  <c r="V18" i="791" s="1"/>
  <c r="X18" i="791" s="1"/>
  <c r="D19" i="791"/>
  <c r="D20" i="791"/>
  <c r="D21" i="791"/>
  <c r="D22" i="791"/>
  <c r="D23" i="791"/>
  <c r="D24" i="791"/>
  <c r="V24" i="791" s="1"/>
  <c r="X24" i="791" s="1"/>
  <c r="D25" i="791"/>
  <c r="D26" i="791"/>
  <c r="D7" i="791"/>
  <c r="D4" i="791"/>
  <c r="E4" i="791" s="1"/>
  <c r="S27" i="791"/>
  <c r="R27" i="791"/>
  <c r="Q27" i="791"/>
  <c r="P27" i="791"/>
  <c r="O27" i="791"/>
  <c r="N27" i="791"/>
  <c r="M27" i="791"/>
  <c r="L27" i="791"/>
  <c r="K27" i="791"/>
  <c r="J27" i="791"/>
  <c r="I27" i="791"/>
  <c r="H27" i="791"/>
  <c r="G27" i="791"/>
  <c r="F27" i="791"/>
  <c r="E27" i="791"/>
  <c r="X26" i="791"/>
  <c r="U26" i="791"/>
  <c r="X25" i="791"/>
  <c r="U25" i="791"/>
  <c r="U24" i="791"/>
  <c r="AC24" i="712" s="1"/>
  <c r="U23" i="791"/>
  <c r="AC23" i="712" s="1"/>
  <c r="V23" i="791"/>
  <c r="X23" i="791" s="1"/>
  <c r="U22" i="791"/>
  <c r="AC22" i="712" s="1"/>
  <c r="V22" i="791"/>
  <c r="X22" i="791" s="1"/>
  <c r="U21" i="791"/>
  <c r="AC21" i="712" s="1"/>
  <c r="V21" i="791"/>
  <c r="X21" i="791" s="1"/>
  <c r="U20" i="791"/>
  <c r="AC20" i="712" s="1"/>
  <c r="V20" i="791"/>
  <c r="X20" i="791" s="1"/>
  <c r="U19" i="791"/>
  <c r="AC19" i="712" s="1"/>
  <c r="V19" i="791"/>
  <c r="X19" i="791" s="1"/>
  <c r="U18" i="791"/>
  <c r="AC18" i="712" s="1"/>
  <c r="U17" i="791"/>
  <c r="AC17" i="712" s="1"/>
  <c r="V17" i="791"/>
  <c r="X17" i="791" s="1"/>
  <c r="U16" i="791"/>
  <c r="AC16" i="712" s="1"/>
  <c r="U15" i="791"/>
  <c r="AC15" i="712" s="1"/>
  <c r="V15" i="791"/>
  <c r="X15" i="791" s="1"/>
  <c r="U14" i="791"/>
  <c r="AC14" i="712" s="1"/>
  <c r="U13" i="791"/>
  <c r="AC13" i="712" s="1"/>
  <c r="V13" i="791"/>
  <c r="X13" i="791" s="1"/>
  <c r="U12" i="791"/>
  <c r="AC12" i="712" s="1"/>
  <c r="U11" i="791"/>
  <c r="AC11" i="712" s="1"/>
  <c r="V11" i="791"/>
  <c r="X11" i="791" s="1"/>
  <c r="U10" i="791"/>
  <c r="AC10" i="712" s="1"/>
  <c r="V10" i="791"/>
  <c r="X10" i="791" s="1"/>
  <c r="U9" i="791"/>
  <c r="AC9" i="712" s="1"/>
  <c r="V9" i="791"/>
  <c r="X9" i="791" s="1"/>
  <c r="U8" i="791"/>
  <c r="AC8" i="712" s="1"/>
  <c r="U7" i="791"/>
  <c r="AC7" i="712" s="1"/>
  <c r="D8" i="790"/>
  <c r="D27" i="790" s="1"/>
  <c r="D9" i="790"/>
  <c r="D10" i="790"/>
  <c r="D11" i="790"/>
  <c r="D12" i="790"/>
  <c r="V12" i="790" s="1"/>
  <c r="X12" i="790" s="1"/>
  <c r="D13" i="790"/>
  <c r="D14" i="790"/>
  <c r="D15" i="790"/>
  <c r="D16" i="790"/>
  <c r="V16" i="790" s="1"/>
  <c r="X16" i="790" s="1"/>
  <c r="D17" i="790"/>
  <c r="D18" i="790"/>
  <c r="V18" i="790" s="1"/>
  <c r="X18" i="790" s="1"/>
  <c r="D19" i="790"/>
  <c r="D20" i="790"/>
  <c r="V20" i="790" s="1"/>
  <c r="X20" i="790" s="1"/>
  <c r="D21" i="790"/>
  <c r="D22" i="790"/>
  <c r="V22" i="790" s="1"/>
  <c r="X22" i="790" s="1"/>
  <c r="D23" i="790"/>
  <c r="D24" i="790"/>
  <c r="V24" i="790" s="1"/>
  <c r="X24" i="790" s="1"/>
  <c r="D25" i="790"/>
  <c r="D26" i="790"/>
  <c r="D7" i="790"/>
  <c r="D4" i="790"/>
  <c r="S27" i="790"/>
  <c r="R27" i="790"/>
  <c r="Q27" i="790"/>
  <c r="P27" i="790"/>
  <c r="O27" i="790"/>
  <c r="N27" i="790"/>
  <c r="M27" i="790"/>
  <c r="L27" i="790"/>
  <c r="K27" i="790"/>
  <c r="J27" i="790"/>
  <c r="I27" i="790"/>
  <c r="H27" i="790"/>
  <c r="G27" i="790"/>
  <c r="F27" i="790"/>
  <c r="E27" i="790"/>
  <c r="X26" i="790"/>
  <c r="U26" i="790"/>
  <c r="X25" i="790"/>
  <c r="U25" i="790"/>
  <c r="U24" i="790"/>
  <c r="AB24" i="712" s="1"/>
  <c r="U23" i="790"/>
  <c r="AB23" i="712" s="1"/>
  <c r="V23" i="790"/>
  <c r="X23" i="790" s="1"/>
  <c r="U22" i="790"/>
  <c r="AB22" i="712" s="1"/>
  <c r="U21" i="790"/>
  <c r="AB21" i="712" s="1"/>
  <c r="V21" i="790"/>
  <c r="X21" i="790" s="1"/>
  <c r="U20" i="790"/>
  <c r="AB20" i="712" s="1"/>
  <c r="U19" i="790"/>
  <c r="AB19" i="712" s="1"/>
  <c r="V19" i="790"/>
  <c r="X19" i="790" s="1"/>
  <c r="U18" i="790"/>
  <c r="AB18" i="712" s="1"/>
  <c r="U17" i="790"/>
  <c r="AB17" i="712" s="1"/>
  <c r="V17" i="790"/>
  <c r="X17" i="790" s="1"/>
  <c r="U16" i="790"/>
  <c r="AB16" i="712" s="1"/>
  <c r="U15" i="790"/>
  <c r="AB15" i="712" s="1"/>
  <c r="V15" i="790"/>
  <c r="X15" i="790" s="1"/>
  <c r="U14" i="790"/>
  <c r="AB14" i="712" s="1"/>
  <c r="V14" i="790"/>
  <c r="X14" i="790" s="1"/>
  <c r="U13" i="790"/>
  <c r="AB13" i="712" s="1"/>
  <c r="V13" i="790"/>
  <c r="X13" i="790" s="1"/>
  <c r="U12" i="790"/>
  <c r="AB12" i="712" s="1"/>
  <c r="U11" i="790"/>
  <c r="AB11" i="712" s="1"/>
  <c r="V11" i="790"/>
  <c r="X11" i="790" s="1"/>
  <c r="U10" i="790"/>
  <c r="AB10" i="712" s="1"/>
  <c r="V10" i="790"/>
  <c r="X10" i="790" s="1"/>
  <c r="U9" i="790"/>
  <c r="AB9" i="712" s="1"/>
  <c r="V9" i="790"/>
  <c r="X9" i="790" s="1"/>
  <c r="U8" i="790"/>
  <c r="AB8" i="712" s="1"/>
  <c r="U7" i="790"/>
  <c r="AB7" i="712" s="1"/>
  <c r="E4" i="790"/>
  <c r="D8" i="789"/>
  <c r="D9" i="789"/>
  <c r="V9" i="789" s="1"/>
  <c r="X9" i="789" s="1"/>
  <c r="D10" i="789"/>
  <c r="D11" i="789"/>
  <c r="V11" i="789" s="1"/>
  <c r="X11" i="789" s="1"/>
  <c r="D12" i="789"/>
  <c r="D13" i="789"/>
  <c r="V13" i="789" s="1"/>
  <c r="X13" i="789" s="1"/>
  <c r="D14" i="789"/>
  <c r="D15" i="789"/>
  <c r="V15" i="789" s="1"/>
  <c r="X15" i="789" s="1"/>
  <c r="D16" i="789"/>
  <c r="D17" i="789"/>
  <c r="V17" i="789" s="1"/>
  <c r="X17" i="789" s="1"/>
  <c r="D18" i="789"/>
  <c r="D19" i="789"/>
  <c r="V19" i="789" s="1"/>
  <c r="X19" i="789" s="1"/>
  <c r="D20" i="789"/>
  <c r="D21" i="789"/>
  <c r="V21" i="789" s="1"/>
  <c r="X21" i="789" s="1"/>
  <c r="D22" i="789"/>
  <c r="V22" i="789" s="1"/>
  <c r="X22" i="789" s="1"/>
  <c r="D23" i="789"/>
  <c r="V23" i="789" s="1"/>
  <c r="X23" i="789" s="1"/>
  <c r="D24" i="789"/>
  <c r="V24" i="789" s="1"/>
  <c r="X24" i="789" s="1"/>
  <c r="D25" i="789"/>
  <c r="D26" i="789"/>
  <c r="D7" i="789"/>
  <c r="D4" i="789"/>
  <c r="E4" i="789" s="1"/>
  <c r="S27" i="789"/>
  <c r="R27" i="789"/>
  <c r="Q27" i="789"/>
  <c r="P27" i="789"/>
  <c r="O27" i="789"/>
  <c r="N27" i="789"/>
  <c r="M27" i="789"/>
  <c r="L27" i="789"/>
  <c r="K27" i="789"/>
  <c r="J27" i="789"/>
  <c r="I27" i="789"/>
  <c r="H27" i="789"/>
  <c r="G27" i="789"/>
  <c r="F27" i="789"/>
  <c r="E27" i="789"/>
  <c r="X26" i="789"/>
  <c r="U26" i="789"/>
  <c r="X25" i="789"/>
  <c r="U25" i="789"/>
  <c r="U24" i="789"/>
  <c r="AA24" i="712" s="1"/>
  <c r="U23" i="789"/>
  <c r="AA23" i="712" s="1"/>
  <c r="U22" i="789"/>
  <c r="AA22" i="712" s="1"/>
  <c r="U21" i="789"/>
  <c r="AA21" i="712" s="1"/>
  <c r="U20" i="789"/>
  <c r="AA20" i="712" s="1"/>
  <c r="V20" i="789"/>
  <c r="X20" i="789" s="1"/>
  <c r="U19" i="789"/>
  <c r="AA19" i="712" s="1"/>
  <c r="U18" i="789"/>
  <c r="AA18" i="712" s="1"/>
  <c r="V18" i="789"/>
  <c r="X18" i="789" s="1"/>
  <c r="U17" i="789"/>
  <c r="AA17" i="712" s="1"/>
  <c r="U16" i="789"/>
  <c r="AA16" i="712" s="1"/>
  <c r="V16" i="789"/>
  <c r="X16" i="789" s="1"/>
  <c r="U15" i="789"/>
  <c r="AA15" i="712" s="1"/>
  <c r="U14" i="789"/>
  <c r="AA14" i="712" s="1"/>
  <c r="V14" i="789"/>
  <c r="X14" i="789" s="1"/>
  <c r="U13" i="789"/>
  <c r="AA13" i="712" s="1"/>
  <c r="U12" i="789"/>
  <c r="AA12" i="712" s="1"/>
  <c r="V12" i="789"/>
  <c r="X12" i="789" s="1"/>
  <c r="U11" i="789"/>
  <c r="AA11" i="712" s="1"/>
  <c r="U10" i="789"/>
  <c r="AA10" i="712" s="1"/>
  <c r="V10" i="789"/>
  <c r="X10" i="789" s="1"/>
  <c r="U9" i="789"/>
  <c r="AA9" i="712" s="1"/>
  <c r="U8" i="789"/>
  <c r="AA8" i="712" s="1"/>
  <c r="V8" i="789"/>
  <c r="X8" i="789" s="1"/>
  <c r="U7" i="789"/>
  <c r="AA7" i="712" s="1"/>
  <c r="V8" i="790" l="1"/>
  <c r="X8" i="790" s="1"/>
  <c r="D27" i="791"/>
  <c r="X7" i="792"/>
  <c r="X27" i="792" s="1"/>
  <c r="V27" i="792"/>
  <c r="D27" i="789"/>
  <c r="V7" i="791"/>
  <c r="V7" i="790"/>
  <c r="V7" i="789"/>
  <c r="D8" i="788"/>
  <c r="D9" i="788"/>
  <c r="D10" i="788"/>
  <c r="V10" i="788" s="1"/>
  <c r="X10" i="788" s="1"/>
  <c r="D11" i="788"/>
  <c r="D12" i="788"/>
  <c r="D13" i="788"/>
  <c r="D14" i="788"/>
  <c r="V14" i="788" s="1"/>
  <c r="X14" i="788" s="1"/>
  <c r="D15" i="788"/>
  <c r="D16" i="788"/>
  <c r="D17" i="788"/>
  <c r="D18" i="788"/>
  <c r="V18" i="788" s="1"/>
  <c r="X18" i="788" s="1"/>
  <c r="D19" i="788"/>
  <c r="D20" i="788"/>
  <c r="D21" i="788"/>
  <c r="V21" i="788" s="1"/>
  <c r="X21" i="788" s="1"/>
  <c r="D22" i="788"/>
  <c r="V22" i="788" s="1"/>
  <c r="X22" i="788" s="1"/>
  <c r="D23" i="788"/>
  <c r="D24" i="788"/>
  <c r="D25" i="788"/>
  <c r="D26" i="788"/>
  <c r="D7" i="788"/>
  <c r="D4" i="788"/>
  <c r="E4" i="788" s="1"/>
  <c r="S27" i="788"/>
  <c r="R27" i="788"/>
  <c r="Q27" i="788"/>
  <c r="P27" i="788"/>
  <c r="O27" i="788"/>
  <c r="N27" i="788"/>
  <c r="M27" i="788"/>
  <c r="L27" i="788"/>
  <c r="K27" i="788"/>
  <c r="J27" i="788"/>
  <c r="I27" i="788"/>
  <c r="H27" i="788"/>
  <c r="G27" i="788"/>
  <c r="F27" i="788"/>
  <c r="E27" i="788"/>
  <c r="X26" i="788"/>
  <c r="U26" i="788"/>
  <c r="X25" i="788"/>
  <c r="U25" i="788"/>
  <c r="U24" i="788"/>
  <c r="Z24" i="712" s="1"/>
  <c r="V24" i="788"/>
  <c r="X24" i="788" s="1"/>
  <c r="U23" i="788"/>
  <c r="Z23" i="712" s="1"/>
  <c r="V23" i="788"/>
  <c r="X23" i="788" s="1"/>
  <c r="U22" i="788"/>
  <c r="Z22" i="712" s="1"/>
  <c r="U21" i="788"/>
  <c r="Z21" i="712" s="1"/>
  <c r="U20" i="788"/>
  <c r="Z20" i="712" s="1"/>
  <c r="V20" i="788"/>
  <c r="X20" i="788" s="1"/>
  <c r="U19" i="788"/>
  <c r="Z19" i="712" s="1"/>
  <c r="V19" i="788"/>
  <c r="X19" i="788" s="1"/>
  <c r="U18" i="788"/>
  <c r="Z18" i="712" s="1"/>
  <c r="U17" i="788"/>
  <c r="Z17" i="712" s="1"/>
  <c r="V17" i="788"/>
  <c r="X17" i="788" s="1"/>
  <c r="U16" i="788"/>
  <c r="Z16" i="712" s="1"/>
  <c r="V16" i="788"/>
  <c r="X16" i="788" s="1"/>
  <c r="U15" i="788"/>
  <c r="Z15" i="712" s="1"/>
  <c r="V15" i="788"/>
  <c r="X15" i="788" s="1"/>
  <c r="U14" i="788"/>
  <c r="Z14" i="712" s="1"/>
  <c r="U13" i="788"/>
  <c r="Z13" i="712" s="1"/>
  <c r="V13" i="788"/>
  <c r="X13" i="788" s="1"/>
  <c r="U12" i="788"/>
  <c r="Z12" i="712" s="1"/>
  <c r="V12" i="788"/>
  <c r="X12" i="788" s="1"/>
  <c r="U11" i="788"/>
  <c r="Z11" i="712" s="1"/>
  <c r="V11" i="788"/>
  <c r="X11" i="788" s="1"/>
  <c r="U10" i="788"/>
  <c r="Z10" i="712" s="1"/>
  <c r="U9" i="788"/>
  <c r="Z9" i="712" s="1"/>
  <c r="V9" i="788"/>
  <c r="X9" i="788" s="1"/>
  <c r="U8" i="788"/>
  <c r="Z8" i="712" s="1"/>
  <c r="V8" i="788"/>
  <c r="X8" i="788" s="1"/>
  <c r="U7" i="788"/>
  <c r="Z7" i="712" s="1"/>
  <c r="D27" i="788"/>
  <c r="X7" i="791" l="1"/>
  <c r="X27" i="791" s="1"/>
  <c r="V27" i="791"/>
  <c r="X7" i="790"/>
  <c r="X27" i="790" s="1"/>
  <c r="V27" i="790"/>
  <c r="X7" i="789"/>
  <c r="X27" i="789" s="1"/>
  <c r="V27" i="789"/>
  <c r="V7" i="788"/>
  <c r="D8" i="787"/>
  <c r="D9" i="787"/>
  <c r="D10" i="787"/>
  <c r="D11" i="787"/>
  <c r="V11" i="787" s="1"/>
  <c r="X11" i="787" s="1"/>
  <c r="D12" i="787"/>
  <c r="D13" i="787"/>
  <c r="D14" i="787"/>
  <c r="D15" i="787"/>
  <c r="V15" i="787" s="1"/>
  <c r="X15" i="787" s="1"/>
  <c r="D16" i="787"/>
  <c r="D17" i="787"/>
  <c r="D18" i="787"/>
  <c r="D19" i="787"/>
  <c r="V19" i="787" s="1"/>
  <c r="X19" i="787" s="1"/>
  <c r="D20" i="787"/>
  <c r="D21" i="787"/>
  <c r="V21" i="787" s="1"/>
  <c r="X21" i="787" s="1"/>
  <c r="D22" i="787"/>
  <c r="D23" i="787"/>
  <c r="V23" i="787" s="1"/>
  <c r="X23" i="787" s="1"/>
  <c r="D24" i="787"/>
  <c r="V24" i="787" s="1"/>
  <c r="X24" i="787" s="1"/>
  <c r="D25" i="787"/>
  <c r="D26" i="787"/>
  <c r="D7" i="787"/>
  <c r="D27" i="787" s="1"/>
  <c r="D4" i="787"/>
  <c r="S27" i="787"/>
  <c r="R27" i="787"/>
  <c r="Q27" i="787"/>
  <c r="P27" i="787"/>
  <c r="O27" i="787"/>
  <c r="N27" i="787"/>
  <c r="M27" i="787"/>
  <c r="L27" i="787"/>
  <c r="K27" i="787"/>
  <c r="J27" i="787"/>
  <c r="I27" i="787"/>
  <c r="H27" i="787"/>
  <c r="G27" i="787"/>
  <c r="F27" i="787"/>
  <c r="E27" i="787"/>
  <c r="X26" i="787"/>
  <c r="U26" i="787"/>
  <c r="X25" i="787"/>
  <c r="U25" i="787"/>
  <c r="U24" i="787"/>
  <c r="Y24" i="712" s="1"/>
  <c r="U23" i="787"/>
  <c r="Y23" i="712" s="1"/>
  <c r="U22" i="787"/>
  <c r="Y22" i="712" s="1"/>
  <c r="V22" i="787"/>
  <c r="X22" i="787" s="1"/>
  <c r="U21" i="787"/>
  <c r="Y21" i="712" s="1"/>
  <c r="U20" i="787"/>
  <c r="Y20" i="712" s="1"/>
  <c r="V20" i="787"/>
  <c r="X20" i="787" s="1"/>
  <c r="U19" i="787"/>
  <c r="Y19" i="712" s="1"/>
  <c r="U18" i="787"/>
  <c r="Y18" i="712" s="1"/>
  <c r="V18" i="787"/>
  <c r="X18" i="787" s="1"/>
  <c r="U17" i="787"/>
  <c r="Y17" i="712" s="1"/>
  <c r="V17" i="787"/>
  <c r="X17" i="787" s="1"/>
  <c r="U16" i="787"/>
  <c r="Y16" i="712" s="1"/>
  <c r="V16" i="787"/>
  <c r="X16" i="787" s="1"/>
  <c r="U15" i="787"/>
  <c r="Y15" i="712" s="1"/>
  <c r="U14" i="787"/>
  <c r="Y14" i="712" s="1"/>
  <c r="V14" i="787"/>
  <c r="X14" i="787" s="1"/>
  <c r="U13" i="787"/>
  <c r="Y13" i="712" s="1"/>
  <c r="V13" i="787"/>
  <c r="X13" i="787" s="1"/>
  <c r="U12" i="787"/>
  <c r="Y12" i="712" s="1"/>
  <c r="V12" i="787"/>
  <c r="X12" i="787" s="1"/>
  <c r="U11" i="787"/>
  <c r="Y11" i="712" s="1"/>
  <c r="U10" i="787"/>
  <c r="Y10" i="712" s="1"/>
  <c r="V10" i="787"/>
  <c r="X10" i="787" s="1"/>
  <c r="U9" i="787"/>
  <c r="Y9" i="712" s="1"/>
  <c r="V9" i="787"/>
  <c r="X9" i="787" s="1"/>
  <c r="U8" i="787"/>
  <c r="Y8" i="712" s="1"/>
  <c r="V8" i="787"/>
  <c r="X8" i="787" s="1"/>
  <c r="U7" i="787"/>
  <c r="Y7" i="712" s="1"/>
  <c r="E4" i="787"/>
  <c r="D8" i="786"/>
  <c r="D9" i="786"/>
  <c r="V9" i="786" s="1"/>
  <c r="X9" i="786" s="1"/>
  <c r="D10" i="786"/>
  <c r="D11" i="786"/>
  <c r="V11" i="786" s="1"/>
  <c r="X11" i="786" s="1"/>
  <c r="D12" i="786"/>
  <c r="V12" i="786" s="1"/>
  <c r="X12" i="786" s="1"/>
  <c r="D13" i="786"/>
  <c r="V13" i="786" s="1"/>
  <c r="X13" i="786" s="1"/>
  <c r="D14" i="786"/>
  <c r="D15" i="786"/>
  <c r="V15" i="786" s="1"/>
  <c r="X15" i="786" s="1"/>
  <c r="D16" i="786"/>
  <c r="D17" i="786"/>
  <c r="V17" i="786" s="1"/>
  <c r="X17" i="786" s="1"/>
  <c r="D18" i="786"/>
  <c r="D19" i="786"/>
  <c r="V19" i="786" s="1"/>
  <c r="X19" i="786" s="1"/>
  <c r="D20" i="786"/>
  <c r="V20" i="786" s="1"/>
  <c r="X20" i="786" s="1"/>
  <c r="D21" i="786"/>
  <c r="V21" i="786" s="1"/>
  <c r="X21" i="786" s="1"/>
  <c r="D22" i="786"/>
  <c r="D23" i="786"/>
  <c r="V23" i="786" s="1"/>
  <c r="X23" i="786" s="1"/>
  <c r="D24" i="786"/>
  <c r="V24" i="786" s="1"/>
  <c r="X24" i="786" s="1"/>
  <c r="D25" i="786"/>
  <c r="D26" i="786"/>
  <c r="D7" i="786"/>
  <c r="D4" i="786"/>
  <c r="E4" i="786" s="1"/>
  <c r="S27" i="786"/>
  <c r="R27" i="786"/>
  <c r="Q27" i="786"/>
  <c r="P27" i="786"/>
  <c r="O27" i="786"/>
  <c r="N27" i="786"/>
  <c r="M27" i="786"/>
  <c r="L27" i="786"/>
  <c r="K27" i="786"/>
  <c r="J27" i="786"/>
  <c r="I27" i="786"/>
  <c r="H27" i="786"/>
  <c r="G27" i="786"/>
  <c r="F27" i="786"/>
  <c r="E27" i="786"/>
  <c r="X26" i="786"/>
  <c r="U26" i="786"/>
  <c r="X25" i="786"/>
  <c r="U25" i="786"/>
  <c r="U24" i="786"/>
  <c r="X24" i="712" s="1"/>
  <c r="U23" i="786"/>
  <c r="X23" i="712" s="1"/>
  <c r="U22" i="786"/>
  <c r="X22" i="712" s="1"/>
  <c r="V22" i="786"/>
  <c r="X22" i="786" s="1"/>
  <c r="U21" i="786"/>
  <c r="X21" i="712" s="1"/>
  <c r="U20" i="786"/>
  <c r="X20" i="712" s="1"/>
  <c r="U19" i="786"/>
  <c r="X19" i="712" s="1"/>
  <c r="U18" i="786"/>
  <c r="X18" i="712" s="1"/>
  <c r="V18" i="786"/>
  <c r="X18" i="786" s="1"/>
  <c r="U17" i="786"/>
  <c r="X17" i="712" s="1"/>
  <c r="U16" i="786"/>
  <c r="X16" i="712" s="1"/>
  <c r="V16" i="786"/>
  <c r="X16" i="786" s="1"/>
  <c r="U15" i="786"/>
  <c r="X15" i="712" s="1"/>
  <c r="U14" i="786"/>
  <c r="X14" i="712" s="1"/>
  <c r="V14" i="786"/>
  <c r="X14" i="786" s="1"/>
  <c r="U13" i="786"/>
  <c r="X13" i="712" s="1"/>
  <c r="U12" i="786"/>
  <c r="X12" i="712" s="1"/>
  <c r="U11" i="786"/>
  <c r="X11" i="712" s="1"/>
  <c r="U10" i="786"/>
  <c r="X10" i="712" s="1"/>
  <c r="V10" i="786"/>
  <c r="X10" i="786" s="1"/>
  <c r="U9" i="786"/>
  <c r="X9" i="712" s="1"/>
  <c r="U8" i="786"/>
  <c r="X8" i="712" s="1"/>
  <c r="V8" i="786"/>
  <c r="X8" i="786" s="1"/>
  <c r="U7" i="786"/>
  <c r="X7" i="712" s="1"/>
  <c r="D27" i="786" l="1"/>
  <c r="X7" i="788"/>
  <c r="X27" i="788" s="1"/>
  <c r="V27" i="788"/>
  <c r="V7" i="787"/>
  <c r="V7" i="786"/>
  <c r="D8" i="785"/>
  <c r="D9" i="785"/>
  <c r="V9" i="785" s="1"/>
  <c r="X9" i="785" s="1"/>
  <c r="D10" i="785"/>
  <c r="D11" i="785"/>
  <c r="D12" i="785"/>
  <c r="D13" i="785"/>
  <c r="V13" i="785" s="1"/>
  <c r="X13" i="785" s="1"/>
  <c r="D14" i="785"/>
  <c r="D15" i="785"/>
  <c r="D16" i="785"/>
  <c r="D17" i="785"/>
  <c r="V17" i="785" s="1"/>
  <c r="X17" i="785" s="1"/>
  <c r="D18" i="785"/>
  <c r="D19" i="785"/>
  <c r="D20" i="785"/>
  <c r="D21" i="785"/>
  <c r="V21" i="785" s="1"/>
  <c r="X21" i="785" s="1"/>
  <c r="D22" i="785"/>
  <c r="D23" i="785"/>
  <c r="D24" i="785"/>
  <c r="D25" i="785"/>
  <c r="D26" i="785"/>
  <c r="D7" i="785"/>
  <c r="D4" i="785"/>
  <c r="S27" i="785"/>
  <c r="R27" i="785"/>
  <c r="Q27" i="785"/>
  <c r="P27" i="785"/>
  <c r="O27" i="785"/>
  <c r="N27" i="785"/>
  <c r="M27" i="785"/>
  <c r="L27" i="785"/>
  <c r="K27" i="785"/>
  <c r="J27" i="785"/>
  <c r="I27" i="785"/>
  <c r="H27" i="785"/>
  <c r="G27" i="785"/>
  <c r="F27" i="785"/>
  <c r="E27" i="785"/>
  <c r="X26" i="785"/>
  <c r="U26" i="785"/>
  <c r="X25" i="785"/>
  <c r="U25" i="785"/>
  <c r="U24" i="785"/>
  <c r="W24" i="712" s="1"/>
  <c r="V24" i="785"/>
  <c r="X24" i="785" s="1"/>
  <c r="U23" i="785"/>
  <c r="W23" i="712" s="1"/>
  <c r="V23" i="785"/>
  <c r="X23" i="785" s="1"/>
  <c r="U22" i="785"/>
  <c r="W22" i="712" s="1"/>
  <c r="V22" i="785"/>
  <c r="X22" i="785" s="1"/>
  <c r="U21" i="785"/>
  <c r="W21" i="712" s="1"/>
  <c r="U20" i="785"/>
  <c r="W20" i="712" s="1"/>
  <c r="V20" i="785"/>
  <c r="X20" i="785" s="1"/>
  <c r="U19" i="785"/>
  <c r="W19" i="712" s="1"/>
  <c r="V19" i="785"/>
  <c r="X19" i="785" s="1"/>
  <c r="U18" i="785"/>
  <c r="W18" i="712" s="1"/>
  <c r="V18" i="785"/>
  <c r="X18" i="785" s="1"/>
  <c r="U17" i="785"/>
  <c r="W17" i="712" s="1"/>
  <c r="U16" i="785"/>
  <c r="W16" i="712" s="1"/>
  <c r="V16" i="785"/>
  <c r="X16" i="785" s="1"/>
  <c r="U15" i="785"/>
  <c r="W15" i="712" s="1"/>
  <c r="V15" i="785"/>
  <c r="X15" i="785" s="1"/>
  <c r="U14" i="785"/>
  <c r="W14" i="712" s="1"/>
  <c r="V14" i="785"/>
  <c r="X14" i="785" s="1"/>
  <c r="U13" i="785"/>
  <c r="W13" i="712" s="1"/>
  <c r="U12" i="785"/>
  <c r="W12" i="712" s="1"/>
  <c r="V12" i="785"/>
  <c r="X12" i="785" s="1"/>
  <c r="U11" i="785"/>
  <c r="W11" i="712" s="1"/>
  <c r="V11" i="785"/>
  <c r="X11" i="785" s="1"/>
  <c r="U10" i="785"/>
  <c r="W10" i="712" s="1"/>
  <c r="V10" i="785"/>
  <c r="X10" i="785" s="1"/>
  <c r="U9" i="785"/>
  <c r="W9" i="712" s="1"/>
  <c r="U8" i="785"/>
  <c r="W8" i="712" s="1"/>
  <c r="V8" i="785"/>
  <c r="X8" i="785" s="1"/>
  <c r="U7" i="785"/>
  <c r="W7" i="712" s="1"/>
  <c r="E4" i="785"/>
  <c r="D8" i="784"/>
  <c r="V8" i="784" s="1"/>
  <c r="X8" i="784" s="1"/>
  <c r="D9" i="784"/>
  <c r="V9" i="784" s="1"/>
  <c r="X9" i="784" s="1"/>
  <c r="D10" i="784"/>
  <c r="D11" i="784"/>
  <c r="V11" i="784" s="1"/>
  <c r="X11" i="784" s="1"/>
  <c r="D12" i="784"/>
  <c r="D13" i="784"/>
  <c r="V13" i="784" s="1"/>
  <c r="X13" i="784" s="1"/>
  <c r="D14" i="784"/>
  <c r="D15" i="784"/>
  <c r="V15" i="784" s="1"/>
  <c r="X15" i="784" s="1"/>
  <c r="D16" i="784"/>
  <c r="V16" i="784" s="1"/>
  <c r="X16" i="784" s="1"/>
  <c r="D17" i="784"/>
  <c r="V17" i="784" s="1"/>
  <c r="X17" i="784" s="1"/>
  <c r="D18" i="784"/>
  <c r="D19" i="784"/>
  <c r="V19" i="784" s="1"/>
  <c r="X19" i="784" s="1"/>
  <c r="D20" i="784"/>
  <c r="V20" i="784" s="1"/>
  <c r="X20" i="784" s="1"/>
  <c r="D21" i="784"/>
  <c r="V21" i="784" s="1"/>
  <c r="X21" i="784" s="1"/>
  <c r="D22" i="784"/>
  <c r="V22" i="784" s="1"/>
  <c r="X22" i="784" s="1"/>
  <c r="D23" i="784"/>
  <c r="V23" i="784" s="1"/>
  <c r="X23" i="784" s="1"/>
  <c r="D24" i="784"/>
  <c r="V24" i="784" s="1"/>
  <c r="X24" i="784" s="1"/>
  <c r="D25" i="784"/>
  <c r="D26" i="784"/>
  <c r="D7" i="784"/>
  <c r="D4" i="784"/>
  <c r="E4" i="784" s="1"/>
  <c r="S27" i="784"/>
  <c r="R27" i="784"/>
  <c r="Q27" i="784"/>
  <c r="P27" i="784"/>
  <c r="O27" i="784"/>
  <c r="N27" i="784"/>
  <c r="M27" i="784"/>
  <c r="L27" i="784"/>
  <c r="K27" i="784"/>
  <c r="J27" i="784"/>
  <c r="I27" i="784"/>
  <c r="H27" i="784"/>
  <c r="G27" i="784"/>
  <c r="F27" i="784"/>
  <c r="E27" i="784"/>
  <c r="X26" i="784"/>
  <c r="U26" i="784"/>
  <c r="X25" i="784"/>
  <c r="U25" i="784"/>
  <c r="U24" i="784"/>
  <c r="V24" i="712" s="1"/>
  <c r="U23" i="784"/>
  <c r="V23" i="712" s="1"/>
  <c r="U22" i="784"/>
  <c r="V22" i="712" s="1"/>
  <c r="U21" i="784"/>
  <c r="V21" i="712" s="1"/>
  <c r="U20" i="784"/>
  <c r="V20" i="712" s="1"/>
  <c r="U19" i="784"/>
  <c r="V19" i="712" s="1"/>
  <c r="U18" i="784"/>
  <c r="V18" i="712" s="1"/>
  <c r="V18" i="784"/>
  <c r="X18" i="784" s="1"/>
  <c r="U17" i="784"/>
  <c r="V17" i="712" s="1"/>
  <c r="U16" i="784"/>
  <c r="V16" i="712" s="1"/>
  <c r="U15" i="784"/>
  <c r="V15" i="712" s="1"/>
  <c r="U14" i="784"/>
  <c r="V14" i="712" s="1"/>
  <c r="V14" i="784"/>
  <c r="X14" i="784" s="1"/>
  <c r="U13" i="784"/>
  <c r="V13" i="712" s="1"/>
  <c r="U12" i="784"/>
  <c r="V12" i="712" s="1"/>
  <c r="V12" i="784"/>
  <c r="X12" i="784" s="1"/>
  <c r="U11" i="784"/>
  <c r="V11" i="712" s="1"/>
  <c r="U10" i="784"/>
  <c r="V10" i="712" s="1"/>
  <c r="V10" i="784"/>
  <c r="X10" i="784" s="1"/>
  <c r="U9" i="784"/>
  <c r="V9" i="712" s="1"/>
  <c r="U8" i="784"/>
  <c r="V8" i="712" s="1"/>
  <c r="U7" i="784"/>
  <c r="V7" i="712" s="1"/>
  <c r="D27" i="785" l="1"/>
  <c r="D27" i="784"/>
  <c r="X7" i="787"/>
  <c r="X27" i="787" s="1"/>
  <c r="V27" i="787"/>
  <c r="X7" i="786"/>
  <c r="X27" i="786" s="1"/>
  <c r="V27" i="786"/>
  <c r="V7" i="785"/>
  <c r="V7" i="784"/>
  <c r="D8" i="783"/>
  <c r="D9" i="783"/>
  <c r="D10" i="783"/>
  <c r="V10" i="783" s="1"/>
  <c r="X10" i="783" s="1"/>
  <c r="D11" i="783"/>
  <c r="D12" i="783"/>
  <c r="D13" i="783"/>
  <c r="D14" i="783"/>
  <c r="V14" i="783" s="1"/>
  <c r="X14" i="783" s="1"/>
  <c r="D15" i="783"/>
  <c r="D16" i="783"/>
  <c r="D17" i="783"/>
  <c r="D18" i="783"/>
  <c r="V18" i="783" s="1"/>
  <c r="X18" i="783" s="1"/>
  <c r="D19" i="783"/>
  <c r="D20" i="783"/>
  <c r="D21" i="783"/>
  <c r="D22" i="783"/>
  <c r="V22" i="783" s="1"/>
  <c r="X22" i="783" s="1"/>
  <c r="D23" i="783"/>
  <c r="D24" i="783"/>
  <c r="D25" i="783"/>
  <c r="D26" i="783"/>
  <c r="D7" i="783"/>
  <c r="D4" i="783"/>
  <c r="S27" i="783"/>
  <c r="R27" i="783"/>
  <c r="Q27" i="783"/>
  <c r="P27" i="783"/>
  <c r="O27" i="783"/>
  <c r="N27" i="783"/>
  <c r="M27" i="783"/>
  <c r="L27" i="783"/>
  <c r="K27" i="783"/>
  <c r="J27" i="783"/>
  <c r="I27" i="783"/>
  <c r="H27" i="783"/>
  <c r="G27" i="783"/>
  <c r="F27" i="783"/>
  <c r="E27" i="783"/>
  <c r="X26" i="783"/>
  <c r="U26" i="783"/>
  <c r="X25" i="783"/>
  <c r="U25" i="783"/>
  <c r="U24" i="783"/>
  <c r="U24" i="712" s="1"/>
  <c r="V24" i="783"/>
  <c r="X24" i="783" s="1"/>
  <c r="U23" i="783"/>
  <c r="U23" i="712" s="1"/>
  <c r="V23" i="783"/>
  <c r="X23" i="783" s="1"/>
  <c r="U22" i="783"/>
  <c r="U22" i="712" s="1"/>
  <c r="U21" i="783"/>
  <c r="U21" i="712" s="1"/>
  <c r="V21" i="783"/>
  <c r="X21" i="783" s="1"/>
  <c r="U20" i="783"/>
  <c r="U20" i="712" s="1"/>
  <c r="V20" i="783"/>
  <c r="X20" i="783" s="1"/>
  <c r="U19" i="783"/>
  <c r="U19" i="712" s="1"/>
  <c r="V19" i="783"/>
  <c r="X19" i="783" s="1"/>
  <c r="U18" i="783"/>
  <c r="U18" i="712" s="1"/>
  <c r="U17" i="783"/>
  <c r="U17" i="712" s="1"/>
  <c r="V17" i="783"/>
  <c r="X17" i="783" s="1"/>
  <c r="U16" i="783"/>
  <c r="U16" i="712" s="1"/>
  <c r="V16" i="783"/>
  <c r="X16" i="783" s="1"/>
  <c r="U15" i="783"/>
  <c r="U15" i="712" s="1"/>
  <c r="V15" i="783"/>
  <c r="X15" i="783" s="1"/>
  <c r="U14" i="783"/>
  <c r="U14" i="712" s="1"/>
  <c r="U13" i="783"/>
  <c r="U13" i="712" s="1"/>
  <c r="V13" i="783"/>
  <c r="X13" i="783" s="1"/>
  <c r="U12" i="783"/>
  <c r="U12" i="712" s="1"/>
  <c r="V12" i="783"/>
  <c r="X12" i="783" s="1"/>
  <c r="U11" i="783"/>
  <c r="U11" i="712" s="1"/>
  <c r="V11" i="783"/>
  <c r="X11" i="783" s="1"/>
  <c r="U10" i="783"/>
  <c r="U10" i="712" s="1"/>
  <c r="U9" i="783"/>
  <c r="U9" i="712" s="1"/>
  <c r="V9" i="783"/>
  <c r="X9" i="783" s="1"/>
  <c r="U8" i="783"/>
  <c r="U8" i="712" s="1"/>
  <c r="V8" i="783"/>
  <c r="X8" i="783" s="1"/>
  <c r="U7" i="783"/>
  <c r="U7" i="712" s="1"/>
  <c r="E4" i="783"/>
  <c r="D8" i="782"/>
  <c r="D9" i="782"/>
  <c r="V9" i="782" s="1"/>
  <c r="X9" i="782" s="1"/>
  <c r="D10" i="782"/>
  <c r="D11" i="782"/>
  <c r="V11" i="782" s="1"/>
  <c r="X11" i="782" s="1"/>
  <c r="D12" i="782"/>
  <c r="D13" i="782"/>
  <c r="V13" i="782" s="1"/>
  <c r="X13" i="782" s="1"/>
  <c r="D14" i="782"/>
  <c r="D15" i="782"/>
  <c r="V15" i="782" s="1"/>
  <c r="X15" i="782" s="1"/>
  <c r="D16" i="782"/>
  <c r="D17" i="782"/>
  <c r="V17" i="782" s="1"/>
  <c r="X17" i="782" s="1"/>
  <c r="D18" i="782"/>
  <c r="D19" i="782"/>
  <c r="V19" i="782" s="1"/>
  <c r="X19" i="782" s="1"/>
  <c r="D20" i="782"/>
  <c r="V20" i="782" s="1"/>
  <c r="X20" i="782" s="1"/>
  <c r="D21" i="782"/>
  <c r="V21" i="782" s="1"/>
  <c r="X21" i="782" s="1"/>
  <c r="D22" i="782"/>
  <c r="V22" i="782" s="1"/>
  <c r="X22" i="782" s="1"/>
  <c r="D23" i="782"/>
  <c r="V23" i="782" s="1"/>
  <c r="X23" i="782" s="1"/>
  <c r="D24" i="782"/>
  <c r="V24" i="782" s="1"/>
  <c r="X24" i="782" s="1"/>
  <c r="D25" i="782"/>
  <c r="D26" i="782"/>
  <c r="D7" i="782"/>
  <c r="D4" i="782"/>
  <c r="E4" i="782" s="1"/>
  <c r="S27" i="782"/>
  <c r="R27" i="782"/>
  <c r="Q27" i="782"/>
  <c r="P27" i="782"/>
  <c r="O27" i="782"/>
  <c r="N27" i="782"/>
  <c r="M27" i="782"/>
  <c r="L27" i="782"/>
  <c r="K27" i="782"/>
  <c r="J27" i="782"/>
  <c r="I27" i="782"/>
  <c r="H27" i="782"/>
  <c r="G27" i="782"/>
  <c r="F27" i="782"/>
  <c r="E27" i="782"/>
  <c r="X26" i="782"/>
  <c r="U26" i="782"/>
  <c r="X25" i="782"/>
  <c r="U25" i="782"/>
  <c r="U24" i="782"/>
  <c r="T24" i="712" s="1"/>
  <c r="U23" i="782"/>
  <c r="T23" i="712" s="1"/>
  <c r="U22" i="782"/>
  <c r="T22" i="712" s="1"/>
  <c r="U21" i="782"/>
  <c r="T21" i="712" s="1"/>
  <c r="U20" i="782"/>
  <c r="T20" i="712" s="1"/>
  <c r="U19" i="782"/>
  <c r="T19" i="712" s="1"/>
  <c r="U18" i="782"/>
  <c r="T18" i="712" s="1"/>
  <c r="V18" i="782"/>
  <c r="X18" i="782" s="1"/>
  <c r="U17" i="782"/>
  <c r="T17" i="712" s="1"/>
  <c r="U16" i="782"/>
  <c r="T16" i="712" s="1"/>
  <c r="V16" i="782"/>
  <c r="X16" i="782" s="1"/>
  <c r="U15" i="782"/>
  <c r="T15" i="712" s="1"/>
  <c r="U14" i="782"/>
  <c r="T14" i="712" s="1"/>
  <c r="V14" i="782"/>
  <c r="X14" i="782" s="1"/>
  <c r="U13" i="782"/>
  <c r="T13" i="712" s="1"/>
  <c r="U12" i="782"/>
  <c r="T12" i="712" s="1"/>
  <c r="V12" i="782"/>
  <c r="X12" i="782" s="1"/>
  <c r="U11" i="782"/>
  <c r="T11" i="712" s="1"/>
  <c r="U10" i="782"/>
  <c r="T10" i="712" s="1"/>
  <c r="V10" i="782"/>
  <c r="X10" i="782" s="1"/>
  <c r="U9" i="782"/>
  <c r="T9" i="712" s="1"/>
  <c r="U8" i="782"/>
  <c r="T8" i="712" s="1"/>
  <c r="V8" i="782"/>
  <c r="X8" i="782" s="1"/>
  <c r="U7" i="782"/>
  <c r="T7" i="712" s="1"/>
  <c r="D27" i="783" l="1"/>
  <c r="D27" i="782"/>
  <c r="X7" i="785"/>
  <c r="X27" i="785" s="1"/>
  <c r="V27" i="785"/>
  <c r="X7" i="784"/>
  <c r="X27" i="784" s="1"/>
  <c r="V27" i="784"/>
  <c r="V7" i="783"/>
  <c r="V7" i="782"/>
  <c r="D8" i="781"/>
  <c r="D9" i="781"/>
  <c r="V9" i="781" s="1"/>
  <c r="X9" i="781" s="1"/>
  <c r="D10" i="781"/>
  <c r="V10" i="781" s="1"/>
  <c r="X10" i="781" s="1"/>
  <c r="D11" i="781"/>
  <c r="D12" i="781"/>
  <c r="D13" i="781"/>
  <c r="D14" i="781"/>
  <c r="V14" i="781" s="1"/>
  <c r="X14" i="781" s="1"/>
  <c r="D15" i="781"/>
  <c r="D16" i="781"/>
  <c r="D17" i="781"/>
  <c r="D18" i="781"/>
  <c r="V18" i="781" s="1"/>
  <c r="X18" i="781" s="1"/>
  <c r="D19" i="781"/>
  <c r="D20" i="781"/>
  <c r="D21" i="781"/>
  <c r="V21" i="781" s="1"/>
  <c r="X21" i="781" s="1"/>
  <c r="D22" i="781"/>
  <c r="V22" i="781" s="1"/>
  <c r="X22" i="781" s="1"/>
  <c r="D23" i="781"/>
  <c r="D24" i="781"/>
  <c r="D25" i="781"/>
  <c r="D26" i="781"/>
  <c r="D7" i="781"/>
  <c r="D4" i="781"/>
  <c r="E4" i="781" s="1"/>
  <c r="S27" i="781"/>
  <c r="R27" i="781"/>
  <c r="Q27" i="781"/>
  <c r="P27" i="781"/>
  <c r="O27" i="781"/>
  <c r="N27" i="781"/>
  <c r="M27" i="781"/>
  <c r="L27" i="781"/>
  <c r="K27" i="781"/>
  <c r="J27" i="781"/>
  <c r="I27" i="781"/>
  <c r="H27" i="781"/>
  <c r="G27" i="781"/>
  <c r="F27" i="781"/>
  <c r="E27" i="781"/>
  <c r="X26" i="781"/>
  <c r="U26" i="781"/>
  <c r="X25" i="781"/>
  <c r="U25" i="781"/>
  <c r="U24" i="781"/>
  <c r="S24" i="712" s="1"/>
  <c r="V24" i="781"/>
  <c r="X24" i="781" s="1"/>
  <c r="U23" i="781"/>
  <c r="S23" i="712" s="1"/>
  <c r="V23" i="781"/>
  <c r="X23" i="781" s="1"/>
  <c r="U22" i="781"/>
  <c r="S22" i="712" s="1"/>
  <c r="U21" i="781"/>
  <c r="S21" i="712" s="1"/>
  <c r="U20" i="781"/>
  <c r="S20" i="712" s="1"/>
  <c r="V20" i="781"/>
  <c r="X20" i="781" s="1"/>
  <c r="U19" i="781"/>
  <c r="S19" i="712" s="1"/>
  <c r="V19" i="781"/>
  <c r="X19" i="781" s="1"/>
  <c r="U18" i="781"/>
  <c r="S18" i="712" s="1"/>
  <c r="U17" i="781"/>
  <c r="S17" i="712" s="1"/>
  <c r="V17" i="781"/>
  <c r="X17" i="781" s="1"/>
  <c r="U16" i="781"/>
  <c r="S16" i="712" s="1"/>
  <c r="V16" i="781"/>
  <c r="X16" i="781" s="1"/>
  <c r="U15" i="781"/>
  <c r="S15" i="712" s="1"/>
  <c r="V15" i="781"/>
  <c r="X15" i="781" s="1"/>
  <c r="U14" i="781"/>
  <c r="S14" i="712" s="1"/>
  <c r="U13" i="781"/>
  <c r="S13" i="712" s="1"/>
  <c r="V13" i="781"/>
  <c r="X13" i="781" s="1"/>
  <c r="U12" i="781"/>
  <c r="S12" i="712" s="1"/>
  <c r="V12" i="781"/>
  <c r="X12" i="781" s="1"/>
  <c r="U11" i="781"/>
  <c r="S11" i="712" s="1"/>
  <c r="V11" i="781"/>
  <c r="X11" i="781" s="1"/>
  <c r="U10" i="781"/>
  <c r="S10" i="712" s="1"/>
  <c r="U9" i="781"/>
  <c r="S9" i="712" s="1"/>
  <c r="U8" i="781"/>
  <c r="S8" i="712" s="1"/>
  <c r="V8" i="781"/>
  <c r="X8" i="781" s="1"/>
  <c r="U7" i="781"/>
  <c r="S7" i="712" s="1"/>
  <c r="D27" i="781"/>
  <c r="X7" i="783" l="1"/>
  <c r="X27" i="783" s="1"/>
  <c r="V27" i="783"/>
  <c r="X7" i="782"/>
  <c r="X27" i="782" s="1"/>
  <c r="V27" i="782"/>
  <c r="V7" i="781"/>
  <c r="D8" i="780"/>
  <c r="D9" i="780"/>
  <c r="V9" i="780" s="1"/>
  <c r="X9" i="780" s="1"/>
  <c r="D10" i="780"/>
  <c r="D11" i="780"/>
  <c r="V11" i="780" s="1"/>
  <c r="D12" i="780"/>
  <c r="D13" i="780"/>
  <c r="V13" i="780" s="1"/>
  <c r="D14" i="780"/>
  <c r="D15" i="780"/>
  <c r="V15" i="780" s="1"/>
  <c r="D16" i="780"/>
  <c r="D17" i="780"/>
  <c r="V17" i="780" s="1"/>
  <c r="X17" i="780" s="1"/>
  <c r="D18" i="780"/>
  <c r="D19" i="780"/>
  <c r="V19" i="780" s="1"/>
  <c r="D20" i="780"/>
  <c r="D21" i="780"/>
  <c r="V21" i="780" s="1"/>
  <c r="D22" i="780"/>
  <c r="D23" i="780"/>
  <c r="V23" i="780" s="1"/>
  <c r="X23" i="780" s="1"/>
  <c r="D24" i="780"/>
  <c r="D25" i="780"/>
  <c r="D26" i="780"/>
  <c r="D7" i="780"/>
  <c r="V7" i="780" s="1"/>
  <c r="D4" i="780"/>
  <c r="S27" i="780"/>
  <c r="R27" i="780"/>
  <c r="Q27" i="780"/>
  <c r="P27" i="780"/>
  <c r="O27" i="780"/>
  <c r="N27" i="780"/>
  <c r="M27" i="780"/>
  <c r="L27" i="780"/>
  <c r="K27" i="780"/>
  <c r="J27" i="780"/>
  <c r="I27" i="780"/>
  <c r="H27" i="780"/>
  <c r="G27" i="780"/>
  <c r="F27" i="780"/>
  <c r="E27" i="780"/>
  <c r="X26" i="780"/>
  <c r="U26" i="780"/>
  <c r="X25" i="780"/>
  <c r="U25" i="780"/>
  <c r="U24" i="780"/>
  <c r="R24" i="712" s="1"/>
  <c r="U23" i="780"/>
  <c r="R23" i="712" s="1"/>
  <c r="U22" i="780"/>
  <c r="R22" i="712" s="1"/>
  <c r="U21" i="780"/>
  <c r="R21" i="712" s="1"/>
  <c r="X21" i="780"/>
  <c r="U20" i="780"/>
  <c r="R20" i="712" s="1"/>
  <c r="U19" i="780"/>
  <c r="R19" i="712" s="1"/>
  <c r="X19" i="780"/>
  <c r="U18" i="780"/>
  <c r="R18" i="712" s="1"/>
  <c r="U17" i="780"/>
  <c r="R17" i="712" s="1"/>
  <c r="U16" i="780"/>
  <c r="R16" i="712" s="1"/>
  <c r="U15" i="780"/>
  <c r="R15" i="712" s="1"/>
  <c r="X15" i="780"/>
  <c r="U14" i="780"/>
  <c r="R14" i="712" s="1"/>
  <c r="U13" i="780"/>
  <c r="R13" i="712" s="1"/>
  <c r="X13" i="780"/>
  <c r="U12" i="780"/>
  <c r="R12" i="712" s="1"/>
  <c r="U11" i="780"/>
  <c r="R11" i="712" s="1"/>
  <c r="X11" i="780"/>
  <c r="U10" i="780"/>
  <c r="R10" i="712" s="1"/>
  <c r="U9" i="780"/>
  <c r="R9" i="712" s="1"/>
  <c r="U8" i="780"/>
  <c r="R8" i="712" s="1"/>
  <c r="U7" i="780"/>
  <c r="R7" i="712" s="1"/>
  <c r="E4" i="780"/>
  <c r="D8" i="779"/>
  <c r="V8" i="779" s="1"/>
  <c r="D9" i="779"/>
  <c r="V9" i="779" s="1"/>
  <c r="X9" i="779" s="1"/>
  <c r="D10" i="779"/>
  <c r="V10" i="779" s="1"/>
  <c r="D11" i="779"/>
  <c r="V11" i="779" s="1"/>
  <c r="D12" i="779"/>
  <c r="V12" i="779" s="1"/>
  <c r="D13" i="779"/>
  <c r="V13" i="779" s="1"/>
  <c r="X13" i="779" s="1"/>
  <c r="D14" i="779"/>
  <c r="V14" i="779" s="1"/>
  <c r="D15" i="779"/>
  <c r="V15" i="779" s="1"/>
  <c r="X15" i="779" s="1"/>
  <c r="D16" i="779"/>
  <c r="V16" i="779" s="1"/>
  <c r="D17" i="779"/>
  <c r="V17" i="779" s="1"/>
  <c r="X17" i="779" s="1"/>
  <c r="D18" i="779"/>
  <c r="V18" i="779" s="1"/>
  <c r="D19" i="779"/>
  <c r="V19" i="779" s="1"/>
  <c r="X19" i="779" s="1"/>
  <c r="D20" i="779"/>
  <c r="V20" i="779" s="1"/>
  <c r="D21" i="779"/>
  <c r="V21" i="779" s="1"/>
  <c r="X21" i="779" s="1"/>
  <c r="D22" i="779"/>
  <c r="V22" i="779" s="1"/>
  <c r="D23" i="779"/>
  <c r="V23" i="779" s="1"/>
  <c r="X23" i="779" s="1"/>
  <c r="D24" i="779"/>
  <c r="D25" i="779"/>
  <c r="D26" i="779"/>
  <c r="D7" i="779"/>
  <c r="V7" i="779" s="1"/>
  <c r="D4" i="779"/>
  <c r="E4" i="779" s="1"/>
  <c r="S27" i="779"/>
  <c r="R27" i="779"/>
  <c r="Q27" i="779"/>
  <c r="P27" i="779"/>
  <c r="O27" i="779"/>
  <c r="N27" i="779"/>
  <c r="M27" i="779"/>
  <c r="L27" i="779"/>
  <c r="K27" i="779"/>
  <c r="J27" i="779"/>
  <c r="I27" i="779"/>
  <c r="H27" i="779"/>
  <c r="G27" i="779"/>
  <c r="F27" i="779"/>
  <c r="E27" i="779"/>
  <c r="X26" i="779"/>
  <c r="U26" i="779"/>
  <c r="X25" i="779"/>
  <c r="U25" i="779"/>
  <c r="U24" i="779"/>
  <c r="Q24" i="712" s="1"/>
  <c r="U23" i="779"/>
  <c r="Q23" i="712" s="1"/>
  <c r="U22" i="779"/>
  <c r="Q22" i="712" s="1"/>
  <c r="X22" i="779"/>
  <c r="U21" i="779"/>
  <c r="Q21" i="712" s="1"/>
  <c r="U20" i="779"/>
  <c r="Q20" i="712" s="1"/>
  <c r="X20" i="779"/>
  <c r="U19" i="779"/>
  <c r="Q19" i="712" s="1"/>
  <c r="U18" i="779"/>
  <c r="Q18" i="712" s="1"/>
  <c r="X18" i="779"/>
  <c r="U17" i="779"/>
  <c r="Q17" i="712" s="1"/>
  <c r="U16" i="779"/>
  <c r="Q16" i="712" s="1"/>
  <c r="X16" i="779"/>
  <c r="U15" i="779"/>
  <c r="Q15" i="712" s="1"/>
  <c r="U14" i="779"/>
  <c r="Q14" i="712" s="1"/>
  <c r="X14" i="779"/>
  <c r="U13" i="779"/>
  <c r="Q13" i="712" s="1"/>
  <c r="U12" i="779"/>
  <c r="Q12" i="712" s="1"/>
  <c r="X12" i="779"/>
  <c r="U11" i="779"/>
  <c r="Q11" i="712" s="1"/>
  <c r="X11" i="779"/>
  <c r="U10" i="779"/>
  <c r="Q10" i="712" s="1"/>
  <c r="X10" i="779"/>
  <c r="U9" i="779"/>
  <c r="Q9" i="712" s="1"/>
  <c r="U8" i="779"/>
  <c r="Q8" i="712" s="1"/>
  <c r="X8" i="779"/>
  <c r="U7" i="779"/>
  <c r="Q7" i="712" s="1"/>
  <c r="D8" i="778"/>
  <c r="V8" i="778" s="1"/>
  <c r="D9" i="778"/>
  <c r="V9" i="778" s="1"/>
  <c r="D10" i="778"/>
  <c r="V10" i="778" s="1"/>
  <c r="D11" i="778"/>
  <c r="V11" i="778" s="1"/>
  <c r="D12" i="778"/>
  <c r="V12" i="778" s="1"/>
  <c r="D13" i="778"/>
  <c r="V13" i="778" s="1"/>
  <c r="D14" i="778"/>
  <c r="V14" i="778" s="1"/>
  <c r="D15" i="778"/>
  <c r="V15" i="778" s="1"/>
  <c r="D16" i="778"/>
  <c r="V16" i="778" s="1"/>
  <c r="D17" i="778"/>
  <c r="V17" i="778" s="1"/>
  <c r="D18" i="778"/>
  <c r="V18" i="778" s="1"/>
  <c r="D19" i="778"/>
  <c r="V19" i="778" s="1"/>
  <c r="D20" i="778"/>
  <c r="V20" i="778" s="1"/>
  <c r="D21" i="778"/>
  <c r="V21" i="778" s="1"/>
  <c r="D22" i="778"/>
  <c r="V22" i="778" s="1"/>
  <c r="D23" i="778"/>
  <c r="V23" i="778" s="1"/>
  <c r="D24" i="778"/>
  <c r="V24" i="778" s="1"/>
  <c r="D25" i="778"/>
  <c r="D26" i="778"/>
  <c r="D7" i="778"/>
  <c r="V7" i="778" s="1"/>
  <c r="D27" i="779" l="1"/>
  <c r="D27" i="780"/>
  <c r="V24" i="779"/>
  <c r="X24" i="779" s="1"/>
  <c r="V24" i="780"/>
  <c r="X24" i="780" s="1"/>
  <c r="V22" i="780"/>
  <c r="X22" i="780" s="1"/>
  <c r="V20" i="780"/>
  <c r="X20" i="780" s="1"/>
  <c r="V18" i="780"/>
  <c r="X18" i="780" s="1"/>
  <c r="V16" i="780"/>
  <c r="X16" i="780" s="1"/>
  <c r="V14" i="780"/>
  <c r="X14" i="780" s="1"/>
  <c r="V12" i="780"/>
  <c r="X12" i="780" s="1"/>
  <c r="V10" i="780"/>
  <c r="X10" i="780" s="1"/>
  <c r="V8" i="780"/>
  <c r="X8" i="780" s="1"/>
  <c r="X7" i="781"/>
  <c r="X27" i="781" s="1"/>
  <c r="V27" i="781"/>
  <c r="D4" i="778"/>
  <c r="S27" i="778"/>
  <c r="R27" i="778"/>
  <c r="Q27" i="778"/>
  <c r="P27" i="778"/>
  <c r="O27" i="778"/>
  <c r="N27" i="778"/>
  <c r="M27" i="778"/>
  <c r="L27" i="778"/>
  <c r="K27" i="778"/>
  <c r="J27" i="778"/>
  <c r="I27" i="778"/>
  <c r="H27" i="778"/>
  <c r="G27" i="778"/>
  <c r="F27" i="778"/>
  <c r="E27" i="778"/>
  <c r="X26" i="778"/>
  <c r="U26" i="778"/>
  <c r="X25" i="778"/>
  <c r="U25" i="778"/>
  <c r="U24" i="778"/>
  <c r="P24" i="712" s="1"/>
  <c r="X24" i="778"/>
  <c r="U23" i="778"/>
  <c r="P23" i="712" s="1"/>
  <c r="X23" i="778"/>
  <c r="U22" i="778"/>
  <c r="P22" i="712" s="1"/>
  <c r="X22" i="778"/>
  <c r="U21" i="778"/>
  <c r="P21" i="712" s="1"/>
  <c r="X21" i="778"/>
  <c r="U20" i="778"/>
  <c r="P20" i="712" s="1"/>
  <c r="X20" i="778"/>
  <c r="U19" i="778"/>
  <c r="P19" i="712" s="1"/>
  <c r="X19" i="778"/>
  <c r="U18" i="778"/>
  <c r="P18" i="712" s="1"/>
  <c r="X18" i="778"/>
  <c r="U17" i="778"/>
  <c r="P17" i="712" s="1"/>
  <c r="X17" i="778"/>
  <c r="U16" i="778"/>
  <c r="P16" i="712" s="1"/>
  <c r="X16" i="778"/>
  <c r="U15" i="778"/>
  <c r="P15" i="712" s="1"/>
  <c r="X15" i="778"/>
  <c r="U14" i="778"/>
  <c r="P14" i="712" s="1"/>
  <c r="X14" i="778"/>
  <c r="U13" i="778"/>
  <c r="P13" i="712" s="1"/>
  <c r="X13" i="778"/>
  <c r="U12" i="778"/>
  <c r="P12" i="712" s="1"/>
  <c r="X12" i="778"/>
  <c r="U11" i="778"/>
  <c r="P11" i="712" s="1"/>
  <c r="X11" i="778"/>
  <c r="U10" i="778"/>
  <c r="P10" i="712" s="1"/>
  <c r="X10" i="778"/>
  <c r="U9" i="778"/>
  <c r="P9" i="712" s="1"/>
  <c r="X9" i="778"/>
  <c r="U8" i="778"/>
  <c r="P8" i="712" s="1"/>
  <c r="X8" i="778"/>
  <c r="U7" i="778"/>
  <c r="P7" i="712" s="1"/>
  <c r="D27" i="778"/>
  <c r="E4" i="778"/>
  <c r="D8" i="777"/>
  <c r="U8" i="777" s="1"/>
  <c r="W8" i="777" s="1"/>
  <c r="D9" i="777"/>
  <c r="U9" i="777" s="1"/>
  <c r="W9" i="777" s="1"/>
  <c r="D10" i="777"/>
  <c r="D11" i="777"/>
  <c r="U11" i="777" s="1"/>
  <c r="W11" i="777" s="1"/>
  <c r="D12" i="777"/>
  <c r="U12" i="777" s="1"/>
  <c r="W12" i="777" s="1"/>
  <c r="D13" i="777"/>
  <c r="U13" i="777" s="1"/>
  <c r="W13" i="777" s="1"/>
  <c r="D14" i="777"/>
  <c r="U14" i="777" s="1"/>
  <c r="W14" i="777" s="1"/>
  <c r="D15" i="777"/>
  <c r="U15" i="777" s="1"/>
  <c r="W15" i="777" s="1"/>
  <c r="D16" i="777"/>
  <c r="U16" i="777" s="1"/>
  <c r="W16" i="777" s="1"/>
  <c r="D17" i="777"/>
  <c r="U17" i="777" s="1"/>
  <c r="W17" i="777" s="1"/>
  <c r="D18" i="777"/>
  <c r="U18" i="777" s="1"/>
  <c r="W18" i="777" s="1"/>
  <c r="D19" i="777"/>
  <c r="U19" i="777" s="1"/>
  <c r="W19" i="777" s="1"/>
  <c r="D20" i="777"/>
  <c r="D21" i="777"/>
  <c r="U21" i="777" s="1"/>
  <c r="W21" i="777" s="1"/>
  <c r="D22" i="777"/>
  <c r="D23" i="777"/>
  <c r="U23" i="777" s="1"/>
  <c r="W23" i="777" s="1"/>
  <c r="D24" i="777"/>
  <c r="U24" i="777" s="1"/>
  <c r="W24" i="777" s="1"/>
  <c r="D25" i="777"/>
  <c r="D26" i="777"/>
  <c r="D7" i="777"/>
  <c r="D4" i="777"/>
  <c r="E4" i="777" s="1"/>
  <c r="S27" i="777"/>
  <c r="R27" i="777"/>
  <c r="Q27" i="777"/>
  <c r="P27" i="777"/>
  <c r="O27" i="777"/>
  <c r="N27" i="777"/>
  <c r="M27" i="777"/>
  <c r="L27" i="777"/>
  <c r="K27" i="777"/>
  <c r="J27" i="777"/>
  <c r="I27" i="777"/>
  <c r="H27" i="777"/>
  <c r="G27" i="777"/>
  <c r="F27" i="777"/>
  <c r="E27" i="777"/>
  <c r="W26" i="777"/>
  <c r="T26" i="777"/>
  <c r="W25" i="777"/>
  <c r="T25" i="777"/>
  <c r="T24" i="777"/>
  <c r="O24" i="712" s="1"/>
  <c r="T23" i="777"/>
  <c r="O23" i="712" s="1"/>
  <c r="T22" i="777"/>
  <c r="O22" i="712" s="1"/>
  <c r="U22" i="777"/>
  <c r="W22" i="777" s="1"/>
  <c r="T21" i="777"/>
  <c r="O21" i="712" s="1"/>
  <c r="T20" i="777"/>
  <c r="O20" i="712" s="1"/>
  <c r="U20" i="777"/>
  <c r="W20" i="777" s="1"/>
  <c r="T19" i="777"/>
  <c r="O19" i="712" s="1"/>
  <c r="T18" i="777"/>
  <c r="O18" i="712" s="1"/>
  <c r="T17" i="777"/>
  <c r="O17" i="712" s="1"/>
  <c r="T16" i="777"/>
  <c r="O16" i="712" s="1"/>
  <c r="T15" i="777"/>
  <c r="O15" i="712" s="1"/>
  <c r="T14" i="777"/>
  <c r="O14" i="712" s="1"/>
  <c r="T13" i="777"/>
  <c r="O13" i="712" s="1"/>
  <c r="T12" i="777"/>
  <c r="O12" i="712" s="1"/>
  <c r="T11" i="777"/>
  <c r="O11" i="712" s="1"/>
  <c r="T10" i="777"/>
  <c r="O10" i="712" s="1"/>
  <c r="U10" i="777"/>
  <c r="W10" i="777" s="1"/>
  <c r="T9" i="777"/>
  <c r="O9" i="712" s="1"/>
  <c r="T8" i="777"/>
  <c r="O8" i="712" s="1"/>
  <c r="T7" i="777"/>
  <c r="O7" i="712" s="1"/>
  <c r="X7" i="780" l="1"/>
  <c r="X27" i="780" s="1"/>
  <c r="V27" i="780"/>
  <c r="X7" i="779"/>
  <c r="X27" i="779" s="1"/>
  <c r="V27" i="779"/>
  <c r="D27" i="777"/>
  <c r="U7" i="777"/>
  <c r="D8" i="776"/>
  <c r="D27" i="776" s="1"/>
  <c r="D9" i="776"/>
  <c r="D10" i="776"/>
  <c r="D11" i="776"/>
  <c r="D12" i="776"/>
  <c r="U12" i="776" s="1"/>
  <c r="W12" i="776" s="1"/>
  <c r="D13" i="776"/>
  <c r="D14" i="776"/>
  <c r="D15" i="776"/>
  <c r="D16" i="776"/>
  <c r="U16" i="776" s="1"/>
  <c r="W16" i="776" s="1"/>
  <c r="D17" i="776"/>
  <c r="D18" i="776"/>
  <c r="D19" i="776"/>
  <c r="D20" i="776"/>
  <c r="U20" i="776" s="1"/>
  <c r="W20" i="776" s="1"/>
  <c r="D21" i="776"/>
  <c r="D22" i="776"/>
  <c r="D23" i="776"/>
  <c r="D24" i="776"/>
  <c r="U24" i="776" s="1"/>
  <c r="W24" i="776" s="1"/>
  <c r="D25" i="776"/>
  <c r="D26" i="776"/>
  <c r="D7" i="776"/>
  <c r="D4" i="776"/>
  <c r="S27" i="776"/>
  <c r="R27" i="776"/>
  <c r="Q27" i="776"/>
  <c r="P27" i="776"/>
  <c r="O27" i="776"/>
  <c r="N27" i="776"/>
  <c r="M27" i="776"/>
  <c r="L27" i="776"/>
  <c r="K27" i="776"/>
  <c r="J27" i="776"/>
  <c r="I27" i="776"/>
  <c r="H27" i="776"/>
  <c r="G27" i="776"/>
  <c r="F27" i="776"/>
  <c r="E27" i="776"/>
  <c r="W26" i="776"/>
  <c r="T26" i="776"/>
  <c r="W25" i="776"/>
  <c r="T25" i="776"/>
  <c r="T24" i="776"/>
  <c r="N24" i="712" s="1"/>
  <c r="T23" i="776"/>
  <c r="N23" i="712" s="1"/>
  <c r="U23" i="776"/>
  <c r="W23" i="776" s="1"/>
  <c r="T22" i="776"/>
  <c r="N22" i="712" s="1"/>
  <c r="U22" i="776"/>
  <c r="W22" i="776" s="1"/>
  <c r="T21" i="776"/>
  <c r="N21" i="712" s="1"/>
  <c r="U21" i="776"/>
  <c r="W21" i="776" s="1"/>
  <c r="T20" i="776"/>
  <c r="N20" i="712" s="1"/>
  <c r="T19" i="776"/>
  <c r="N19" i="712" s="1"/>
  <c r="U19" i="776"/>
  <c r="W19" i="776" s="1"/>
  <c r="T18" i="776"/>
  <c r="N18" i="712" s="1"/>
  <c r="U18" i="776"/>
  <c r="W18" i="776" s="1"/>
  <c r="T17" i="776"/>
  <c r="N17" i="712" s="1"/>
  <c r="U17" i="776"/>
  <c r="W17" i="776" s="1"/>
  <c r="T16" i="776"/>
  <c r="N16" i="712" s="1"/>
  <c r="T15" i="776"/>
  <c r="N15" i="712" s="1"/>
  <c r="U15" i="776"/>
  <c r="W15" i="776" s="1"/>
  <c r="T14" i="776"/>
  <c r="N14" i="712" s="1"/>
  <c r="U14" i="776"/>
  <c r="W14" i="776" s="1"/>
  <c r="T13" i="776"/>
  <c r="N13" i="712" s="1"/>
  <c r="U13" i="776"/>
  <c r="W13" i="776" s="1"/>
  <c r="T12" i="776"/>
  <c r="N12" i="712" s="1"/>
  <c r="T11" i="776"/>
  <c r="N11" i="712" s="1"/>
  <c r="U11" i="776"/>
  <c r="W11" i="776" s="1"/>
  <c r="T10" i="776"/>
  <c r="N10" i="712" s="1"/>
  <c r="U10" i="776"/>
  <c r="W10" i="776" s="1"/>
  <c r="T9" i="776"/>
  <c r="N9" i="712" s="1"/>
  <c r="U9" i="776"/>
  <c r="W9" i="776" s="1"/>
  <c r="T8" i="776"/>
  <c r="N8" i="712" s="1"/>
  <c r="T7" i="776"/>
  <c r="N7" i="712" s="1"/>
  <c r="E4" i="776"/>
  <c r="D8" i="775"/>
  <c r="D9" i="775"/>
  <c r="D10" i="775"/>
  <c r="D11" i="775"/>
  <c r="D12" i="775"/>
  <c r="D13" i="775"/>
  <c r="D14" i="775"/>
  <c r="D15" i="775"/>
  <c r="D16" i="775"/>
  <c r="D17" i="775"/>
  <c r="D18" i="775"/>
  <c r="D19" i="775"/>
  <c r="D20" i="775"/>
  <c r="D21" i="775"/>
  <c r="D22" i="775"/>
  <c r="D23" i="775"/>
  <c r="D24" i="775"/>
  <c r="D25" i="775"/>
  <c r="D26" i="775"/>
  <c r="D7" i="775"/>
  <c r="U8" i="776" l="1"/>
  <c r="W8" i="776" s="1"/>
  <c r="X7" i="778"/>
  <c r="X27" i="778" s="1"/>
  <c r="V27" i="778"/>
  <c r="W7" i="777"/>
  <c r="W27" i="777" s="1"/>
  <c r="U27" i="777"/>
  <c r="U7" i="776"/>
  <c r="D4" i="775"/>
  <c r="E4" i="775" s="1"/>
  <c r="S27" i="775"/>
  <c r="R27" i="775"/>
  <c r="Q27" i="775"/>
  <c r="P27" i="775"/>
  <c r="O27" i="775"/>
  <c r="N27" i="775"/>
  <c r="M27" i="775"/>
  <c r="L27" i="775"/>
  <c r="K27" i="775"/>
  <c r="J27" i="775"/>
  <c r="I27" i="775"/>
  <c r="H27" i="775"/>
  <c r="G27" i="775"/>
  <c r="F27" i="775"/>
  <c r="E27" i="775"/>
  <c r="W26" i="775"/>
  <c r="T26" i="775"/>
  <c r="W25" i="775"/>
  <c r="T25" i="775"/>
  <c r="T24" i="775"/>
  <c r="M24" i="712" s="1"/>
  <c r="U24" i="775"/>
  <c r="W24" i="775" s="1"/>
  <c r="T23" i="775"/>
  <c r="M23" i="712" s="1"/>
  <c r="U23" i="775"/>
  <c r="W23" i="775" s="1"/>
  <c r="T22" i="775"/>
  <c r="M22" i="712" s="1"/>
  <c r="U22" i="775"/>
  <c r="W22" i="775" s="1"/>
  <c r="T21" i="775"/>
  <c r="M21" i="712" s="1"/>
  <c r="T20" i="775"/>
  <c r="M20" i="712" s="1"/>
  <c r="U20" i="775"/>
  <c r="W20" i="775" s="1"/>
  <c r="T19" i="775"/>
  <c r="M19" i="712" s="1"/>
  <c r="U19" i="775"/>
  <c r="W19" i="775" s="1"/>
  <c r="T18" i="775"/>
  <c r="M18" i="712" s="1"/>
  <c r="T17" i="775"/>
  <c r="M17" i="712" s="1"/>
  <c r="U17" i="775"/>
  <c r="W17" i="775" s="1"/>
  <c r="T16" i="775"/>
  <c r="M16" i="712" s="1"/>
  <c r="T15" i="775"/>
  <c r="M15" i="712" s="1"/>
  <c r="U15" i="775"/>
  <c r="W15" i="775" s="1"/>
  <c r="T14" i="775"/>
  <c r="M14" i="712" s="1"/>
  <c r="U14" i="775"/>
  <c r="W14" i="775" s="1"/>
  <c r="T13" i="775"/>
  <c r="M13" i="712" s="1"/>
  <c r="U13" i="775"/>
  <c r="W13" i="775" s="1"/>
  <c r="T12" i="775"/>
  <c r="M12" i="712" s="1"/>
  <c r="U12" i="775"/>
  <c r="W12" i="775" s="1"/>
  <c r="T11" i="775"/>
  <c r="M11" i="712" s="1"/>
  <c r="T10" i="775"/>
  <c r="M10" i="712" s="1"/>
  <c r="U10" i="775"/>
  <c r="W10" i="775" s="1"/>
  <c r="T9" i="775"/>
  <c r="M9" i="712" s="1"/>
  <c r="U9" i="775"/>
  <c r="W9" i="775" s="1"/>
  <c r="T8" i="775"/>
  <c r="M8" i="712" s="1"/>
  <c r="U8" i="775"/>
  <c r="W8" i="775" s="1"/>
  <c r="T7" i="775"/>
  <c r="M7" i="712" s="1"/>
  <c r="W7" i="776" l="1"/>
  <c r="W27" i="776" s="1"/>
  <c r="U27" i="776"/>
  <c r="U7" i="775"/>
  <c r="D4" i="774"/>
  <c r="E4" i="774" s="1"/>
  <c r="S27" i="774"/>
  <c r="R27" i="774"/>
  <c r="Q27" i="774"/>
  <c r="P27" i="774"/>
  <c r="O27" i="774"/>
  <c r="N27" i="774"/>
  <c r="M27" i="774"/>
  <c r="L27" i="774"/>
  <c r="K27" i="774"/>
  <c r="J27" i="774"/>
  <c r="I27" i="774"/>
  <c r="H27" i="774"/>
  <c r="G27" i="774"/>
  <c r="F27" i="774"/>
  <c r="E27" i="774"/>
  <c r="W26" i="774"/>
  <c r="T26" i="774"/>
  <c r="D26" i="774"/>
  <c r="W25" i="774"/>
  <c r="T25" i="774"/>
  <c r="D25" i="774"/>
  <c r="T24" i="774"/>
  <c r="L24" i="712" s="1"/>
  <c r="D24" i="774"/>
  <c r="U24" i="774" s="1"/>
  <c r="W24" i="774" s="1"/>
  <c r="T23" i="774"/>
  <c r="L23" i="712" s="1"/>
  <c r="D23" i="774"/>
  <c r="U23" i="774" s="1"/>
  <c r="W23" i="774" s="1"/>
  <c r="T22" i="774"/>
  <c r="L22" i="712" s="1"/>
  <c r="D22" i="774"/>
  <c r="U22" i="774" s="1"/>
  <c r="W22" i="774" s="1"/>
  <c r="T21" i="774"/>
  <c r="L21" i="712" s="1"/>
  <c r="T20" i="774"/>
  <c r="L20" i="712" s="1"/>
  <c r="D20" i="774"/>
  <c r="U20" i="774" s="1"/>
  <c r="W20" i="774" s="1"/>
  <c r="T19" i="774"/>
  <c r="L19" i="712" s="1"/>
  <c r="D19" i="774"/>
  <c r="U19" i="774" s="1"/>
  <c r="W19" i="774" s="1"/>
  <c r="T18" i="774"/>
  <c r="L18" i="712" s="1"/>
  <c r="T17" i="774"/>
  <c r="L17" i="712" s="1"/>
  <c r="D17" i="774"/>
  <c r="U17" i="774" s="1"/>
  <c r="W17" i="774" s="1"/>
  <c r="T16" i="774"/>
  <c r="L16" i="712" s="1"/>
  <c r="T15" i="774"/>
  <c r="L15" i="712" s="1"/>
  <c r="D15" i="774"/>
  <c r="U15" i="774" s="1"/>
  <c r="W15" i="774" s="1"/>
  <c r="T14" i="774"/>
  <c r="L14" i="712" s="1"/>
  <c r="D14" i="774"/>
  <c r="U14" i="774" s="1"/>
  <c r="W14" i="774" s="1"/>
  <c r="T13" i="774"/>
  <c r="L13" i="712" s="1"/>
  <c r="D13" i="774"/>
  <c r="U13" i="774" s="1"/>
  <c r="W13" i="774" s="1"/>
  <c r="T12" i="774"/>
  <c r="L12" i="712" s="1"/>
  <c r="D12" i="774"/>
  <c r="U12" i="774" s="1"/>
  <c r="W12" i="774" s="1"/>
  <c r="T11" i="774"/>
  <c r="L11" i="712" s="1"/>
  <c r="T10" i="774"/>
  <c r="L10" i="712" s="1"/>
  <c r="D10" i="774"/>
  <c r="U10" i="774" s="1"/>
  <c r="W10" i="774" s="1"/>
  <c r="T9" i="774"/>
  <c r="L9" i="712" s="1"/>
  <c r="D9" i="774"/>
  <c r="U9" i="774" s="1"/>
  <c r="W9" i="774" s="1"/>
  <c r="T8" i="774"/>
  <c r="L8" i="712" s="1"/>
  <c r="D8" i="774"/>
  <c r="U8" i="774" s="1"/>
  <c r="W8" i="774" s="1"/>
  <c r="T7" i="774"/>
  <c r="L7" i="712" s="1"/>
  <c r="D7" i="774"/>
  <c r="W7" i="775" l="1"/>
  <c r="U7" i="774"/>
  <c r="V21" i="772"/>
  <c r="D21" i="773" s="1"/>
  <c r="U21" i="773" s="1"/>
  <c r="W21" i="773" s="1"/>
  <c r="V18" i="772"/>
  <c r="V16" i="772"/>
  <c r="V11" i="772"/>
  <c r="D8" i="773"/>
  <c r="U8" i="773" s="1"/>
  <c r="W8" i="773" s="1"/>
  <c r="D9" i="773"/>
  <c r="D10" i="773"/>
  <c r="D11" i="773"/>
  <c r="U11" i="773" s="1"/>
  <c r="W11" i="773" s="1"/>
  <c r="D12" i="773"/>
  <c r="U12" i="773" s="1"/>
  <c r="W12" i="773" s="1"/>
  <c r="D13" i="773"/>
  <c r="D14" i="773"/>
  <c r="U14" i="773" s="1"/>
  <c r="W14" i="773" s="1"/>
  <c r="D15" i="773"/>
  <c r="U15" i="773" s="1"/>
  <c r="W15" i="773" s="1"/>
  <c r="D16" i="773"/>
  <c r="U16" i="773" s="1"/>
  <c r="W16" i="773" s="1"/>
  <c r="D17" i="773"/>
  <c r="D18" i="773"/>
  <c r="D19" i="773"/>
  <c r="D20" i="773"/>
  <c r="U20" i="773" s="1"/>
  <c r="W20" i="773" s="1"/>
  <c r="D22" i="773"/>
  <c r="U22" i="773" s="1"/>
  <c r="W22" i="773" s="1"/>
  <c r="D23" i="773"/>
  <c r="D24" i="773"/>
  <c r="U24" i="773" s="1"/>
  <c r="W24" i="773" s="1"/>
  <c r="D25" i="773"/>
  <c r="D26" i="773"/>
  <c r="D7" i="773"/>
  <c r="D4" i="773"/>
  <c r="E4" i="773" s="1"/>
  <c r="S27" i="773"/>
  <c r="R27" i="773"/>
  <c r="Q27" i="773"/>
  <c r="P27" i="773"/>
  <c r="O27" i="773"/>
  <c r="N27" i="773"/>
  <c r="M27" i="773"/>
  <c r="L27" i="773"/>
  <c r="K27" i="773"/>
  <c r="J27" i="773"/>
  <c r="I27" i="773"/>
  <c r="H27" i="773"/>
  <c r="G27" i="773"/>
  <c r="F27" i="773"/>
  <c r="E27" i="773"/>
  <c r="W26" i="773"/>
  <c r="T26" i="773"/>
  <c r="W25" i="773"/>
  <c r="T25" i="773"/>
  <c r="T24" i="773"/>
  <c r="K24" i="712" s="1"/>
  <c r="T23" i="773"/>
  <c r="K23" i="712" s="1"/>
  <c r="U23" i="773"/>
  <c r="W23" i="773" s="1"/>
  <c r="T22" i="773"/>
  <c r="K22" i="712" s="1"/>
  <c r="T21" i="773"/>
  <c r="K21" i="712" s="1"/>
  <c r="T20" i="773"/>
  <c r="K20" i="712" s="1"/>
  <c r="T19" i="773"/>
  <c r="K19" i="712" s="1"/>
  <c r="U19" i="773"/>
  <c r="W19" i="773" s="1"/>
  <c r="T18" i="773"/>
  <c r="K18" i="712" s="1"/>
  <c r="U18" i="773"/>
  <c r="W18" i="773" s="1"/>
  <c r="T17" i="773"/>
  <c r="K17" i="712" s="1"/>
  <c r="U17" i="773"/>
  <c r="W17" i="773" s="1"/>
  <c r="T16" i="773"/>
  <c r="K16" i="712" s="1"/>
  <c r="T15" i="773"/>
  <c r="K15" i="712" s="1"/>
  <c r="T14" i="773"/>
  <c r="K14" i="712" s="1"/>
  <c r="T13" i="773"/>
  <c r="K13" i="712" s="1"/>
  <c r="U13" i="773"/>
  <c r="W13" i="773" s="1"/>
  <c r="T12" i="773"/>
  <c r="K12" i="712" s="1"/>
  <c r="T11" i="773"/>
  <c r="K11" i="712" s="1"/>
  <c r="T10" i="773"/>
  <c r="K10" i="712" s="1"/>
  <c r="U10" i="773"/>
  <c r="W10" i="773" s="1"/>
  <c r="T9" i="773"/>
  <c r="K9" i="712" s="1"/>
  <c r="U9" i="773"/>
  <c r="W9" i="773" s="1"/>
  <c r="T8" i="773"/>
  <c r="K8" i="712" s="1"/>
  <c r="T7" i="773"/>
  <c r="K7" i="712" s="1"/>
  <c r="D27" i="773" l="1"/>
  <c r="D16" i="774"/>
  <c r="U16" i="774" s="1"/>
  <c r="W16" i="774" s="1"/>
  <c r="U16" i="775"/>
  <c r="W16" i="775" s="1"/>
  <c r="D21" i="774"/>
  <c r="U21" i="774" s="1"/>
  <c r="W21" i="774" s="1"/>
  <c r="U21" i="775"/>
  <c r="W21" i="775" s="1"/>
  <c r="D11" i="774"/>
  <c r="U11" i="774" s="1"/>
  <c r="W11" i="774" s="1"/>
  <c r="D18" i="774"/>
  <c r="U18" i="774" s="1"/>
  <c r="W18" i="774" s="1"/>
  <c r="U18" i="775"/>
  <c r="W18" i="775" s="1"/>
  <c r="W7" i="774"/>
  <c r="U7" i="773"/>
  <c r="D8" i="772"/>
  <c r="D9" i="772"/>
  <c r="D10" i="772"/>
  <c r="D11" i="772"/>
  <c r="D12" i="772"/>
  <c r="D13" i="772"/>
  <c r="D14" i="772"/>
  <c r="D15" i="772"/>
  <c r="D16" i="772"/>
  <c r="D17" i="772"/>
  <c r="D18" i="772"/>
  <c r="D19" i="772"/>
  <c r="D20" i="772"/>
  <c r="D21" i="772"/>
  <c r="D22" i="772"/>
  <c r="D23" i="772"/>
  <c r="D24" i="772"/>
  <c r="D25" i="772"/>
  <c r="D26" i="772"/>
  <c r="D8" i="771"/>
  <c r="D9" i="771"/>
  <c r="D10" i="771"/>
  <c r="D11" i="771"/>
  <c r="D12" i="771"/>
  <c r="D13" i="771"/>
  <c r="D14" i="771"/>
  <c r="D15" i="771"/>
  <c r="D16" i="771"/>
  <c r="D17" i="771"/>
  <c r="D18" i="771"/>
  <c r="D19" i="771"/>
  <c r="D20" i="771"/>
  <c r="D21" i="771"/>
  <c r="D22" i="771"/>
  <c r="D23" i="771"/>
  <c r="D24" i="771"/>
  <c r="D25" i="771"/>
  <c r="D26" i="771"/>
  <c r="D7" i="771"/>
  <c r="D7" i="772"/>
  <c r="D4" i="772"/>
  <c r="E4" i="772" s="1"/>
  <c r="S27" i="772"/>
  <c r="R27" i="772"/>
  <c r="Q27" i="772"/>
  <c r="P27" i="772"/>
  <c r="O27" i="772"/>
  <c r="N27" i="772"/>
  <c r="M27" i="772"/>
  <c r="L27" i="772"/>
  <c r="K27" i="772"/>
  <c r="J27" i="772"/>
  <c r="I27" i="772"/>
  <c r="H27" i="772"/>
  <c r="G27" i="772"/>
  <c r="F27" i="772"/>
  <c r="E27" i="772"/>
  <c r="W26" i="772"/>
  <c r="T26" i="772"/>
  <c r="W25" i="772"/>
  <c r="T25" i="772"/>
  <c r="T24" i="772"/>
  <c r="J24" i="712" s="1"/>
  <c r="U24" i="772"/>
  <c r="W24" i="772" s="1"/>
  <c r="T23" i="772"/>
  <c r="J23" i="712" s="1"/>
  <c r="U23" i="772"/>
  <c r="W23" i="772" s="1"/>
  <c r="T22" i="772"/>
  <c r="J22" i="712" s="1"/>
  <c r="U22" i="772"/>
  <c r="W22" i="772" s="1"/>
  <c r="T21" i="772"/>
  <c r="J21" i="712" s="1"/>
  <c r="U21" i="772"/>
  <c r="W21" i="772" s="1"/>
  <c r="T20" i="772"/>
  <c r="J20" i="712" s="1"/>
  <c r="U20" i="772"/>
  <c r="W20" i="772" s="1"/>
  <c r="T19" i="772"/>
  <c r="J19" i="712" s="1"/>
  <c r="U19" i="772"/>
  <c r="W19" i="772" s="1"/>
  <c r="T18" i="772"/>
  <c r="J18" i="712" s="1"/>
  <c r="U18" i="772"/>
  <c r="W18" i="772" s="1"/>
  <c r="T17" i="772"/>
  <c r="J17" i="712" s="1"/>
  <c r="U17" i="772"/>
  <c r="W17" i="772" s="1"/>
  <c r="T16" i="772"/>
  <c r="J16" i="712" s="1"/>
  <c r="U16" i="772"/>
  <c r="W16" i="772" s="1"/>
  <c r="T15" i="772"/>
  <c r="J15" i="712" s="1"/>
  <c r="U15" i="772"/>
  <c r="W15" i="772" s="1"/>
  <c r="T14" i="772"/>
  <c r="J14" i="712" s="1"/>
  <c r="U14" i="772"/>
  <c r="W14" i="772" s="1"/>
  <c r="T13" i="772"/>
  <c r="J13" i="712" s="1"/>
  <c r="U13" i="772"/>
  <c r="W13" i="772" s="1"/>
  <c r="T12" i="772"/>
  <c r="J12" i="712" s="1"/>
  <c r="U12" i="772"/>
  <c r="W12" i="772" s="1"/>
  <c r="T11" i="772"/>
  <c r="J11" i="712" s="1"/>
  <c r="U11" i="772"/>
  <c r="W11" i="772" s="1"/>
  <c r="T10" i="772"/>
  <c r="J10" i="712" s="1"/>
  <c r="U10" i="772"/>
  <c r="W10" i="772" s="1"/>
  <c r="T9" i="772"/>
  <c r="J9" i="712" s="1"/>
  <c r="U9" i="772"/>
  <c r="W9" i="772" s="1"/>
  <c r="T8" i="772"/>
  <c r="J8" i="712" s="1"/>
  <c r="U8" i="772"/>
  <c r="W8" i="772" s="1"/>
  <c r="T7" i="772"/>
  <c r="J7" i="712" s="1"/>
  <c r="D27" i="772"/>
  <c r="D27" i="774" l="1"/>
  <c r="W27" i="774"/>
  <c r="U27" i="774"/>
  <c r="U11" i="775"/>
  <c r="D27" i="775"/>
  <c r="W7" i="773"/>
  <c r="W27" i="773" s="1"/>
  <c r="U27" i="773"/>
  <c r="U7" i="772"/>
  <c r="D4" i="771"/>
  <c r="E4" i="771" s="1"/>
  <c r="S27" i="771"/>
  <c r="R27" i="771"/>
  <c r="Q27" i="771"/>
  <c r="P27" i="771"/>
  <c r="O27" i="771"/>
  <c r="N27" i="771"/>
  <c r="M27" i="771"/>
  <c r="L27" i="771"/>
  <c r="K27" i="771"/>
  <c r="J27" i="771"/>
  <c r="I27" i="771"/>
  <c r="H27" i="771"/>
  <c r="G27" i="771"/>
  <c r="F27" i="771"/>
  <c r="E27" i="771"/>
  <c r="W26" i="771"/>
  <c r="T26" i="771"/>
  <c r="W25" i="771"/>
  <c r="T25" i="771"/>
  <c r="T24" i="771"/>
  <c r="I24" i="712" s="1"/>
  <c r="U24" i="771"/>
  <c r="W24" i="771" s="1"/>
  <c r="T23" i="771"/>
  <c r="I23" i="712" s="1"/>
  <c r="U23" i="771"/>
  <c r="W23" i="771" s="1"/>
  <c r="T22" i="771"/>
  <c r="I22" i="712" s="1"/>
  <c r="U22" i="771"/>
  <c r="W22" i="771" s="1"/>
  <c r="T21" i="771"/>
  <c r="I21" i="712" s="1"/>
  <c r="U21" i="771"/>
  <c r="W21" i="771" s="1"/>
  <c r="T20" i="771"/>
  <c r="I20" i="712" s="1"/>
  <c r="U20" i="771"/>
  <c r="W20" i="771" s="1"/>
  <c r="T19" i="771"/>
  <c r="I19" i="712" s="1"/>
  <c r="U19" i="771"/>
  <c r="W19" i="771" s="1"/>
  <c r="T18" i="771"/>
  <c r="I18" i="712" s="1"/>
  <c r="U18" i="771"/>
  <c r="W18" i="771" s="1"/>
  <c r="T17" i="771"/>
  <c r="I17" i="712" s="1"/>
  <c r="U17" i="771"/>
  <c r="W17" i="771" s="1"/>
  <c r="T16" i="771"/>
  <c r="I16" i="712" s="1"/>
  <c r="U16" i="771"/>
  <c r="W16" i="771" s="1"/>
  <c r="T15" i="771"/>
  <c r="I15" i="712" s="1"/>
  <c r="U15" i="771"/>
  <c r="W15" i="771" s="1"/>
  <c r="T14" i="771"/>
  <c r="I14" i="712" s="1"/>
  <c r="U14" i="771"/>
  <c r="W14" i="771" s="1"/>
  <c r="T13" i="771"/>
  <c r="I13" i="712" s="1"/>
  <c r="U13" i="771"/>
  <c r="W13" i="771" s="1"/>
  <c r="T12" i="771"/>
  <c r="I12" i="712" s="1"/>
  <c r="U12" i="771"/>
  <c r="W12" i="771" s="1"/>
  <c r="T11" i="771"/>
  <c r="I11" i="712" s="1"/>
  <c r="U11" i="771"/>
  <c r="W11" i="771" s="1"/>
  <c r="T10" i="771"/>
  <c r="I10" i="712" s="1"/>
  <c r="U10" i="771"/>
  <c r="W10" i="771" s="1"/>
  <c r="T9" i="771"/>
  <c r="I9" i="712" s="1"/>
  <c r="U9" i="771"/>
  <c r="W9" i="771" s="1"/>
  <c r="T8" i="771"/>
  <c r="I8" i="712" s="1"/>
  <c r="U8" i="771"/>
  <c r="W8" i="771" s="1"/>
  <c r="T7" i="771"/>
  <c r="I7" i="712" s="1"/>
  <c r="D27" i="771"/>
  <c r="W11" i="775" l="1"/>
  <c r="W27" i="775" s="1"/>
  <c r="U27" i="775"/>
  <c r="W7" i="772"/>
  <c r="W27" i="772" s="1"/>
  <c r="U27" i="772"/>
  <c r="U7" i="771"/>
  <c r="D8" i="770"/>
  <c r="D9" i="770"/>
  <c r="D10" i="770"/>
  <c r="U10" i="770" s="1"/>
  <c r="W10" i="770" s="1"/>
  <c r="D11" i="770"/>
  <c r="D12" i="770"/>
  <c r="D13" i="770"/>
  <c r="D14" i="770"/>
  <c r="U14" i="770" s="1"/>
  <c r="W14" i="770" s="1"/>
  <c r="D15" i="770"/>
  <c r="D16" i="770"/>
  <c r="D17" i="770"/>
  <c r="D18" i="770"/>
  <c r="U18" i="770" s="1"/>
  <c r="W18" i="770" s="1"/>
  <c r="D19" i="770"/>
  <c r="D20" i="770"/>
  <c r="D21" i="770"/>
  <c r="D22" i="770"/>
  <c r="U22" i="770" s="1"/>
  <c r="W22" i="770" s="1"/>
  <c r="D23" i="770"/>
  <c r="D24" i="770"/>
  <c r="U24" i="770" s="1"/>
  <c r="W24" i="770" s="1"/>
  <c r="D25" i="770"/>
  <c r="D26" i="770"/>
  <c r="D7" i="770"/>
  <c r="D4" i="770"/>
  <c r="E4" i="770" s="1"/>
  <c r="S27" i="770"/>
  <c r="R27" i="770"/>
  <c r="Q27" i="770"/>
  <c r="P27" i="770"/>
  <c r="O27" i="770"/>
  <c r="N27" i="770"/>
  <c r="M27" i="770"/>
  <c r="L27" i="770"/>
  <c r="K27" i="770"/>
  <c r="J27" i="770"/>
  <c r="I27" i="770"/>
  <c r="H27" i="770"/>
  <c r="G27" i="770"/>
  <c r="F27" i="770"/>
  <c r="E27" i="770"/>
  <c r="W26" i="770"/>
  <c r="T26" i="770"/>
  <c r="W25" i="770"/>
  <c r="T25" i="770"/>
  <c r="T24" i="770"/>
  <c r="H24" i="712" s="1"/>
  <c r="T23" i="770"/>
  <c r="H23" i="712" s="1"/>
  <c r="U23" i="770"/>
  <c r="W23" i="770" s="1"/>
  <c r="T22" i="770"/>
  <c r="H22" i="712" s="1"/>
  <c r="T21" i="770"/>
  <c r="H21" i="712" s="1"/>
  <c r="U21" i="770"/>
  <c r="W21" i="770" s="1"/>
  <c r="T20" i="770"/>
  <c r="H20" i="712" s="1"/>
  <c r="U20" i="770"/>
  <c r="W20" i="770" s="1"/>
  <c r="T19" i="770"/>
  <c r="H19" i="712" s="1"/>
  <c r="U19" i="770"/>
  <c r="W19" i="770" s="1"/>
  <c r="T18" i="770"/>
  <c r="H18" i="712" s="1"/>
  <c r="T17" i="770"/>
  <c r="H17" i="712" s="1"/>
  <c r="U17" i="770"/>
  <c r="W17" i="770" s="1"/>
  <c r="T16" i="770"/>
  <c r="H16" i="712" s="1"/>
  <c r="U16" i="770"/>
  <c r="W16" i="770" s="1"/>
  <c r="T15" i="770"/>
  <c r="H15" i="712" s="1"/>
  <c r="U15" i="770"/>
  <c r="W15" i="770" s="1"/>
  <c r="T14" i="770"/>
  <c r="H14" i="712" s="1"/>
  <c r="T13" i="770"/>
  <c r="H13" i="712" s="1"/>
  <c r="U13" i="770"/>
  <c r="W13" i="770" s="1"/>
  <c r="T12" i="770"/>
  <c r="H12" i="712" s="1"/>
  <c r="U12" i="770"/>
  <c r="W12" i="770" s="1"/>
  <c r="T11" i="770"/>
  <c r="H11" i="712" s="1"/>
  <c r="U11" i="770"/>
  <c r="W11" i="770" s="1"/>
  <c r="T10" i="770"/>
  <c r="H10" i="712" s="1"/>
  <c r="T9" i="770"/>
  <c r="H9" i="712" s="1"/>
  <c r="U9" i="770"/>
  <c r="W9" i="770" s="1"/>
  <c r="T8" i="770"/>
  <c r="H8" i="712" s="1"/>
  <c r="U8" i="770"/>
  <c r="W8" i="770" s="1"/>
  <c r="T7" i="770"/>
  <c r="H7" i="712" s="1"/>
  <c r="D27" i="770"/>
  <c r="D8" i="769"/>
  <c r="D9" i="769"/>
  <c r="D10" i="769"/>
  <c r="D11" i="769"/>
  <c r="D12" i="769"/>
  <c r="D13" i="769"/>
  <c r="D14" i="769"/>
  <c r="D15" i="769"/>
  <c r="D16" i="769"/>
  <c r="D17" i="769"/>
  <c r="D18" i="769"/>
  <c r="D19" i="769"/>
  <c r="D20" i="769"/>
  <c r="D21" i="769"/>
  <c r="D22" i="769"/>
  <c r="D23" i="769"/>
  <c r="D24" i="769"/>
  <c r="D25" i="769"/>
  <c r="D26" i="769"/>
  <c r="D7" i="769"/>
  <c r="D4" i="769"/>
  <c r="D4" i="768"/>
  <c r="D8" i="768"/>
  <c r="D9" i="768"/>
  <c r="D10" i="768"/>
  <c r="D11" i="768"/>
  <c r="D12" i="768"/>
  <c r="D13" i="768"/>
  <c r="D14" i="768"/>
  <c r="D15" i="768"/>
  <c r="D16" i="768"/>
  <c r="D17" i="768"/>
  <c r="D18" i="768"/>
  <c r="D19" i="768"/>
  <c r="D20" i="768"/>
  <c r="D21" i="768"/>
  <c r="D22" i="768"/>
  <c r="D23" i="768"/>
  <c r="D24" i="768"/>
  <c r="D25" i="768"/>
  <c r="D26" i="768"/>
  <c r="D7" i="768"/>
  <c r="W7" i="771" l="1"/>
  <c r="W27" i="771" s="1"/>
  <c r="U27" i="771"/>
  <c r="U7" i="770"/>
  <c r="S27" i="769"/>
  <c r="R27" i="769"/>
  <c r="Q27" i="769"/>
  <c r="P27" i="769"/>
  <c r="O27" i="769"/>
  <c r="N27" i="769"/>
  <c r="M27" i="769"/>
  <c r="L27" i="769"/>
  <c r="K27" i="769"/>
  <c r="J27" i="769"/>
  <c r="I27" i="769"/>
  <c r="H27" i="769"/>
  <c r="G27" i="769"/>
  <c r="F27" i="769"/>
  <c r="E27" i="769"/>
  <c r="W26" i="769"/>
  <c r="T26" i="769"/>
  <c r="W25" i="769"/>
  <c r="T25" i="769"/>
  <c r="T24" i="769"/>
  <c r="G24" i="712" s="1"/>
  <c r="U24" i="769"/>
  <c r="W24" i="769" s="1"/>
  <c r="T23" i="769"/>
  <c r="G23" i="712" s="1"/>
  <c r="U23" i="769"/>
  <c r="W23" i="769" s="1"/>
  <c r="T22" i="769"/>
  <c r="G22" i="712" s="1"/>
  <c r="U22" i="769"/>
  <c r="W22" i="769" s="1"/>
  <c r="T21" i="769"/>
  <c r="G21" i="712" s="1"/>
  <c r="U21" i="769"/>
  <c r="W21" i="769" s="1"/>
  <c r="T20" i="769"/>
  <c r="G20" i="712" s="1"/>
  <c r="U20" i="769"/>
  <c r="W20" i="769" s="1"/>
  <c r="T19" i="769"/>
  <c r="G19" i="712" s="1"/>
  <c r="U19" i="769"/>
  <c r="W19" i="769" s="1"/>
  <c r="T18" i="769"/>
  <c r="G18" i="712" s="1"/>
  <c r="U18" i="769"/>
  <c r="W18" i="769" s="1"/>
  <c r="T17" i="769"/>
  <c r="G17" i="712" s="1"/>
  <c r="U17" i="769"/>
  <c r="W17" i="769" s="1"/>
  <c r="T16" i="769"/>
  <c r="G16" i="712" s="1"/>
  <c r="U16" i="769"/>
  <c r="W16" i="769" s="1"/>
  <c r="T15" i="769"/>
  <c r="G15" i="712" s="1"/>
  <c r="U15" i="769"/>
  <c r="W15" i="769" s="1"/>
  <c r="T14" i="769"/>
  <c r="G14" i="712" s="1"/>
  <c r="U14" i="769"/>
  <c r="W14" i="769" s="1"/>
  <c r="T13" i="769"/>
  <c r="G13" i="712" s="1"/>
  <c r="U13" i="769"/>
  <c r="W13" i="769" s="1"/>
  <c r="T12" i="769"/>
  <c r="G12" i="712" s="1"/>
  <c r="U12" i="769"/>
  <c r="W12" i="769" s="1"/>
  <c r="T11" i="769"/>
  <c r="G11" i="712" s="1"/>
  <c r="U11" i="769"/>
  <c r="W11" i="769" s="1"/>
  <c r="T10" i="769"/>
  <c r="G10" i="712" s="1"/>
  <c r="U10" i="769"/>
  <c r="W10" i="769" s="1"/>
  <c r="T9" i="769"/>
  <c r="G9" i="712" s="1"/>
  <c r="U9" i="769"/>
  <c r="W9" i="769" s="1"/>
  <c r="T8" i="769"/>
  <c r="G8" i="712" s="1"/>
  <c r="U8" i="769"/>
  <c r="W8" i="769" s="1"/>
  <c r="T7" i="769"/>
  <c r="G7" i="712" s="1"/>
  <c r="D27" i="769"/>
  <c r="E4" i="769"/>
  <c r="S27" i="768"/>
  <c r="R27" i="768"/>
  <c r="Q27" i="768"/>
  <c r="P27" i="768"/>
  <c r="O27" i="768"/>
  <c r="N27" i="768"/>
  <c r="M27" i="768"/>
  <c r="L27" i="768"/>
  <c r="K27" i="768"/>
  <c r="J27" i="768"/>
  <c r="I27" i="768"/>
  <c r="H27" i="768"/>
  <c r="G27" i="768"/>
  <c r="F27" i="768"/>
  <c r="E27" i="768"/>
  <c r="W26" i="768"/>
  <c r="T26" i="768"/>
  <c r="W25" i="768"/>
  <c r="T25" i="768"/>
  <c r="T24" i="768"/>
  <c r="F24" i="712" s="1"/>
  <c r="U24" i="768"/>
  <c r="W24" i="768" s="1"/>
  <c r="T23" i="768"/>
  <c r="F23" i="712" s="1"/>
  <c r="U23" i="768"/>
  <c r="W23" i="768" s="1"/>
  <c r="T22" i="768"/>
  <c r="F22" i="712" s="1"/>
  <c r="U22" i="768"/>
  <c r="W22" i="768" s="1"/>
  <c r="T21" i="768"/>
  <c r="F21" i="712" s="1"/>
  <c r="U21" i="768"/>
  <c r="W21" i="768" s="1"/>
  <c r="T20" i="768"/>
  <c r="F20" i="712" s="1"/>
  <c r="U20" i="768"/>
  <c r="W20" i="768" s="1"/>
  <c r="T19" i="768"/>
  <c r="F19" i="712" s="1"/>
  <c r="U19" i="768"/>
  <c r="W19" i="768" s="1"/>
  <c r="T18" i="768"/>
  <c r="F18" i="712" s="1"/>
  <c r="U18" i="768"/>
  <c r="W18" i="768" s="1"/>
  <c r="T17" i="768"/>
  <c r="F17" i="712" s="1"/>
  <c r="U17" i="768"/>
  <c r="W17" i="768" s="1"/>
  <c r="T16" i="768"/>
  <c r="F16" i="712" s="1"/>
  <c r="U16" i="768"/>
  <c r="W16" i="768" s="1"/>
  <c r="T15" i="768"/>
  <c r="F15" i="712" s="1"/>
  <c r="U15" i="768"/>
  <c r="W15" i="768" s="1"/>
  <c r="T14" i="768"/>
  <c r="F14" i="712" s="1"/>
  <c r="U14" i="768"/>
  <c r="W14" i="768" s="1"/>
  <c r="T13" i="768"/>
  <c r="F13" i="712" s="1"/>
  <c r="U13" i="768"/>
  <c r="W13" i="768" s="1"/>
  <c r="T12" i="768"/>
  <c r="F12" i="712" s="1"/>
  <c r="U12" i="768"/>
  <c r="W12" i="768" s="1"/>
  <c r="T11" i="768"/>
  <c r="F11" i="712" s="1"/>
  <c r="U11" i="768"/>
  <c r="W11" i="768" s="1"/>
  <c r="T10" i="768"/>
  <c r="F10" i="712" s="1"/>
  <c r="U10" i="768"/>
  <c r="W10" i="768" s="1"/>
  <c r="T9" i="768"/>
  <c r="F9" i="712" s="1"/>
  <c r="U9" i="768"/>
  <c r="W9" i="768" s="1"/>
  <c r="T8" i="768"/>
  <c r="F8" i="712" s="1"/>
  <c r="U8" i="768"/>
  <c r="W8" i="768" s="1"/>
  <c r="T7" i="768"/>
  <c r="F7" i="712" s="1"/>
  <c r="D27" i="768"/>
  <c r="E4" i="768"/>
  <c r="W7" i="770" l="1"/>
  <c r="W27" i="770" s="1"/>
  <c r="U27" i="770"/>
  <c r="U7" i="769"/>
  <c r="U7" i="768"/>
  <c r="D25" i="767"/>
  <c r="D26" i="767"/>
  <c r="D4" i="767"/>
  <c r="E4" i="767" s="1"/>
  <c r="S27" i="767"/>
  <c r="R27" i="767"/>
  <c r="Q27" i="767"/>
  <c r="P27" i="767"/>
  <c r="O27" i="767"/>
  <c r="N27" i="767"/>
  <c r="M27" i="767"/>
  <c r="L27" i="767"/>
  <c r="K27" i="767"/>
  <c r="J27" i="767"/>
  <c r="I27" i="767"/>
  <c r="H27" i="767"/>
  <c r="G27" i="767"/>
  <c r="F27" i="767"/>
  <c r="E27" i="767"/>
  <c r="W26" i="767"/>
  <c r="T26" i="767"/>
  <c r="W25" i="767"/>
  <c r="T25" i="767"/>
  <c r="T24" i="767"/>
  <c r="E24" i="712" s="1"/>
  <c r="U24" i="767"/>
  <c r="W24" i="767" s="1"/>
  <c r="T23" i="767"/>
  <c r="E23" i="712" s="1"/>
  <c r="U23" i="767"/>
  <c r="W23" i="767" s="1"/>
  <c r="T22" i="767"/>
  <c r="E22" i="712" s="1"/>
  <c r="U22" i="767"/>
  <c r="W22" i="767" s="1"/>
  <c r="T21" i="767"/>
  <c r="E21" i="712" s="1"/>
  <c r="U21" i="767"/>
  <c r="W21" i="767" s="1"/>
  <c r="T20" i="767"/>
  <c r="E20" i="712" s="1"/>
  <c r="U20" i="767"/>
  <c r="W20" i="767" s="1"/>
  <c r="T19" i="767"/>
  <c r="E19" i="712" s="1"/>
  <c r="U19" i="767"/>
  <c r="W19" i="767" s="1"/>
  <c r="T18" i="767"/>
  <c r="E18" i="712" s="1"/>
  <c r="U18" i="767"/>
  <c r="W18" i="767" s="1"/>
  <c r="T17" i="767"/>
  <c r="E17" i="712" s="1"/>
  <c r="U17" i="767"/>
  <c r="W17" i="767" s="1"/>
  <c r="T16" i="767"/>
  <c r="E16" i="712" s="1"/>
  <c r="U16" i="767"/>
  <c r="W16" i="767" s="1"/>
  <c r="T15" i="767"/>
  <c r="E15" i="712" s="1"/>
  <c r="U15" i="767"/>
  <c r="W15" i="767" s="1"/>
  <c r="T14" i="767"/>
  <c r="E14" i="712" s="1"/>
  <c r="U14" i="767"/>
  <c r="W14" i="767" s="1"/>
  <c r="T13" i="767"/>
  <c r="E13" i="712" s="1"/>
  <c r="U13" i="767"/>
  <c r="W13" i="767" s="1"/>
  <c r="T12" i="767"/>
  <c r="E12" i="712" s="1"/>
  <c r="U12" i="767"/>
  <c r="W12" i="767" s="1"/>
  <c r="T11" i="767"/>
  <c r="E11" i="712" s="1"/>
  <c r="U11" i="767"/>
  <c r="W11" i="767" s="1"/>
  <c r="T10" i="767"/>
  <c r="E10" i="712" s="1"/>
  <c r="U10" i="767"/>
  <c r="W10" i="767" s="1"/>
  <c r="T9" i="767"/>
  <c r="E9" i="712" s="1"/>
  <c r="U9" i="767"/>
  <c r="W9" i="767" s="1"/>
  <c r="T8" i="767"/>
  <c r="E8" i="712" s="1"/>
  <c r="U8" i="767"/>
  <c r="W8" i="767" s="1"/>
  <c r="T7" i="767"/>
  <c r="E7" i="712" s="1"/>
  <c r="D27" i="767"/>
  <c r="W7" i="769" l="1"/>
  <c r="W27" i="769" s="1"/>
  <c r="U27" i="769"/>
  <c r="W7" i="768"/>
  <c r="W27" i="768" s="1"/>
  <c r="U27" i="768"/>
  <c r="U7" i="767"/>
  <c r="W7" i="767" l="1"/>
  <c r="W27" i="767" s="1"/>
  <c r="U27" i="767"/>
  <c r="F6" i="712" l="1"/>
  <c r="G6" i="712" s="1"/>
  <c r="H6" i="712" s="1"/>
  <c r="I6" i="712" s="1"/>
  <c r="J6" i="712" s="1"/>
  <c r="K6" i="712" s="1"/>
  <c r="L6" i="712" s="1"/>
  <c r="M6" i="712" s="1"/>
  <c r="N6" i="712" s="1"/>
  <c r="O6" i="712" s="1"/>
  <c r="P6" i="712" s="1"/>
  <c r="Q6" i="712" s="1"/>
  <c r="R6" i="712" s="1"/>
  <c r="S6" i="712" s="1"/>
  <c r="T6" i="712" s="1"/>
  <c r="U6" i="712" s="1"/>
  <c r="V6" i="712" s="1"/>
  <c r="W6" i="712" s="1"/>
  <c r="X6" i="712" s="1"/>
  <c r="Y6" i="712" s="1"/>
  <c r="Z6" i="712" s="1"/>
  <c r="AA6" i="712" s="1"/>
  <c r="AB6" i="712" s="1"/>
  <c r="AC6" i="712" s="1"/>
  <c r="AD6" i="712" s="1"/>
  <c r="AE6" i="712" s="1"/>
  <c r="AF6" i="712" s="1"/>
  <c r="AG6" i="712" s="1"/>
  <c r="AH6" i="712" s="1"/>
  <c r="F6" i="710"/>
  <c r="G6" i="710" s="1"/>
  <c r="H6" i="710" s="1"/>
  <c r="I6" i="710" s="1"/>
  <c r="J6" i="710" s="1"/>
  <c r="K6" i="710" s="1"/>
  <c r="L6" i="710" s="1"/>
  <c r="M6" i="710" s="1"/>
  <c r="N6" i="710" s="1"/>
  <c r="O6" i="710" s="1"/>
  <c r="P6" i="710" s="1"/>
  <c r="Q6" i="710" s="1"/>
  <c r="R6" i="710" s="1"/>
  <c r="S6" i="710" s="1"/>
  <c r="T6" i="710" s="1"/>
  <c r="U6" i="710" s="1"/>
  <c r="V6" i="710" s="1"/>
  <c r="W6" i="710" s="1"/>
  <c r="X6" i="710" s="1"/>
  <c r="Y6" i="710" s="1"/>
  <c r="Z6" i="710" s="1"/>
  <c r="AA6" i="710" s="1"/>
  <c r="AB6" i="710" s="1"/>
  <c r="AC6" i="710" s="1"/>
  <c r="AD6" i="710" s="1"/>
  <c r="AE6" i="710" s="1"/>
  <c r="AF6" i="710" s="1"/>
  <c r="AG6" i="710" s="1"/>
  <c r="AH6" i="710" s="1"/>
  <c r="AH25" i="710" l="1"/>
  <c r="AH26" i="710"/>
  <c r="AH26" i="712"/>
  <c r="AH25" i="712"/>
  <c r="AE25" i="710" l="1"/>
  <c r="AF25" i="710"/>
  <c r="AG25" i="710"/>
  <c r="AE26" i="710"/>
  <c r="AF26" i="710"/>
  <c r="AG26" i="710"/>
  <c r="AG26" i="712"/>
  <c r="AG25" i="712"/>
  <c r="AF26" i="712" l="1"/>
  <c r="AF25" i="712"/>
  <c r="AD25" i="710" l="1"/>
  <c r="AD26" i="710"/>
  <c r="AE26" i="712"/>
  <c r="AE25" i="712"/>
  <c r="AD26" i="712" l="1"/>
  <c r="AD25" i="712"/>
  <c r="X25" i="710" l="1"/>
  <c r="Y25" i="710"/>
  <c r="Z25" i="710"/>
  <c r="AA25" i="710"/>
  <c r="AB25" i="710"/>
  <c r="AC25" i="710"/>
  <c r="X26" i="710"/>
  <c r="Y26" i="710"/>
  <c r="Z26" i="710"/>
  <c r="AA26" i="710"/>
  <c r="AB26" i="710"/>
  <c r="AC26" i="710"/>
  <c r="AC26" i="712"/>
  <c r="AC25" i="712"/>
  <c r="AB26" i="712" l="1"/>
  <c r="AB25" i="712"/>
  <c r="AA26" i="712"/>
  <c r="AA25" i="712"/>
  <c r="Z26" i="712" l="1"/>
  <c r="Z25" i="712"/>
  <c r="Y26" i="712" l="1"/>
  <c r="Y25" i="712"/>
  <c r="T25" i="710" l="1"/>
  <c r="U25" i="710"/>
  <c r="V25" i="710"/>
  <c r="W25" i="710"/>
  <c r="T26" i="710"/>
  <c r="U26" i="710"/>
  <c r="V26" i="710"/>
  <c r="W26" i="710"/>
  <c r="X26" i="712"/>
  <c r="X25" i="712"/>
  <c r="W26" i="712" l="1"/>
  <c r="W25" i="712"/>
  <c r="V26" i="712" l="1"/>
  <c r="V25" i="712"/>
  <c r="U26" i="712" l="1"/>
  <c r="U25" i="712"/>
  <c r="T26" i="712"/>
  <c r="T25" i="712"/>
  <c r="S25" i="710" l="1"/>
  <c r="S26" i="710"/>
  <c r="S26" i="712" l="1"/>
  <c r="S25" i="712"/>
  <c r="R25" i="710" l="1"/>
  <c r="R26" i="710"/>
  <c r="Q25" i="710" l="1"/>
  <c r="Q26" i="710"/>
  <c r="R26" i="712"/>
  <c r="R25" i="712"/>
  <c r="P25" i="710" l="1"/>
  <c r="P26" i="710"/>
  <c r="Q26" i="712"/>
  <c r="Q25" i="712"/>
  <c r="P26" i="712" l="1"/>
  <c r="P25" i="712"/>
  <c r="O25" i="710" l="1"/>
  <c r="O26" i="710"/>
  <c r="M25" i="710" l="1"/>
  <c r="N25" i="710"/>
  <c r="M26" i="710"/>
  <c r="N26" i="710"/>
  <c r="O26" i="712"/>
  <c r="O25" i="712"/>
  <c r="D25" i="715" l="1"/>
  <c r="D8" i="715"/>
  <c r="D9" i="715"/>
  <c r="D10" i="715"/>
  <c r="D11" i="715"/>
  <c r="D12" i="715"/>
  <c r="D13" i="715"/>
  <c r="D14" i="715"/>
  <c r="D15" i="715"/>
  <c r="D16" i="715"/>
  <c r="D17" i="715"/>
  <c r="D18" i="715"/>
  <c r="D19" i="715"/>
  <c r="D20" i="715"/>
  <c r="D21" i="715"/>
  <c r="D22" i="715"/>
  <c r="D23" i="715"/>
  <c r="D24" i="715"/>
  <c r="D26" i="715"/>
  <c r="D7" i="715" l="1"/>
  <c r="D27" i="715" s="1"/>
  <c r="N26" i="712" l="1"/>
  <c r="N25" i="712"/>
  <c r="M26" i="712" l="1"/>
  <c r="M25" i="712"/>
  <c r="L25" i="710" l="1"/>
  <c r="L26" i="710"/>
  <c r="K25" i="710"/>
  <c r="K26" i="710"/>
  <c r="J25" i="710"/>
  <c r="J26" i="710"/>
  <c r="I25" i="710"/>
  <c r="I26" i="710"/>
  <c r="H25" i="710"/>
  <c r="H26" i="710"/>
  <c r="G25" i="710"/>
  <c r="G26" i="710"/>
  <c r="F25" i="710"/>
  <c r="F26" i="710"/>
  <c r="D9" i="710"/>
  <c r="D11" i="710"/>
  <c r="D13" i="710"/>
  <c r="D15" i="710"/>
  <c r="D17" i="710"/>
  <c r="D19" i="710"/>
  <c r="D21" i="710"/>
  <c r="D23" i="710"/>
  <c r="E25" i="710"/>
  <c r="D25" i="710" s="1"/>
  <c r="E26" i="710"/>
  <c r="D26" i="710" s="1"/>
  <c r="E4" i="712"/>
  <c r="D8" i="710"/>
  <c r="D10" i="710"/>
  <c r="D12" i="710"/>
  <c r="D14" i="710"/>
  <c r="D16" i="710"/>
  <c r="D18" i="710"/>
  <c r="D20" i="710"/>
  <c r="D22" i="710"/>
  <c r="D24" i="710"/>
  <c r="J25" i="712"/>
  <c r="J26" i="712"/>
  <c r="I25" i="712"/>
  <c r="I26" i="712"/>
  <c r="H25" i="712"/>
  <c r="H26" i="712"/>
  <c r="G25" i="712"/>
  <c r="G26" i="712"/>
  <c r="F25" i="712"/>
  <c r="F26" i="712"/>
  <c r="E25" i="712"/>
  <c r="E26" i="712"/>
  <c r="D7" i="710" l="1"/>
  <c r="L26" i="712"/>
  <c r="L25" i="712"/>
  <c r="D12" i="712"/>
  <c r="D13" i="712"/>
  <c r="D14" i="712"/>
  <c r="D15" i="712"/>
  <c r="D16" i="712"/>
  <c r="D17" i="712"/>
  <c r="D18" i="712"/>
  <c r="D19" i="712"/>
  <c r="D20" i="712"/>
  <c r="D22" i="712"/>
  <c r="D23" i="712"/>
  <c r="K25" i="712"/>
  <c r="D25" i="712" s="1"/>
  <c r="K26" i="712"/>
  <c r="D26" i="712" l="1"/>
  <c r="D7" i="712"/>
  <c r="D9" i="712"/>
  <c r="D11" i="712"/>
  <c r="D21" i="712"/>
  <c r="D8" i="712"/>
  <c r="D10" i="712"/>
  <c r="D24" i="712"/>
  <c r="D27" i="712" l="1"/>
  <c r="D27" i="710" l="1"/>
  <c r="M16" i="279" l="1"/>
  <c r="M15" i="279"/>
  <c r="M12" i="279"/>
  <c r="D8" i="278"/>
  <c r="D9" i="278"/>
  <c r="D10" i="278"/>
  <c r="D11" i="278"/>
  <c r="L11" i="278" s="1"/>
  <c r="N11" i="278" s="1"/>
  <c r="D12" i="278"/>
  <c r="D13" i="278"/>
  <c r="D14" i="278"/>
  <c r="D15" i="278"/>
  <c r="D16" i="278"/>
  <c r="D17" i="278"/>
  <c r="D18" i="278"/>
  <c r="D19" i="278"/>
  <c r="D20" i="278"/>
  <c r="D21" i="278"/>
  <c r="D10" i="276"/>
  <c r="D11" i="276"/>
  <c r="D12" i="276"/>
  <c r="D13" i="276"/>
  <c r="D14" i="276"/>
  <c r="D15" i="276"/>
  <c r="D16" i="276"/>
  <c r="D17" i="276"/>
  <c r="D18" i="276"/>
  <c r="D19" i="276"/>
  <c r="D20" i="276"/>
  <c r="D21" i="276"/>
  <c r="D22" i="276"/>
  <c r="D23" i="276"/>
  <c r="D24" i="276"/>
  <c r="D25" i="276"/>
  <c r="D10" i="275"/>
  <c r="D11" i="275"/>
  <c r="D12" i="275"/>
  <c r="D13" i="275"/>
  <c r="D14" i="275"/>
  <c r="D15" i="275"/>
  <c r="D16" i="275"/>
  <c r="D17" i="275"/>
  <c r="D18" i="275"/>
  <c r="D19" i="275"/>
  <c r="D20" i="275"/>
  <c r="D21" i="275"/>
  <c r="D22" i="275"/>
  <c r="D23" i="275"/>
  <c r="D24" i="275"/>
  <c r="D25" i="275"/>
  <c r="D8" i="274"/>
  <c r="D9" i="274"/>
  <c r="D10" i="274"/>
  <c r="D11" i="274"/>
  <c r="D12" i="274"/>
  <c r="D13" i="274"/>
  <c r="D14" i="274"/>
  <c r="D15" i="274"/>
  <c r="D16" i="274"/>
  <c r="D17" i="274"/>
  <c r="D18" i="274"/>
  <c r="D19" i="274"/>
  <c r="D20" i="274"/>
  <c r="D21" i="274"/>
  <c r="D22" i="274"/>
  <c r="D23" i="274"/>
  <c r="D24" i="274"/>
  <c r="D25" i="274"/>
  <c r="D8" i="273"/>
  <c r="D10" i="273"/>
  <c r="D11" i="273"/>
  <c r="D13" i="273"/>
  <c r="D14" i="273"/>
  <c r="D15" i="273"/>
  <c r="D16" i="273"/>
  <c r="D17" i="273"/>
  <c r="D18" i="273"/>
  <c r="D19" i="273"/>
  <c r="D20" i="273"/>
  <c r="D21" i="273"/>
  <c r="D22" i="273"/>
  <c r="D23" i="273"/>
  <c r="D24" i="273"/>
  <c r="D25" i="273"/>
  <c r="D8" i="272"/>
  <c r="D10" i="272"/>
  <c r="D11" i="272"/>
  <c r="D13" i="272"/>
  <c r="D14" i="272"/>
  <c r="D15" i="272"/>
  <c r="D16" i="272"/>
  <c r="D17" i="272"/>
  <c r="D18" i="272"/>
  <c r="D19" i="272"/>
  <c r="D20" i="272"/>
  <c r="D21" i="272"/>
  <c r="D22" i="272"/>
  <c r="D23" i="272"/>
  <c r="D24" i="272"/>
  <c r="D25" i="272"/>
  <c r="D8" i="271"/>
  <c r="D10" i="271"/>
  <c r="D11" i="271"/>
  <c r="D13" i="271"/>
  <c r="D14" i="271"/>
  <c r="D15" i="271"/>
  <c r="D16" i="271"/>
  <c r="D17" i="271"/>
  <c r="D18" i="271"/>
  <c r="D19" i="271"/>
  <c r="D20" i="271"/>
  <c r="D21" i="271"/>
  <c r="D22" i="271"/>
  <c r="D23" i="271"/>
  <c r="D24" i="271"/>
  <c r="D25" i="271"/>
  <c r="M11" i="276"/>
  <c r="D11" i="277" s="1"/>
  <c r="D8" i="279"/>
  <c r="L8" i="279" s="1"/>
  <c r="N8" i="279" s="1"/>
  <c r="D9" i="279"/>
  <c r="L9" i="279" s="1"/>
  <c r="D10" i="279"/>
  <c r="L10" i="279" s="1"/>
  <c r="D11" i="279"/>
  <c r="L11" i="279" s="1"/>
  <c r="D12" i="279"/>
  <c r="L12" i="279" s="1"/>
  <c r="D13" i="279"/>
  <c r="L13" i="279" s="1"/>
  <c r="N13" i="279" s="1"/>
  <c r="D14" i="279"/>
  <c r="L14" i="279" s="1"/>
  <c r="N14" i="279" s="1"/>
  <c r="D15" i="279"/>
  <c r="L15" i="279" s="1"/>
  <c r="N15" i="279" s="1"/>
  <c r="D16" i="279"/>
  <c r="L16" i="279" s="1"/>
  <c r="D17" i="279"/>
  <c r="L17" i="279" s="1"/>
  <c r="N17" i="279" s="1"/>
  <c r="D18" i="279"/>
  <c r="L18" i="279" s="1"/>
  <c r="D19" i="279"/>
  <c r="L19" i="279" s="1"/>
  <c r="N19" i="279" s="1"/>
  <c r="D20" i="279"/>
  <c r="D21" i="279"/>
  <c r="L21" i="279" s="1"/>
  <c r="N21" i="279" s="1"/>
  <c r="D22" i="279"/>
  <c r="D13" i="270"/>
  <c r="D15" i="270"/>
  <c r="D17" i="270"/>
  <c r="D19" i="270"/>
  <c r="D20" i="270"/>
  <c r="D22" i="270"/>
  <c r="D23" i="270"/>
  <c r="D24" i="270"/>
  <c r="D25" i="270"/>
  <c r="M11" i="279"/>
  <c r="M10" i="279"/>
  <c r="M9" i="279"/>
  <c r="D4" i="279"/>
  <c r="E4" i="279" s="1"/>
  <c r="D7" i="279"/>
  <c r="L7" i="279" s="1"/>
  <c r="K27" i="279"/>
  <c r="J27" i="279"/>
  <c r="I27" i="279"/>
  <c r="H27" i="279"/>
  <c r="G27" i="279"/>
  <c r="F27" i="279"/>
  <c r="E27" i="279"/>
  <c r="L20" i="279"/>
  <c r="N20" i="279" s="1"/>
  <c r="D7" i="278"/>
  <c r="D4" i="278"/>
  <c r="E4" i="278" s="1"/>
  <c r="K27" i="278"/>
  <c r="J27" i="278"/>
  <c r="I27" i="278"/>
  <c r="H27" i="278"/>
  <c r="G27" i="278"/>
  <c r="F27" i="278"/>
  <c r="E27" i="278"/>
  <c r="D4" i="277"/>
  <c r="E4" i="277" s="1"/>
  <c r="K27" i="277"/>
  <c r="J27" i="277"/>
  <c r="I27" i="277"/>
  <c r="H27" i="277"/>
  <c r="G27" i="277"/>
  <c r="F27" i="277"/>
  <c r="E27" i="277"/>
  <c r="M18" i="276"/>
  <c r="M16" i="276"/>
  <c r="M9" i="276"/>
  <c r="D9" i="277" s="1"/>
  <c r="M7" i="276"/>
  <c r="N12" i="279" l="1"/>
  <c r="N16" i="279"/>
  <c r="L16" i="278"/>
  <c r="N16" i="278" s="1"/>
  <c r="N11" i="279"/>
  <c r="D18" i="277"/>
  <c r="L18" i="277" s="1"/>
  <c r="N18" i="277" s="1"/>
  <c r="D16" i="277"/>
  <c r="L16" i="277" s="1"/>
  <c r="N16" i="277" s="1"/>
  <c r="N18" i="279"/>
  <c r="N10" i="279"/>
  <c r="N9" i="279"/>
  <c r="L7" i="278"/>
  <c r="N7" i="279"/>
  <c r="L9" i="278"/>
  <c r="N9" i="278" s="1"/>
  <c r="L18" i="278"/>
  <c r="N18" i="278" s="1"/>
  <c r="N7" i="278"/>
  <c r="D7" i="277"/>
  <c r="L7" i="277" s="1"/>
  <c r="N7" i="277" s="1"/>
  <c r="L11" i="277"/>
  <c r="N11" i="277" s="1"/>
  <c r="M9" i="275"/>
  <c r="D9" i="276" s="1"/>
  <c r="L9" i="277" l="1"/>
  <c r="N9" i="277" s="1"/>
  <c r="D8" i="276"/>
  <c r="M8" i="276" s="1"/>
  <c r="M10" i="276"/>
  <c r="D10" i="277" s="1"/>
  <c r="M13" i="276"/>
  <c r="D13" i="277" s="1"/>
  <c r="M15" i="276"/>
  <c r="D15" i="277" s="1"/>
  <c r="M17" i="276"/>
  <c r="D17" i="277" s="1"/>
  <c r="M19" i="276"/>
  <c r="D19" i="277" s="1"/>
  <c r="M21" i="276"/>
  <c r="D21" i="277" s="1"/>
  <c r="M23" i="276"/>
  <c r="D23" i="277" s="1"/>
  <c r="M24" i="276"/>
  <c r="M25" i="276"/>
  <c r="D25" i="277" s="1"/>
  <c r="D7" i="276"/>
  <c r="L7" i="276" s="1"/>
  <c r="D4" i="276"/>
  <c r="E4" i="276" s="1"/>
  <c r="K27" i="276"/>
  <c r="J27" i="276"/>
  <c r="I27" i="276"/>
  <c r="H27" i="276"/>
  <c r="G27" i="276"/>
  <c r="F27" i="276"/>
  <c r="E27" i="276"/>
  <c r="L10" i="276"/>
  <c r="N10" i="276" s="1"/>
  <c r="D7" i="275"/>
  <c r="D4" i="275"/>
  <c r="N24" i="276" l="1"/>
  <c r="D24" i="277"/>
  <c r="N25" i="276"/>
  <c r="M25" i="277"/>
  <c r="D25" i="278" s="1"/>
  <c r="N23" i="276"/>
  <c r="M23" i="277"/>
  <c r="D23" i="278" s="1"/>
  <c r="L21" i="278"/>
  <c r="N21" i="278" s="1"/>
  <c r="L21" i="277"/>
  <c r="N21" i="277" s="1"/>
  <c r="L19" i="278"/>
  <c r="N19" i="278" s="1"/>
  <c r="L19" i="277"/>
  <c r="N19" i="277" s="1"/>
  <c r="L15" i="278"/>
  <c r="N15" i="278" s="1"/>
  <c r="L15" i="277"/>
  <c r="N15" i="277" s="1"/>
  <c r="L13" i="278"/>
  <c r="N13" i="278" s="1"/>
  <c r="L13" i="277"/>
  <c r="N13" i="277" s="1"/>
  <c r="L17" i="276"/>
  <c r="N17" i="276" s="1"/>
  <c r="M24" i="277"/>
  <c r="D24" i="278" s="1"/>
  <c r="L10" i="278"/>
  <c r="N10" i="278" s="1"/>
  <c r="L10" i="277"/>
  <c r="N10" i="277" s="1"/>
  <c r="D8" i="277"/>
  <c r="L8" i="277" s="1"/>
  <c r="L8" i="278"/>
  <c r="L17" i="278"/>
  <c r="N17" i="278" s="1"/>
  <c r="L17" i="277"/>
  <c r="N17" i="277" s="1"/>
  <c r="L13" i="276"/>
  <c r="N13" i="276" s="1"/>
  <c r="L21" i="276"/>
  <c r="N21" i="276" s="1"/>
  <c r="L15" i="276"/>
  <c r="N15" i="276" s="1"/>
  <c r="L19" i="276"/>
  <c r="N19" i="276" s="1"/>
  <c r="L22" i="276"/>
  <c r="M22" i="276"/>
  <c r="D22" i="277" s="1"/>
  <c r="L20" i="276"/>
  <c r="M20" i="276"/>
  <c r="D20" i="277" s="1"/>
  <c r="L18" i="276"/>
  <c r="N18" i="276" s="1"/>
  <c r="L16" i="276"/>
  <c r="N16" i="276" s="1"/>
  <c r="L14" i="276"/>
  <c r="M14" i="276"/>
  <c r="D14" i="277" s="1"/>
  <c r="L12" i="276"/>
  <c r="M12" i="276"/>
  <c r="D12" i="277" s="1"/>
  <c r="N7" i="276"/>
  <c r="M9" i="274"/>
  <c r="L9" i="276" l="1"/>
  <c r="N9" i="276" s="1"/>
  <c r="D9" i="275"/>
  <c r="L9" i="275" s="1"/>
  <c r="N9" i="275" s="1"/>
  <c r="N24" i="277"/>
  <c r="M24" i="278"/>
  <c r="N23" i="277"/>
  <c r="M23" i="278"/>
  <c r="N25" i="277"/>
  <c r="M25" i="278"/>
  <c r="L12" i="278"/>
  <c r="N12" i="278" s="1"/>
  <c r="L12" i="277"/>
  <c r="N12" i="277" s="1"/>
  <c r="L20" i="278"/>
  <c r="N20" i="278" s="1"/>
  <c r="L20" i="277"/>
  <c r="N20" i="277" s="1"/>
  <c r="N8" i="278"/>
  <c r="N8" i="277"/>
  <c r="L14" i="278"/>
  <c r="N14" i="278" s="1"/>
  <c r="L14" i="277"/>
  <c r="N14" i="277" s="1"/>
  <c r="N12" i="276"/>
  <c r="N14" i="276"/>
  <c r="N20" i="276"/>
  <c r="N22" i="276"/>
  <c r="K27" i="275"/>
  <c r="J27" i="275"/>
  <c r="I27" i="275"/>
  <c r="H27" i="275"/>
  <c r="G27" i="275"/>
  <c r="F27" i="275"/>
  <c r="E27" i="275"/>
  <c r="N25" i="275"/>
  <c r="N24" i="275"/>
  <c r="N23" i="275"/>
  <c r="L22" i="275"/>
  <c r="N22" i="275" s="1"/>
  <c r="L21" i="275"/>
  <c r="N21" i="275" s="1"/>
  <c r="L20" i="275"/>
  <c r="N20" i="275" s="1"/>
  <c r="L19" i="275"/>
  <c r="N19" i="275" s="1"/>
  <c r="L18" i="275"/>
  <c r="N18" i="275" s="1"/>
  <c r="L17" i="275"/>
  <c r="N17" i="275" s="1"/>
  <c r="L16" i="275"/>
  <c r="N16" i="275" s="1"/>
  <c r="L15" i="275"/>
  <c r="N15" i="275" s="1"/>
  <c r="L14" i="275"/>
  <c r="N14" i="275" s="1"/>
  <c r="L13" i="275"/>
  <c r="N13" i="275" s="1"/>
  <c r="L12" i="275"/>
  <c r="N12" i="275" s="1"/>
  <c r="L10" i="275"/>
  <c r="N10" i="275" s="1"/>
  <c r="L7" i="275"/>
  <c r="E4" i="275"/>
  <c r="M8" i="274"/>
  <c r="D8" i="275" s="1"/>
  <c r="D25" i="279" l="1"/>
  <c r="M25" i="279" s="1"/>
  <c r="D23" i="279"/>
  <c r="M23" i="279" s="1"/>
  <c r="D24" i="279"/>
  <c r="M24" i="279" s="1"/>
  <c r="N25" i="278"/>
  <c r="N23" i="278"/>
  <c r="N24" i="278"/>
  <c r="L22" i="277"/>
  <c r="L27" i="277" s="1"/>
  <c r="M22" i="277"/>
  <c r="D22" i="278" s="1"/>
  <c r="L11" i="276"/>
  <c r="N11" i="276" s="1"/>
  <c r="L11" i="275"/>
  <c r="N11" i="275" s="1"/>
  <c r="L8" i="276"/>
  <c r="L8" i="275"/>
  <c r="N8" i="275" s="1"/>
  <c r="N7" i="275"/>
  <c r="L10" i="274"/>
  <c r="N10" i="274" s="1"/>
  <c r="L13" i="274"/>
  <c r="N13" i="274" s="1"/>
  <c r="L14" i="274"/>
  <c r="N14" i="274" s="1"/>
  <c r="L15" i="274"/>
  <c r="N15" i="274" s="1"/>
  <c r="L16" i="274"/>
  <c r="N16" i="274" s="1"/>
  <c r="L17" i="274"/>
  <c r="N17" i="274" s="1"/>
  <c r="L18" i="274"/>
  <c r="N18" i="274" s="1"/>
  <c r="L19" i="274"/>
  <c r="N19" i="274" s="1"/>
  <c r="L20" i="274"/>
  <c r="N20" i="274" s="1"/>
  <c r="L21" i="274"/>
  <c r="N21" i="274" s="1"/>
  <c r="L22" i="274"/>
  <c r="N22" i="274" s="1"/>
  <c r="D7" i="274"/>
  <c r="L7" i="274" s="1"/>
  <c r="D4" i="274"/>
  <c r="E4" i="274" s="1"/>
  <c r="K27" i="274"/>
  <c r="J27" i="274"/>
  <c r="I27" i="274"/>
  <c r="H27" i="274"/>
  <c r="G27" i="274"/>
  <c r="F27" i="274"/>
  <c r="E27" i="274"/>
  <c r="N25" i="274"/>
  <c r="N24" i="274"/>
  <c r="N23" i="274"/>
  <c r="L8" i="274"/>
  <c r="N8" i="274" s="1"/>
  <c r="N23" i="279" l="1"/>
  <c r="N24" i="279"/>
  <c r="N25" i="279"/>
  <c r="L22" i="279"/>
  <c r="L22" i="278"/>
  <c r="L27" i="278" s="1"/>
  <c r="L27" i="275"/>
  <c r="N22" i="278"/>
  <c r="N22" i="277"/>
  <c r="N8" i="276"/>
  <c r="L27" i="276"/>
  <c r="N7" i="274"/>
  <c r="K27" i="273"/>
  <c r="J27" i="273"/>
  <c r="I27" i="273"/>
  <c r="H27" i="273"/>
  <c r="G27" i="273"/>
  <c r="F27" i="273"/>
  <c r="E27" i="273"/>
  <c r="N25" i="273"/>
  <c r="N24" i="273"/>
  <c r="N23" i="273"/>
  <c r="L22" i="273"/>
  <c r="N22" i="273" s="1"/>
  <c r="L21" i="273"/>
  <c r="N21" i="273" s="1"/>
  <c r="L20" i="273"/>
  <c r="N20" i="273" s="1"/>
  <c r="L19" i="273"/>
  <c r="N19" i="273" s="1"/>
  <c r="L18" i="273"/>
  <c r="N18" i="273" s="1"/>
  <c r="L17" i="273"/>
  <c r="N17" i="273" s="1"/>
  <c r="L16" i="273"/>
  <c r="N16" i="273" s="1"/>
  <c r="L15" i="273"/>
  <c r="N15" i="273" s="1"/>
  <c r="L14" i="273"/>
  <c r="N14" i="273" s="1"/>
  <c r="L13" i="273"/>
  <c r="N13" i="273" s="1"/>
  <c r="L10" i="273"/>
  <c r="N10" i="273" s="1"/>
  <c r="L8" i="273"/>
  <c r="N8" i="273" s="1"/>
  <c r="D7" i="273"/>
  <c r="L7" i="273" s="1"/>
  <c r="D4" i="273"/>
  <c r="E4" i="273" s="1"/>
  <c r="L8" i="272"/>
  <c r="N8" i="272" s="1"/>
  <c r="L10" i="272"/>
  <c r="N10" i="272" s="1"/>
  <c r="L13" i="272"/>
  <c r="N13" i="272" s="1"/>
  <c r="L14" i="272"/>
  <c r="N14" i="272" s="1"/>
  <c r="L15" i="272"/>
  <c r="N15" i="272" s="1"/>
  <c r="L16" i="272"/>
  <c r="N16" i="272" s="1"/>
  <c r="L17" i="272"/>
  <c r="N17" i="272" s="1"/>
  <c r="L18" i="272"/>
  <c r="N18" i="272" s="1"/>
  <c r="L19" i="272"/>
  <c r="N19" i="272" s="1"/>
  <c r="L20" i="272"/>
  <c r="N20" i="272" s="1"/>
  <c r="L21" i="272"/>
  <c r="N21" i="272" s="1"/>
  <c r="L22" i="272"/>
  <c r="N22" i="272" s="1"/>
  <c r="D7" i="272"/>
  <c r="L7" i="272" s="1"/>
  <c r="D4" i="272"/>
  <c r="E4" i="272" s="1"/>
  <c r="K27" i="272"/>
  <c r="J27" i="272"/>
  <c r="I27" i="272"/>
  <c r="H27" i="272"/>
  <c r="G27" i="272"/>
  <c r="F27" i="272"/>
  <c r="E27" i="272"/>
  <c r="N25" i="272"/>
  <c r="N24" i="272"/>
  <c r="N23" i="272"/>
  <c r="M12" i="272"/>
  <c r="M9" i="272"/>
  <c r="L13" i="271"/>
  <c r="N13" i="271" s="1"/>
  <c r="L15" i="271"/>
  <c r="N15" i="271" s="1"/>
  <c r="L19" i="271"/>
  <c r="N19" i="271" s="1"/>
  <c r="L20" i="271"/>
  <c r="N20" i="271" s="1"/>
  <c r="L22" i="271"/>
  <c r="N22" i="271" s="1"/>
  <c r="D7" i="271"/>
  <c r="D4" i="271"/>
  <c r="E4" i="271" s="1"/>
  <c r="K27" i="271"/>
  <c r="J27" i="271"/>
  <c r="I27" i="271"/>
  <c r="H27" i="271"/>
  <c r="G27" i="271"/>
  <c r="E27" i="271"/>
  <c r="N25" i="271"/>
  <c r="N24" i="271"/>
  <c r="N23" i="271"/>
  <c r="L17" i="271"/>
  <c r="N17" i="271" s="1"/>
  <c r="M12" i="271"/>
  <c r="M9" i="271"/>
  <c r="L8" i="271"/>
  <c r="N8" i="271" s="1"/>
  <c r="F27" i="271"/>
  <c r="D12" i="272" l="1"/>
  <c r="D12" i="273"/>
  <c r="L12" i="273" s="1"/>
  <c r="N12" i="273" s="1"/>
  <c r="D9" i="273"/>
  <c r="L9" i="273" s="1"/>
  <c r="N9" i="273" s="1"/>
  <c r="D9" i="272"/>
  <c r="N22" i="279"/>
  <c r="L27" i="279"/>
  <c r="L9" i="274"/>
  <c r="L12" i="274"/>
  <c r="N12" i="274" s="1"/>
  <c r="L11" i="274"/>
  <c r="N11" i="274" s="1"/>
  <c r="L11" i="273"/>
  <c r="N11" i="273" s="1"/>
  <c r="N7" i="273"/>
  <c r="N7" i="272"/>
  <c r="M12" i="270"/>
  <c r="D12" i="271" s="1"/>
  <c r="M9" i="270"/>
  <c r="D9" i="271" s="1"/>
  <c r="F7" i="270"/>
  <c r="N9" i="274" l="1"/>
  <c r="L27" i="274"/>
  <c r="L27" i="273"/>
  <c r="L9" i="272"/>
  <c r="L12" i="272"/>
  <c r="N12" i="272" s="1"/>
  <c r="L11" i="272"/>
  <c r="N11" i="272" s="1"/>
  <c r="D8" i="270"/>
  <c r="L8" i="270" s="1"/>
  <c r="N8" i="270" s="1"/>
  <c r="L17" i="270"/>
  <c r="N17" i="270" s="1"/>
  <c r="L19" i="270"/>
  <c r="N19" i="270" s="1"/>
  <c r="L22" i="270"/>
  <c r="N22" i="270" s="1"/>
  <c r="D4" i="270"/>
  <c r="E4" i="270" s="1"/>
  <c r="K27" i="270"/>
  <c r="J27" i="270"/>
  <c r="I27" i="270"/>
  <c r="H27" i="270"/>
  <c r="G27" i="270"/>
  <c r="F27" i="270"/>
  <c r="E27" i="270"/>
  <c r="N25" i="270"/>
  <c r="N24" i="270"/>
  <c r="N23" i="270"/>
  <c r="L20" i="270"/>
  <c r="N20" i="270" s="1"/>
  <c r="L15" i="270"/>
  <c r="N15" i="270" s="1"/>
  <c r="L13" i="270"/>
  <c r="N13" i="270" s="1"/>
  <c r="N9" i="272" l="1"/>
  <c r="L27" i="272"/>
  <c r="M18" i="269"/>
  <c r="D18" i="270" s="1"/>
  <c r="L18" i="270" l="1"/>
  <c r="N18" i="270" s="1"/>
  <c r="L18" i="271"/>
  <c r="N18" i="271" s="1"/>
  <c r="M21" i="269"/>
  <c r="D21" i="270" s="1"/>
  <c r="M16" i="269"/>
  <c r="D16" i="270" s="1"/>
  <c r="M9" i="269"/>
  <c r="M7" i="269"/>
  <c r="D9" i="270" l="1"/>
  <c r="L9" i="271"/>
  <c r="N9" i="271" s="1"/>
  <c r="L21" i="270"/>
  <c r="N21" i="270" s="1"/>
  <c r="L21" i="271"/>
  <c r="N21" i="271" s="1"/>
  <c r="D7" i="270"/>
  <c r="L7" i="271"/>
  <c r="L16" i="270"/>
  <c r="N16" i="270" s="1"/>
  <c r="L16" i="271"/>
  <c r="N16" i="271" s="1"/>
  <c r="M14" i="269"/>
  <c r="D14" i="270" s="1"/>
  <c r="M12" i="269"/>
  <c r="D12" i="270" s="1"/>
  <c r="M11" i="269"/>
  <c r="D11" i="270" s="1"/>
  <c r="M10" i="269"/>
  <c r="D8" i="269"/>
  <c r="L8" i="269" s="1"/>
  <c r="N8" i="269" s="1"/>
  <c r="D13" i="269"/>
  <c r="L13" i="269" s="1"/>
  <c r="N13" i="269" s="1"/>
  <c r="D15" i="269"/>
  <c r="L15" i="269" s="1"/>
  <c r="N15" i="269" s="1"/>
  <c r="D16" i="269"/>
  <c r="L16" i="269" s="1"/>
  <c r="N16" i="269" s="1"/>
  <c r="D17" i="269"/>
  <c r="L17" i="269" s="1"/>
  <c r="N17" i="269" s="1"/>
  <c r="D18" i="269"/>
  <c r="L18" i="269" s="1"/>
  <c r="N18" i="269" s="1"/>
  <c r="D19" i="269"/>
  <c r="L19" i="269" s="1"/>
  <c r="N19" i="269" s="1"/>
  <c r="D20" i="269"/>
  <c r="D21" i="269"/>
  <c r="D22" i="269"/>
  <c r="L22" i="269" s="1"/>
  <c r="N22" i="269" s="1"/>
  <c r="D23" i="269"/>
  <c r="D24" i="269"/>
  <c r="D25" i="269"/>
  <c r="D4" i="269"/>
  <c r="E4" i="269" s="1"/>
  <c r="K27" i="269"/>
  <c r="J27" i="269"/>
  <c r="I27" i="269"/>
  <c r="H27" i="269"/>
  <c r="G27" i="269"/>
  <c r="F27" i="269"/>
  <c r="N25" i="269"/>
  <c r="N24" i="269"/>
  <c r="N23" i="269"/>
  <c r="L21" i="269"/>
  <c r="N21" i="269" s="1"/>
  <c r="E27" i="269"/>
  <c r="L11" i="271" l="1"/>
  <c r="N11" i="271" s="1"/>
  <c r="D10" i="270"/>
  <c r="L10" i="271"/>
  <c r="N10" i="271" s="1"/>
  <c r="L12" i="271"/>
  <c r="N12" i="271" s="1"/>
  <c r="N7" i="271"/>
  <c r="L14" i="271"/>
  <c r="N14" i="271" s="1"/>
  <c r="M14" i="268"/>
  <c r="M7" i="268"/>
  <c r="M12" i="268"/>
  <c r="M9" i="268"/>
  <c r="M10" i="268"/>
  <c r="E10" i="268"/>
  <c r="E27" i="268" s="1"/>
  <c r="M11" i="268"/>
  <c r="M14" i="267"/>
  <c r="D14" i="268" s="1"/>
  <c r="M11" i="267"/>
  <c r="D11" i="268" s="1"/>
  <c r="M9" i="267"/>
  <c r="M7" i="267"/>
  <c r="D7" i="268" s="1"/>
  <c r="D8" i="268"/>
  <c r="L8" i="268" s="1"/>
  <c r="N8" i="268" s="1"/>
  <c r="D13" i="268"/>
  <c r="L13" i="268" s="1"/>
  <c r="N13" i="268" s="1"/>
  <c r="D15" i="268"/>
  <c r="L15" i="268" s="1"/>
  <c r="N15" i="268" s="1"/>
  <c r="D16" i="268"/>
  <c r="L16" i="268" s="1"/>
  <c r="N16" i="268" s="1"/>
  <c r="D17" i="268"/>
  <c r="L17" i="268" s="1"/>
  <c r="N17" i="268" s="1"/>
  <c r="D18" i="268"/>
  <c r="L18" i="268" s="1"/>
  <c r="N18" i="268" s="1"/>
  <c r="D19" i="268"/>
  <c r="L19" i="268" s="1"/>
  <c r="N19" i="268" s="1"/>
  <c r="D21" i="268"/>
  <c r="L21" i="268" s="1"/>
  <c r="N21" i="268" s="1"/>
  <c r="D22" i="268"/>
  <c r="L22" i="268" s="1"/>
  <c r="N22" i="268" s="1"/>
  <c r="D23" i="268"/>
  <c r="D24" i="268"/>
  <c r="D25" i="268"/>
  <c r="D4" i="268"/>
  <c r="E4" i="268" s="1"/>
  <c r="K27" i="268"/>
  <c r="J27" i="268"/>
  <c r="I27" i="268"/>
  <c r="H27" i="268"/>
  <c r="G27" i="268"/>
  <c r="F27" i="268"/>
  <c r="N25" i="268"/>
  <c r="N24" i="268"/>
  <c r="N23" i="268"/>
  <c r="L27" i="271" l="1"/>
  <c r="D9" i="269"/>
  <c r="L9" i="269" s="1"/>
  <c r="N9" i="269" s="1"/>
  <c r="L9" i="270"/>
  <c r="N9" i="270" s="1"/>
  <c r="D7" i="269"/>
  <c r="L7" i="269" s="1"/>
  <c r="N7" i="269" s="1"/>
  <c r="L7" i="270"/>
  <c r="D11" i="269"/>
  <c r="L11" i="269" s="1"/>
  <c r="N11" i="269" s="1"/>
  <c r="L11" i="270"/>
  <c r="N11" i="270" s="1"/>
  <c r="D10" i="269"/>
  <c r="L10" i="270"/>
  <c r="N10" i="270" s="1"/>
  <c r="D12" i="269"/>
  <c r="L12" i="270"/>
  <c r="N12" i="270" s="1"/>
  <c r="D14" i="269"/>
  <c r="L14" i="269" s="1"/>
  <c r="N14" i="269" s="1"/>
  <c r="L14" i="270"/>
  <c r="N14" i="270" s="1"/>
  <c r="D9" i="268"/>
  <c r="M20" i="267"/>
  <c r="M12" i="267"/>
  <c r="M10" i="267"/>
  <c r="D8" i="267"/>
  <c r="L8" i="267" s="1"/>
  <c r="N8" i="267" s="1"/>
  <c r="D13" i="267"/>
  <c r="D15" i="267"/>
  <c r="L15" i="267" s="1"/>
  <c r="N15" i="267" s="1"/>
  <c r="D16" i="267"/>
  <c r="L16" i="267" s="1"/>
  <c r="N16" i="267" s="1"/>
  <c r="D17" i="267"/>
  <c r="L17" i="267" s="1"/>
  <c r="N17" i="267" s="1"/>
  <c r="D18" i="267"/>
  <c r="L18" i="267" s="1"/>
  <c r="N18" i="267" s="1"/>
  <c r="D19" i="267"/>
  <c r="L19" i="267" s="1"/>
  <c r="N19" i="267" s="1"/>
  <c r="D21" i="267"/>
  <c r="D22" i="267"/>
  <c r="D23" i="267"/>
  <c r="D24" i="267"/>
  <c r="D25" i="267"/>
  <c r="D4" i="267"/>
  <c r="E4" i="267" s="1"/>
  <c r="K27" i="267"/>
  <c r="J27" i="267"/>
  <c r="I27" i="267"/>
  <c r="H27" i="267"/>
  <c r="G27" i="267"/>
  <c r="E27" i="267"/>
  <c r="N25" i="267"/>
  <c r="N24" i="267"/>
  <c r="N23" i="267"/>
  <c r="L22" i="267"/>
  <c r="N22" i="267" s="1"/>
  <c r="L21" i="267"/>
  <c r="N21" i="267" s="1"/>
  <c r="L13" i="267"/>
  <c r="N13" i="267" s="1"/>
  <c r="F27" i="267"/>
  <c r="L27" i="270" l="1"/>
  <c r="N7" i="270"/>
  <c r="L12" i="269"/>
  <c r="N12" i="269" s="1"/>
  <c r="D12" i="268"/>
  <c r="L10" i="269"/>
  <c r="D10" i="268"/>
  <c r="L20" i="269"/>
  <c r="N20" i="269" s="1"/>
  <c r="D20" i="268"/>
  <c r="M20" i="265"/>
  <c r="M14" i="265"/>
  <c r="M11" i="265"/>
  <c r="F11" i="265"/>
  <c r="F27" i="265" s="1"/>
  <c r="N23" i="265"/>
  <c r="N24" i="265"/>
  <c r="N25" i="265"/>
  <c r="M10" i="265"/>
  <c r="M7" i="265"/>
  <c r="M9" i="265"/>
  <c r="D8" i="265"/>
  <c r="D9" i="265"/>
  <c r="L9" i="265" s="1"/>
  <c r="N9" i="265" s="1"/>
  <c r="D10" i="265"/>
  <c r="D11" i="265"/>
  <c r="D12" i="265"/>
  <c r="L12" i="265" s="1"/>
  <c r="D13" i="265"/>
  <c r="L13" i="265" s="1"/>
  <c r="N13" i="265" s="1"/>
  <c r="D14" i="265"/>
  <c r="L14" i="265" s="1"/>
  <c r="D15" i="265"/>
  <c r="L15" i="265" s="1"/>
  <c r="N15" i="265" s="1"/>
  <c r="D16" i="265"/>
  <c r="L16" i="265" s="1"/>
  <c r="N16" i="265" s="1"/>
  <c r="D17" i="265"/>
  <c r="L17" i="265" s="1"/>
  <c r="N17" i="265" s="1"/>
  <c r="D18" i="265"/>
  <c r="L18" i="265" s="1"/>
  <c r="N18" i="265" s="1"/>
  <c r="D19" i="265"/>
  <c r="L19" i="265" s="1"/>
  <c r="N19" i="265" s="1"/>
  <c r="D20" i="265"/>
  <c r="L20" i="265" s="1"/>
  <c r="D21" i="265"/>
  <c r="L21" i="265" s="1"/>
  <c r="N21" i="265" s="1"/>
  <c r="D22" i="265"/>
  <c r="L22" i="265" s="1"/>
  <c r="N22" i="265" s="1"/>
  <c r="D23" i="265"/>
  <c r="D24" i="265"/>
  <c r="D25" i="265"/>
  <c r="D7" i="265"/>
  <c r="L7" i="265" s="1"/>
  <c r="D4" i="265"/>
  <c r="E4" i="265" s="1"/>
  <c r="K27" i="265"/>
  <c r="J27" i="265"/>
  <c r="I27" i="265"/>
  <c r="H27" i="265"/>
  <c r="G27" i="265"/>
  <c r="E27" i="265"/>
  <c r="L10" i="265"/>
  <c r="L8" i="265"/>
  <c r="N8" i="265" s="1"/>
  <c r="D8" i="264"/>
  <c r="L8" i="264" s="1"/>
  <c r="N8" i="264" s="1"/>
  <c r="D9" i="264"/>
  <c r="L9" i="264" s="1"/>
  <c r="N9" i="264" s="1"/>
  <c r="D10" i="264"/>
  <c r="L10" i="264" s="1"/>
  <c r="N10" i="264" s="1"/>
  <c r="D12" i="264"/>
  <c r="L12" i="264" s="1"/>
  <c r="N12" i="264" s="1"/>
  <c r="D13" i="264"/>
  <c r="L13" i="264" s="1"/>
  <c r="N13" i="264" s="1"/>
  <c r="D14" i="264"/>
  <c r="L14" i="264" s="1"/>
  <c r="N14" i="264" s="1"/>
  <c r="D15" i="264"/>
  <c r="L15" i="264" s="1"/>
  <c r="N15" i="264" s="1"/>
  <c r="D16" i="264"/>
  <c r="L16" i="264" s="1"/>
  <c r="N16" i="264" s="1"/>
  <c r="D17" i="264"/>
  <c r="L17" i="264" s="1"/>
  <c r="N17" i="264" s="1"/>
  <c r="D18" i="264"/>
  <c r="L18" i="264" s="1"/>
  <c r="N18" i="264" s="1"/>
  <c r="D19" i="264"/>
  <c r="L19" i="264" s="1"/>
  <c r="N19" i="264" s="1"/>
  <c r="D20" i="264"/>
  <c r="L20" i="264" s="1"/>
  <c r="N20" i="264" s="1"/>
  <c r="D21" i="264"/>
  <c r="L21" i="264" s="1"/>
  <c r="N21" i="264" s="1"/>
  <c r="D22" i="264"/>
  <c r="L22" i="264" s="1"/>
  <c r="N22" i="264" s="1"/>
  <c r="D23" i="264"/>
  <c r="D24" i="264"/>
  <c r="D25" i="264"/>
  <c r="D7" i="264"/>
  <c r="L7" i="264" s="1"/>
  <c r="D4" i="264"/>
  <c r="E4" i="264" s="1"/>
  <c r="K27" i="264"/>
  <c r="J27" i="264"/>
  <c r="I27" i="264"/>
  <c r="H27" i="264"/>
  <c r="G27" i="264"/>
  <c r="F27" i="264"/>
  <c r="E27" i="264"/>
  <c r="N25" i="264"/>
  <c r="N24" i="264"/>
  <c r="N23" i="264"/>
  <c r="M11" i="263"/>
  <c r="D8" i="263"/>
  <c r="L8" i="263" s="1"/>
  <c r="N8" i="263" s="1"/>
  <c r="D9" i="263"/>
  <c r="L9" i="263" s="1"/>
  <c r="N9" i="263" s="1"/>
  <c r="D10" i="263"/>
  <c r="D11" i="263"/>
  <c r="D12" i="263"/>
  <c r="D13" i="263"/>
  <c r="L13" i="263" s="1"/>
  <c r="N13" i="263" s="1"/>
  <c r="D14" i="263"/>
  <c r="L14" i="263" s="1"/>
  <c r="N14" i="263" s="1"/>
  <c r="D15" i="263"/>
  <c r="L15" i="263" s="1"/>
  <c r="N15" i="263" s="1"/>
  <c r="D16" i="263"/>
  <c r="L16" i="263" s="1"/>
  <c r="N16" i="263" s="1"/>
  <c r="D17" i="263"/>
  <c r="L17" i="263" s="1"/>
  <c r="N17" i="263" s="1"/>
  <c r="D18" i="263"/>
  <c r="D19" i="263"/>
  <c r="L19" i="263" s="1"/>
  <c r="N19" i="263" s="1"/>
  <c r="D20" i="263"/>
  <c r="D21" i="263"/>
  <c r="L21" i="263" s="1"/>
  <c r="N21" i="263" s="1"/>
  <c r="D22" i="263"/>
  <c r="L22" i="263" s="1"/>
  <c r="N22" i="263" s="1"/>
  <c r="D23" i="263"/>
  <c r="D24" i="263"/>
  <c r="D25" i="263"/>
  <c r="D7" i="263"/>
  <c r="D4" i="263"/>
  <c r="E4" i="263" s="1"/>
  <c r="K27" i="263"/>
  <c r="J27" i="263"/>
  <c r="I27" i="263"/>
  <c r="H27" i="263"/>
  <c r="G27" i="263"/>
  <c r="F27" i="263"/>
  <c r="E27" i="263"/>
  <c r="N25" i="263"/>
  <c r="N24" i="263"/>
  <c r="N23" i="263"/>
  <c r="L18" i="263"/>
  <c r="N18" i="263" s="1"/>
  <c r="D8" i="262"/>
  <c r="L8" i="262" s="1"/>
  <c r="N8" i="262" s="1"/>
  <c r="D9" i="262"/>
  <c r="D13" i="262"/>
  <c r="L13" i="262" s="1"/>
  <c r="N13" i="262" s="1"/>
  <c r="D14" i="262"/>
  <c r="L14" i="262" s="1"/>
  <c r="N14" i="262" s="1"/>
  <c r="D15" i="262"/>
  <c r="L15" i="262" s="1"/>
  <c r="N15" i="262" s="1"/>
  <c r="D16" i="262"/>
  <c r="L16" i="262" s="1"/>
  <c r="N16" i="262" s="1"/>
  <c r="D17" i="262"/>
  <c r="L17" i="262" s="1"/>
  <c r="N17" i="262" s="1"/>
  <c r="D18" i="262"/>
  <c r="D19" i="262"/>
  <c r="D21" i="262"/>
  <c r="D22" i="262"/>
  <c r="L22" i="262" s="1"/>
  <c r="N22" i="262" s="1"/>
  <c r="D23" i="262"/>
  <c r="D24" i="262"/>
  <c r="D25" i="262"/>
  <c r="D4" i="262"/>
  <c r="E4" i="262" s="1"/>
  <c r="K27" i="262"/>
  <c r="J27" i="262"/>
  <c r="I27" i="262"/>
  <c r="H27" i="262"/>
  <c r="G27" i="262"/>
  <c r="F27" i="262"/>
  <c r="E27" i="262"/>
  <c r="N25" i="262"/>
  <c r="N24" i="262"/>
  <c r="N23" i="262"/>
  <c r="L21" i="262"/>
  <c r="N21" i="262" s="1"/>
  <c r="L19" i="262"/>
  <c r="N19" i="262" s="1"/>
  <c r="N10" i="269" l="1"/>
  <c r="L27" i="269"/>
  <c r="L11" i="265"/>
  <c r="N11" i="265" s="1"/>
  <c r="D9" i="267"/>
  <c r="L9" i="267" s="1"/>
  <c r="N9" i="267" s="1"/>
  <c r="L9" i="268"/>
  <c r="N9" i="268" s="1"/>
  <c r="D10" i="267"/>
  <c r="L10" i="267" s="1"/>
  <c r="N10" i="267" s="1"/>
  <c r="L10" i="268"/>
  <c r="N10" i="268" s="1"/>
  <c r="D11" i="267"/>
  <c r="L11" i="267" s="1"/>
  <c r="N11" i="267" s="1"/>
  <c r="L11" i="268"/>
  <c r="N11" i="268" s="1"/>
  <c r="D20" i="267"/>
  <c r="L20" i="267" s="1"/>
  <c r="N20" i="267" s="1"/>
  <c r="L20" i="268"/>
  <c r="N20" i="268" s="1"/>
  <c r="D7" i="267"/>
  <c r="L7" i="267" s="1"/>
  <c r="N7" i="267" s="1"/>
  <c r="L7" i="268"/>
  <c r="D14" i="267"/>
  <c r="L14" i="267" s="1"/>
  <c r="N14" i="267" s="1"/>
  <c r="L14" i="268"/>
  <c r="N14" i="268" s="1"/>
  <c r="D12" i="267"/>
  <c r="L12" i="267" s="1"/>
  <c r="N12" i="267" s="1"/>
  <c r="L12" i="268"/>
  <c r="N12" i="268" s="1"/>
  <c r="N10" i="265"/>
  <c r="N14" i="265"/>
  <c r="N12" i="265"/>
  <c r="N20" i="265"/>
  <c r="N7" i="265"/>
  <c r="D11" i="264"/>
  <c r="L11" i="264" s="1"/>
  <c r="L27" i="264" s="1"/>
  <c r="N7" i="264"/>
  <c r="M12" i="261"/>
  <c r="M11" i="261"/>
  <c r="M7" i="261"/>
  <c r="L27" i="267" l="1"/>
  <c r="L27" i="268"/>
  <c r="N7" i="268"/>
  <c r="L27" i="265"/>
  <c r="N11" i="264"/>
  <c r="L11" i="263"/>
  <c r="N11" i="263" s="1"/>
  <c r="D11" i="262"/>
  <c r="L11" i="262" s="1"/>
  <c r="N11" i="262" s="1"/>
  <c r="L7" i="263"/>
  <c r="D7" i="262"/>
  <c r="L7" i="262" s="1"/>
  <c r="N7" i="262" s="1"/>
  <c r="L12" i="263"/>
  <c r="N12" i="263" s="1"/>
  <c r="D12" i="262"/>
  <c r="L12" i="262" s="1"/>
  <c r="N12" i="262" s="1"/>
  <c r="M20" i="261"/>
  <c r="N7" i="263" l="1"/>
  <c r="L10" i="263"/>
  <c r="N10" i="263" s="1"/>
  <c r="D10" i="262"/>
  <c r="L20" i="263"/>
  <c r="N20" i="263" s="1"/>
  <c r="D20" i="262"/>
  <c r="D4" i="261"/>
  <c r="E4" i="261" s="1"/>
  <c r="D8" i="261"/>
  <c r="L8" i="261" s="1"/>
  <c r="N8" i="261" s="1"/>
  <c r="D11" i="261"/>
  <c r="D12" i="261"/>
  <c r="L12" i="261" s="1"/>
  <c r="N12" i="261" s="1"/>
  <c r="D13" i="261"/>
  <c r="L13" i="261" s="1"/>
  <c r="N13" i="261" s="1"/>
  <c r="D14" i="261"/>
  <c r="L14" i="261" s="1"/>
  <c r="N14" i="261" s="1"/>
  <c r="D15" i="261"/>
  <c r="D16" i="261"/>
  <c r="L16" i="261" s="1"/>
  <c r="N16" i="261" s="1"/>
  <c r="D17" i="261"/>
  <c r="L17" i="261" s="1"/>
  <c r="N17" i="261" s="1"/>
  <c r="D19" i="261"/>
  <c r="L19" i="261" s="1"/>
  <c r="N19" i="261" s="1"/>
  <c r="D21" i="261"/>
  <c r="D22" i="261"/>
  <c r="D23" i="261"/>
  <c r="D24" i="261"/>
  <c r="D25" i="261"/>
  <c r="D7" i="261"/>
  <c r="K27" i="261"/>
  <c r="J27" i="261"/>
  <c r="I27" i="261"/>
  <c r="H27" i="261"/>
  <c r="G27" i="261"/>
  <c r="F27" i="261"/>
  <c r="E27" i="261"/>
  <c r="N25" i="261"/>
  <c r="N24" i="261"/>
  <c r="N23" i="261"/>
  <c r="L21" i="261"/>
  <c r="N21" i="261" s="1"/>
  <c r="L27" i="263" l="1"/>
  <c r="M20" i="260"/>
  <c r="M9" i="260"/>
  <c r="M18" i="260"/>
  <c r="L18" i="262" l="1"/>
  <c r="N18" i="262" s="1"/>
  <c r="D18" i="261"/>
  <c r="L18" i="261" s="1"/>
  <c r="N18" i="261" s="1"/>
  <c r="L20" i="262"/>
  <c r="N20" i="262" s="1"/>
  <c r="D20" i="261"/>
  <c r="L9" i="262"/>
  <c r="D9" i="261"/>
  <c r="M10" i="260"/>
  <c r="D8" i="260"/>
  <c r="D12" i="260"/>
  <c r="D13" i="260"/>
  <c r="L13" i="260" s="1"/>
  <c r="N13" i="260" s="1"/>
  <c r="D14" i="260"/>
  <c r="L14" i="260" s="1"/>
  <c r="N14" i="260" s="1"/>
  <c r="D16" i="260"/>
  <c r="L16" i="260" s="1"/>
  <c r="N16" i="260" s="1"/>
  <c r="D17" i="260"/>
  <c r="L17" i="260" s="1"/>
  <c r="N17" i="260" s="1"/>
  <c r="D18" i="260"/>
  <c r="L18" i="260" s="1"/>
  <c r="N18" i="260" s="1"/>
  <c r="D19" i="260"/>
  <c r="L19" i="260" s="1"/>
  <c r="N19" i="260" s="1"/>
  <c r="D21" i="260"/>
  <c r="L21" i="260" s="1"/>
  <c r="N21" i="260" s="1"/>
  <c r="D23" i="260"/>
  <c r="D24" i="260"/>
  <c r="D25" i="260"/>
  <c r="D4" i="260"/>
  <c r="E4" i="260" s="1"/>
  <c r="K27" i="260"/>
  <c r="J27" i="260"/>
  <c r="I27" i="260"/>
  <c r="H27" i="260"/>
  <c r="G27" i="260"/>
  <c r="F27" i="260"/>
  <c r="E27" i="260"/>
  <c r="N25" i="260"/>
  <c r="N24" i="260"/>
  <c r="N23" i="260"/>
  <c r="N9" i="262" l="1"/>
  <c r="L10" i="262"/>
  <c r="N10" i="262" s="1"/>
  <c r="D10" i="261"/>
  <c r="M9" i="259"/>
  <c r="L27" i="262" l="1"/>
  <c r="D9" i="260"/>
  <c r="L9" i="261"/>
  <c r="N9" i="261" s="1"/>
  <c r="M7" i="259"/>
  <c r="M10" i="259"/>
  <c r="M15" i="259"/>
  <c r="D15" i="260" l="1"/>
  <c r="L15" i="260" s="1"/>
  <c r="N15" i="260" s="1"/>
  <c r="L15" i="261"/>
  <c r="N15" i="261" s="1"/>
  <c r="D7" i="260"/>
  <c r="L7" i="261"/>
  <c r="D10" i="260"/>
  <c r="L10" i="260" s="1"/>
  <c r="N10" i="260" s="1"/>
  <c r="L10" i="261"/>
  <c r="N10" i="261" s="1"/>
  <c r="M20" i="259"/>
  <c r="M11" i="259"/>
  <c r="D20" i="260" l="1"/>
  <c r="L20" i="260" s="1"/>
  <c r="N20" i="260" s="1"/>
  <c r="L20" i="261"/>
  <c r="N20" i="261" s="1"/>
  <c r="D11" i="260"/>
  <c r="L11" i="261"/>
  <c r="N11" i="261" s="1"/>
  <c r="N7" i="261"/>
  <c r="D10" i="259"/>
  <c r="D13" i="259"/>
  <c r="L13" i="259" s="1"/>
  <c r="N13" i="259" s="1"/>
  <c r="D14" i="259"/>
  <c r="D15" i="259"/>
  <c r="L15" i="259" s="1"/>
  <c r="N15" i="259" s="1"/>
  <c r="D16" i="259"/>
  <c r="L16" i="259" s="1"/>
  <c r="N16" i="259" s="1"/>
  <c r="D17" i="259"/>
  <c r="L17" i="259" s="1"/>
  <c r="N17" i="259" s="1"/>
  <c r="D18" i="259"/>
  <c r="L18" i="259" s="1"/>
  <c r="N18" i="259" s="1"/>
  <c r="D19" i="259"/>
  <c r="L19" i="259" s="1"/>
  <c r="N19" i="259" s="1"/>
  <c r="D20" i="259"/>
  <c r="L20" i="259" s="1"/>
  <c r="N20" i="259" s="1"/>
  <c r="D21" i="259"/>
  <c r="D23" i="259"/>
  <c r="D24" i="259"/>
  <c r="D25" i="259"/>
  <c r="D4" i="259"/>
  <c r="E4" i="259" s="1"/>
  <c r="K27" i="259"/>
  <c r="J27" i="259"/>
  <c r="I27" i="259"/>
  <c r="H27" i="259"/>
  <c r="G27" i="259"/>
  <c r="F27" i="259"/>
  <c r="E27" i="259"/>
  <c r="N25" i="259"/>
  <c r="N24" i="259"/>
  <c r="N23" i="259"/>
  <c r="M22" i="259"/>
  <c r="L21" i="259"/>
  <c r="N21" i="259" s="1"/>
  <c r="L10" i="259"/>
  <c r="N10" i="259" s="1"/>
  <c r="D22" i="260" l="1"/>
  <c r="L22" i="261"/>
  <c r="M8" i="258"/>
  <c r="M11" i="258"/>
  <c r="M7" i="258"/>
  <c r="M22" i="258"/>
  <c r="M12" i="258"/>
  <c r="M9" i="258"/>
  <c r="N22" i="261" l="1"/>
  <c r="L27" i="261"/>
  <c r="D12" i="259"/>
  <c r="L12" i="260"/>
  <c r="N12" i="260" s="1"/>
  <c r="D7" i="259"/>
  <c r="L7" i="260"/>
  <c r="D8" i="259"/>
  <c r="L8" i="259" s="1"/>
  <c r="N8" i="259" s="1"/>
  <c r="L8" i="260"/>
  <c r="N8" i="260" s="1"/>
  <c r="D9" i="259"/>
  <c r="L9" i="260"/>
  <c r="N9" i="260" s="1"/>
  <c r="D22" i="259"/>
  <c r="L22" i="260"/>
  <c r="N22" i="260" s="1"/>
  <c r="D11" i="259"/>
  <c r="L11" i="260"/>
  <c r="N11" i="260" s="1"/>
  <c r="D8" i="258"/>
  <c r="L8" i="258" s="1"/>
  <c r="N8" i="258" s="1"/>
  <c r="D10" i="258"/>
  <c r="L10" i="258" s="1"/>
  <c r="N10" i="258" s="1"/>
  <c r="D13" i="258"/>
  <c r="L13" i="258" s="1"/>
  <c r="N13" i="258" s="1"/>
  <c r="D15" i="258"/>
  <c r="L15" i="258" s="1"/>
  <c r="N15" i="258" s="1"/>
  <c r="D16" i="258"/>
  <c r="L16" i="258" s="1"/>
  <c r="N16" i="258" s="1"/>
  <c r="D17" i="258"/>
  <c r="L17" i="258" s="1"/>
  <c r="N17" i="258" s="1"/>
  <c r="D18" i="258"/>
  <c r="L18" i="258" s="1"/>
  <c r="N18" i="258" s="1"/>
  <c r="D19" i="258"/>
  <c r="L19" i="258" s="1"/>
  <c r="N19" i="258" s="1"/>
  <c r="D20" i="258"/>
  <c r="L20" i="258" s="1"/>
  <c r="N20" i="258" s="1"/>
  <c r="D21" i="258"/>
  <c r="D23" i="258"/>
  <c r="D24" i="258"/>
  <c r="D25" i="258"/>
  <c r="D4" i="258"/>
  <c r="E4" i="258" s="1"/>
  <c r="K27" i="258"/>
  <c r="J27" i="258"/>
  <c r="I27" i="258"/>
  <c r="H27" i="258"/>
  <c r="G27" i="258"/>
  <c r="F27" i="258"/>
  <c r="E27" i="258"/>
  <c r="N25" i="258"/>
  <c r="N24" i="258"/>
  <c r="N23" i="258"/>
  <c r="L27" i="260" l="1"/>
  <c r="N7" i="260"/>
  <c r="M7" i="257"/>
  <c r="M12" i="257"/>
  <c r="M14" i="257"/>
  <c r="M22" i="257"/>
  <c r="L14" i="259" l="1"/>
  <c r="N14" i="259" s="1"/>
  <c r="D14" i="258"/>
  <c r="L14" i="258" s="1"/>
  <c r="N14" i="258" s="1"/>
  <c r="L7" i="259"/>
  <c r="D7" i="258"/>
  <c r="L7" i="258" s="1"/>
  <c r="N7" i="258" s="1"/>
  <c r="L22" i="259"/>
  <c r="N22" i="259" s="1"/>
  <c r="D22" i="258"/>
  <c r="L22" i="258" s="1"/>
  <c r="N22" i="258" s="1"/>
  <c r="L12" i="259"/>
  <c r="N12" i="259" s="1"/>
  <c r="D12" i="258"/>
  <c r="M11" i="257"/>
  <c r="M9" i="257"/>
  <c r="D8" i="257"/>
  <c r="L8" i="257" s="1"/>
  <c r="N8" i="257" s="1"/>
  <c r="D10" i="257"/>
  <c r="L10" i="257" s="1"/>
  <c r="N10" i="257" s="1"/>
  <c r="D13" i="257"/>
  <c r="L13" i="257" s="1"/>
  <c r="N13" i="257" s="1"/>
  <c r="D14" i="257"/>
  <c r="L14" i="257" s="1"/>
  <c r="N14" i="257" s="1"/>
  <c r="D15" i="257"/>
  <c r="L15" i="257" s="1"/>
  <c r="N15" i="257" s="1"/>
  <c r="D16" i="257"/>
  <c r="L16" i="257" s="1"/>
  <c r="N16" i="257" s="1"/>
  <c r="D17" i="257"/>
  <c r="L17" i="257" s="1"/>
  <c r="N17" i="257" s="1"/>
  <c r="D18" i="257"/>
  <c r="L18" i="257" s="1"/>
  <c r="N18" i="257" s="1"/>
  <c r="D19" i="257"/>
  <c r="D20" i="257"/>
  <c r="L20" i="257" s="1"/>
  <c r="N20" i="257" s="1"/>
  <c r="D22" i="257"/>
  <c r="L22" i="257" s="1"/>
  <c r="N22" i="257" s="1"/>
  <c r="D23" i="257"/>
  <c r="D24" i="257"/>
  <c r="D25" i="257"/>
  <c r="D7" i="257"/>
  <c r="D4" i="257"/>
  <c r="E4" i="257" s="1"/>
  <c r="K27" i="257"/>
  <c r="J27" i="257"/>
  <c r="I27" i="257"/>
  <c r="H27" i="257"/>
  <c r="G27" i="257"/>
  <c r="F27" i="257"/>
  <c r="E27" i="257"/>
  <c r="N25" i="257"/>
  <c r="N24" i="257"/>
  <c r="N23" i="257"/>
  <c r="L19" i="257"/>
  <c r="N19" i="257" s="1"/>
  <c r="D8" i="256"/>
  <c r="L8" i="256" s="1"/>
  <c r="N8" i="256" s="1"/>
  <c r="D10" i="256"/>
  <c r="L10" i="256" s="1"/>
  <c r="N10" i="256" s="1"/>
  <c r="D13" i="256"/>
  <c r="L13" i="256" s="1"/>
  <c r="N13" i="256" s="1"/>
  <c r="D14" i="256"/>
  <c r="L14" i="256" s="1"/>
  <c r="N14" i="256" s="1"/>
  <c r="D15" i="256"/>
  <c r="L15" i="256" s="1"/>
  <c r="N15" i="256" s="1"/>
  <c r="D16" i="256"/>
  <c r="D17" i="256"/>
  <c r="L17" i="256" s="1"/>
  <c r="N17" i="256" s="1"/>
  <c r="D18" i="256"/>
  <c r="L18" i="256" s="1"/>
  <c r="N18" i="256" s="1"/>
  <c r="D19" i="256"/>
  <c r="L19" i="256" s="1"/>
  <c r="N19" i="256" s="1"/>
  <c r="D20" i="256"/>
  <c r="D22" i="256"/>
  <c r="D23" i="256"/>
  <c r="D24" i="256"/>
  <c r="D25" i="256"/>
  <c r="D4" i="256"/>
  <c r="E4" i="256" s="1"/>
  <c r="K27" i="256"/>
  <c r="J27" i="256"/>
  <c r="I27" i="256"/>
  <c r="H27" i="256"/>
  <c r="G27" i="256"/>
  <c r="F27" i="256"/>
  <c r="N25" i="256"/>
  <c r="N24" i="256"/>
  <c r="N23" i="256"/>
  <c r="L22" i="256"/>
  <c r="N22" i="256" s="1"/>
  <c r="M21" i="256"/>
  <c r="M12" i="256"/>
  <c r="M11" i="256"/>
  <c r="E27" i="256"/>
  <c r="M9" i="256"/>
  <c r="L9" i="259" l="1"/>
  <c r="N9" i="259" s="1"/>
  <c r="D9" i="258"/>
  <c r="L9" i="258" s="1"/>
  <c r="L11" i="259"/>
  <c r="N11" i="259" s="1"/>
  <c r="D11" i="258"/>
  <c r="L11" i="258" s="1"/>
  <c r="N11" i="258" s="1"/>
  <c r="N7" i="259"/>
  <c r="D9" i="257"/>
  <c r="D21" i="257"/>
  <c r="L21" i="258"/>
  <c r="N21" i="258" s="1"/>
  <c r="D12" i="257"/>
  <c r="L12" i="258"/>
  <c r="N12" i="258" s="1"/>
  <c r="D11" i="257"/>
  <c r="L7" i="257"/>
  <c r="D7" i="256"/>
  <c r="M21" i="255"/>
  <c r="M11" i="255"/>
  <c r="E11" i="255"/>
  <c r="M12" i="255"/>
  <c r="M9" i="255"/>
  <c r="L27" i="259" l="1"/>
  <c r="N9" i="258"/>
  <c r="L27" i="258"/>
  <c r="L9" i="257"/>
  <c r="N9" i="257" s="1"/>
  <c r="D9" i="256"/>
  <c r="L21" i="257"/>
  <c r="N21" i="257" s="1"/>
  <c r="D21" i="256"/>
  <c r="L21" i="256" s="1"/>
  <c r="N21" i="256" s="1"/>
  <c r="N7" i="257"/>
  <c r="L12" i="257"/>
  <c r="N12" i="257" s="1"/>
  <c r="D12" i="256"/>
  <c r="L11" i="257"/>
  <c r="N11" i="257" s="1"/>
  <c r="D11" i="256"/>
  <c r="L11" i="256" s="1"/>
  <c r="N11" i="256" s="1"/>
  <c r="D8" i="255"/>
  <c r="L8" i="255" s="1"/>
  <c r="N8" i="255" s="1"/>
  <c r="D10" i="255"/>
  <c r="D11" i="255"/>
  <c r="D13" i="255"/>
  <c r="L13" i="255" s="1"/>
  <c r="N13" i="255" s="1"/>
  <c r="D14" i="255"/>
  <c r="L14" i="255" s="1"/>
  <c r="N14" i="255" s="1"/>
  <c r="D15" i="255"/>
  <c r="L15" i="255" s="1"/>
  <c r="N15" i="255" s="1"/>
  <c r="D17" i="255"/>
  <c r="L17" i="255" s="1"/>
  <c r="N17" i="255" s="1"/>
  <c r="D18" i="255"/>
  <c r="D19" i="255"/>
  <c r="D21" i="255"/>
  <c r="D22" i="255"/>
  <c r="L22" i="255" s="1"/>
  <c r="N22" i="255" s="1"/>
  <c r="D23" i="255"/>
  <c r="D24" i="255"/>
  <c r="D25" i="255"/>
  <c r="D4" i="255"/>
  <c r="E4" i="255" s="1"/>
  <c r="K27" i="255"/>
  <c r="J27" i="255"/>
  <c r="I27" i="255"/>
  <c r="H27" i="255"/>
  <c r="G27" i="255"/>
  <c r="F27" i="255"/>
  <c r="E27" i="255"/>
  <c r="N25" i="255"/>
  <c r="N24" i="255"/>
  <c r="N23" i="255"/>
  <c r="L21" i="255"/>
  <c r="N21" i="255" s="1"/>
  <c r="L19" i="255"/>
  <c r="N19" i="255" s="1"/>
  <c r="L18" i="255"/>
  <c r="N18" i="255" s="1"/>
  <c r="L27" i="257" l="1"/>
  <c r="M7" i="254"/>
  <c r="M20" i="254"/>
  <c r="M16" i="254"/>
  <c r="M12" i="254"/>
  <c r="M9" i="254"/>
  <c r="M7" i="253"/>
  <c r="M12" i="253"/>
  <c r="D12" i="254" s="1"/>
  <c r="M9" i="253"/>
  <c r="D9" i="254" s="1"/>
  <c r="D8" i="254"/>
  <c r="L8" i="254" s="1"/>
  <c r="N8" i="254" s="1"/>
  <c r="D13" i="254"/>
  <c r="L13" i="254" s="1"/>
  <c r="N13" i="254" s="1"/>
  <c r="D14" i="254"/>
  <c r="D15" i="254"/>
  <c r="L15" i="254" s="1"/>
  <c r="N15" i="254" s="1"/>
  <c r="D16" i="254"/>
  <c r="D17" i="254"/>
  <c r="L17" i="254" s="1"/>
  <c r="N17" i="254" s="1"/>
  <c r="D18" i="254"/>
  <c r="L18" i="254" s="1"/>
  <c r="N18" i="254" s="1"/>
  <c r="D19" i="254"/>
  <c r="D20" i="254"/>
  <c r="L20" i="254" s="1"/>
  <c r="D21" i="254"/>
  <c r="L21" i="254" s="1"/>
  <c r="N21" i="254" s="1"/>
  <c r="D22" i="254"/>
  <c r="L22" i="254" s="1"/>
  <c r="N22" i="254" s="1"/>
  <c r="D23" i="254"/>
  <c r="D24" i="254"/>
  <c r="D25" i="254"/>
  <c r="D4" i="254"/>
  <c r="E4" i="254" s="1"/>
  <c r="K27" i="254"/>
  <c r="J27" i="254"/>
  <c r="I27" i="254"/>
  <c r="H27" i="254"/>
  <c r="G27" i="254"/>
  <c r="F27" i="254"/>
  <c r="E27" i="254"/>
  <c r="N25" i="254"/>
  <c r="N24" i="254"/>
  <c r="N23" i="254"/>
  <c r="L19" i="254"/>
  <c r="N19" i="254" s="1"/>
  <c r="L9" i="256" l="1"/>
  <c r="N9" i="256" s="1"/>
  <c r="D9" i="255"/>
  <c r="L9" i="255" s="1"/>
  <c r="N9" i="255" s="1"/>
  <c r="L16" i="256"/>
  <c r="N16" i="256" s="1"/>
  <c r="D16" i="255"/>
  <c r="L16" i="255" s="1"/>
  <c r="N16" i="255" s="1"/>
  <c r="L12" i="256"/>
  <c r="N12" i="256" s="1"/>
  <c r="D12" i="255"/>
  <c r="L12" i="255" s="1"/>
  <c r="N12" i="255" s="1"/>
  <c r="L20" i="256"/>
  <c r="N20" i="256" s="1"/>
  <c r="D20" i="255"/>
  <c r="L20" i="255" s="1"/>
  <c r="N20" i="255" s="1"/>
  <c r="L7" i="256"/>
  <c r="D7" i="255"/>
  <c r="L7" i="255" s="1"/>
  <c r="N7" i="255" s="1"/>
  <c r="D7" i="254"/>
  <c r="N20" i="254"/>
  <c r="M11" i="253"/>
  <c r="M10" i="253"/>
  <c r="L27" i="256" l="1"/>
  <c r="N7" i="256"/>
  <c r="L11" i="255"/>
  <c r="N11" i="255" s="1"/>
  <c r="D11" i="254"/>
  <c r="L10" i="255"/>
  <c r="D10" i="254"/>
  <c r="D8" i="253"/>
  <c r="L8" i="253" s="1"/>
  <c r="N8" i="253" s="1"/>
  <c r="D13" i="253"/>
  <c r="L13" i="253" s="1"/>
  <c r="N13" i="253" s="1"/>
  <c r="D15" i="253"/>
  <c r="L15" i="253" s="1"/>
  <c r="N15" i="253" s="1"/>
  <c r="D17" i="253"/>
  <c r="L17" i="253" s="1"/>
  <c r="N17" i="253" s="1"/>
  <c r="D18" i="253"/>
  <c r="L18" i="253" s="1"/>
  <c r="N18" i="253" s="1"/>
  <c r="D19" i="253"/>
  <c r="L19" i="253" s="1"/>
  <c r="N19" i="253" s="1"/>
  <c r="D20" i="253"/>
  <c r="L20" i="253" s="1"/>
  <c r="N20" i="253" s="1"/>
  <c r="D21" i="253"/>
  <c r="D22" i="253"/>
  <c r="L22" i="253" s="1"/>
  <c r="N22" i="253" s="1"/>
  <c r="D23" i="253"/>
  <c r="D24" i="253"/>
  <c r="D25" i="253"/>
  <c r="D4" i="253"/>
  <c r="E4" i="253" s="1"/>
  <c r="K27" i="253"/>
  <c r="J27" i="253"/>
  <c r="I27" i="253"/>
  <c r="H27" i="253"/>
  <c r="G27" i="253"/>
  <c r="F27" i="253"/>
  <c r="E27" i="253"/>
  <c r="N25" i="253"/>
  <c r="N24" i="253"/>
  <c r="N23" i="253"/>
  <c r="L21" i="253"/>
  <c r="N21" i="253" s="1"/>
  <c r="N10" i="255" l="1"/>
  <c r="L27" i="255"/>
  <c r="M7" i="252"/>
  <c r="M11" i="252"/>
  <c r="M14" i="252"/>
  <c r="D16" i="253" l="1"/>
  <c r="L16" i="253" s="1"/>
  <c r="N16" i="253" s="1"/>
  <c r="L16" i="254"/>
  <c r="N16" i="254" s="1"/>
  <c r="D11" i="253"/>
  <c r="L11" i="254"/>
  <c r="N11" i="254" s="1"/>
  <c r="D14" i="253"/>
  <c r="L14" i="253" s="1"/>
  <c r="N14" i="253" s="1"/>
  <c r="L14" i="254"/>
  <c r="N14" i="254" s="1"/>
  <c r="D7" i="253"/>
  <c r="L7" i="254"/>
  <c r="M12" i="251"/>
  <c r="M10" i="252"/>
  <c r="D10" i="253" l="1"/>
  <c r="L10" i="254"/>
  <c r="N10" i="254" s="1"/>
  <c r="N7" i="254"/>
  <c r="M12" i="252"/>
  <c r="M9" i="252"/>
  <c r="M10" i="251"/>
  <c r="M9" i="251"/>
  <c r="M7" i="251"/>
  <c r="L7" i="253" s="1"/>
  <c r="D8" i="252"/>
  <c r="L8" i="252" s="1"/>
  <c r="N8" i="252" s="1"/>
  <c r="D12" i="252"/>
  <c r="D13" i="252"/>
  <c r="L13" i="252" s="1"/>
  <c r="N13" i="252" s="1"/>
  <c r="D14" i="252"/>
  <c r="L14" i="252" s="1"/>
  <c r="N14" i="252" s="1"/>
  <c r="D15" i="252"/>
  <c r="L15" i="252" s="1"/>
  <c r="N15" i="252" s="1"/>
  <c r="D16" i="252"/>
  <c r="L16" i="252" s="1"/>
  <c r="N16" i="252" s="1"/>
  <c r="D17" i="252"/>
  <c r="L17" i="252" s="1"/>
  <c r="N17" i="252" s="1"/>
  <c r="D18" i="252"/>
  <c r="L18" i="252" s="1"/>
  <c r="N18" i="252" s="1"/>
  <c r="D19" i="252"/>
  <c r="D20" i="252"/>
  <c r="L20" i="252" s="1"/>
  <c r="N20" i="252" s="1"/>
  <c r="D21" i="252"/>
  <c r="D22" i="252"/>
  <c r="L22" i="252" s="1"/>
  <c r="N22" i="252" s="1"/>
  <c r="D23" i="252"/>
  <c r="D24" i="252"/>
  <c r="D25" i="252"/>
  <c r="D4" i="252"/>
  <c r="E4" i="252" s="1"/>
  <c r="K27" i="252"/>
  <c r="J27" i="252"/>
  <c r="I27" i="252"/>
  <c r="H27" i="252"/>
  <c r="G27" i="252"/>
  <c r="F27" i="252"/>
  <c r="E27" i="252"/>
  <c r="N25" i="252"/>
  <c r="N24" i="252"/>
  <c r="N23" i="252"/>
  <c r="L19" i="252"/>
  <c r="N19" i="252" s="1"/>
  <c r="M11" i="251"/>
  <c r="L11" i="253" s="1"/>
  <c r="N11" i="253" s="1"/>
  <c r="D8" i="251"/>
  <c r="D10" i="251"/>
  <c r="L10" i="251" s="1"/>
  <c r="D13" i="251"/>
  <c r="L13" i="251" s="1"/>
  <c r="N13" i="251" s="1"/>
  <c r="D14" i="251"/>
  <c r="D15" i="251"/>
  <c r="D16" i="251"/>
  <c r="D17" i="251"/>
  <c r="L17" i="251" s="1"/>
  <c r="N17" i="251" s="1"/>
  <c r="D18" i="251"/>
  <c r="D19" i="251"/>
  <c r="L19" i="251" s="1"/>
  <c r="N19" i="251" s="1"/>
  <c r="D20" i="251"/>
  <c r="L20" i="251" s="1"/>
  <c r="N20" i="251" s="1"/>
  <c r="D22" i="251"/>
  <c r="L22" i="251" s="1"/>
  <c r="N22" i="251" s="1"/>
  <c r="D23" i="251"/>
  <c r="D24" i="251"/>
  <c r="D25" i="251"/>
  <c r="D4" i="251"/>
  <c r="E4" i="251" s="1"/>
  <c r="K27" i="251"/>
  <c r="J27" i="251"/>
  <c r="I27" i="251"/>
  <c r="H27" i="251"/>
  <c r="G27" i="251"/>
  <c r="F27" i="251"/>
  <c r="E27" i="251"/>
  <c r="N25" i="251"/>
  <c r="N24" i="251"/>
  <c r="N23" i="251"/>
  <c r="L14" i="251"/>
  <c r="N14" i="251" s="1"/>
  <c r="D9" i="253" l="1"/>
  <c r="L9" i="253" s="1"/>
  <c r="N9" i="253" s="1"/>
  <c r="L9" i="254"/>
  <c r="D9" i="252"/>
  <c r="D12" i="253"/>
  <c r="L12" i="253" s="1"/>
  <c r="N12" i="253" s="1"/>
  <c r="L12" i="254"/>
  <c r="N12" i="254" s="1"/>
  <c r="N10" i="251"/>
  <c r="D7" i="252"/>
  <c r="D11" i="252"/>
  <c r="N7" i="253"/>
  <c r="D10" i="252"/>
  <c r="L10" i="252" s="1"/>
  <c r="N10" i="252" s="1"/>
  <c r="L10" i="253"/>
  <c r="N10" i="253" s="1"/>
  <c r="M21" i="250"/>
  <c r="M12" i="250"/>
  <c r="M11" i="250"/>
  <c r="M7" i="250"/>
  <c r="M9" i="250"/>
  <c r="D10" i="250"/>
  <c r="L10" i="250" s="1"/>
  <c r="N10" i="250" s="1"/>
  <c r="D11" i="250"/>
  <c r="L11" i="250" s="1"/>
  <c r="N11" i="250" s="1"/>
  <c r="D13" i="250"/>
  <c r="L13" i="250" s="1"/>
  <c r="N13" i="250" s="1"/>
  <c r="D14" i="250"/>
  <c r="L14" i="250" s="1"/>
  <c r="N14" i="250" s="1"/>
  <c r="D17" i="250"/>
  <c r="L17" i="250" s="1"/>
  <c r="N17" i="250" s="1"/>
  <c r="D19" i="250"/>
  <c r="L19" i="250" s="1"/>
  <c r="N19" i="250" s="1"/>
  <c r="D20" i="250"/>
  <c r="L20" i="250" s="1"/>
  <c r="N20" i="250" s="1"/>
  <c r="D21" i="250"/>
  <c r="L21" i="250" s="1"/>
  <c r="N21" i="250" s="1"/>
  <c r="D22" i="250"/>
  <c r="L22" i="250" s="1"/>
  <c r="N22" i="250" s="1"/>
  <c r="D23" i="250"/>
  <c r="D24" i="250"/>
  <c r="D25" i="250"/>
  <c r="D7" i="250"/>
  <c r="D4" i="250"/>
  <c r="E4" i="250" s="1"/>
  <c r="K27" i="250"/>
  <c r="J27" i="250"/>
  <c r="I27" i="250"/>
  <c r="H27" i="250"/>
  <c r="G27" i="250"/>
  <c r="F27" i="250"/>
  <c r="E27" i="250"/>
  <c r="N25" i="250"/>
  <c r="N24" i="250"/>
  <c r="N23" i="250"/>
  <c r="D4" i="249"/>
  <c r="E4" i="249" s="1"/>
  <c r="D10" i="249"/>
  <c r="L10" i="249" s="1"/>
  <c r="N10" i="249" s="1"/>
  <c r="D11" i="249"/>
  <c r="L11" i="249" s="1"/>
  <c r="N11" i="249" s="1"/>
  <c r="D13" i="249"/>
  <c r="L13" i="249" s="1"/>
  <c r="N13" i="249" s="1"/>
  <c r="D14" i="249"/>
  <c r="L14" i="249" s="1"/>
  <c r="N14" i="249" s="1"/>
  <c r="D17" i="249"/>
  <c r="L17" i="249" s="1"/>
  <c r="N17" i="249" s="1"/>
  <c r="D19" i="249"/>
  <c r="D20" i="249"/>
  <c r="L20" i="249" s="1"/>
  <c r="N20" i="249" s="1"/>
  <c r="D21" i="249"/>
  <c r="D22" i="249"/>
  <c r="D23" i="249"/>
  <c r="D24" i="249"/>
  <c r="D25" i="249"/>
  <c r="K27" i="249"/>
  <c r="J27" i="249"/>
  <c r="I27" i="249"/>
  <c r="H27" i="249"/>
  <c r="G27" i="249"/>
  <c r="F27" i="249"/>
  <c r="E27" i="249"/>
  <c r="N25" i="249"/>
  <c r="N24" i="249"/>
  <c r="N23" i="249"/>
  <c r="L22" i="249"/>
  <c r="N22" i="249" s="1"/>
  <c r="L21" i="249"/>
  <c r="N21" i="249" s="1"/>
  <c r="L19" i="249"/>
  <c r="N19" i="249" s="1"/>
  <c r="M18" i="249"/>
  <c r="M16" i="249"/>
  <c r="M15" i="249"/>
  <c r="M12" i="249"/>
  <c r="M9" i="249"/>
  <c r="M8" i="249"/>
  <c r="N9" i="254" l="1"/>
  <c r="L27" i="254"/>
  <c r="L27" i="253"/>
  <c r="L7" i="252"/>
  <c r="D7" i="251"/>
  <c r="L7" i="251" s="1"/>
  <c r="N7" i="251" s="1"/>
  <c r="D12" i="251"/>
  <c r="L12" i="251" s="1"/>
  <c r="N12" i="251" s="1"/>
  <c r="L12" i="252"/>
  <c r="N12" i="252" s="1"/>
  <c r="L9" i="252"/>
  <c r="N9" i="252" s="1"/>
  <c r="D9" i="251"/>
  <c r="L11" i="252"/>
  <c r="N11" i="252" s="1"/>
  <c r="D11" i="251"/>
  <c r="L11" i="251" s="1"/>
  <c r="N11" i="251" s="1"/>
  <c r="D21" i="251"/>
  <c r="L21" i="251" s="1"/>
  <c r="N21" i="251" s="1"/>
  <c r="L21" i="252"/>
  <c r="N21" i="252" s="1"/>
  <c r="D9" i="250"/>
  <c r="L9" i="251"/>
  <c r="N9" i="251" s="1"/>
  <c r="D8" i="250"/>
  <c r="L8" i="251"/>
  <c r="D16" i="250"/>
  <c r="L16" i="251"/>
  <c r="N16" i="251" s="1"/>
  <c r="D18" i="250"/>
  <c r="L18" i="251"/>
  <c r="N18" i="251" s="1"/>
  <c r="D12" i="250"/>
  <c r="D15" i="250"/>
  <c r="L15" i="251"/>
  <c r="N15" i="251" s="1"/>
  <c r="M18" i="248"/>
  <c r="M9" i="248"/>
  <c r="M7" i="248"/>
  <c r="L27" i="252" l="1"/>
  <c r="N7" i="252"/>
  <c r="N8" i="251"/>
  <c r="L27" i="251"/>
  <c r="D9" i="249"/>
  <c r="L9" i="249" s="1"/>
  <c r="N9" i="249" s="1"/>
  <c r="L9" i="250"/>
  <c r="N9" i="250" s="1"/>
  <c r="L7" i="250"/>
  <c r="D7" i="249"/>
  <c r="L7" i="249" s="1"/>
  <c r="N7" i="249" s="1"/>
  <c r="D18" i="249"/>
  <c r="L18" i="249" s="1"/>
  <c r="N18" i="249" s="1"/>
  <c r="L18" i="250"/>
  <c r="N18" i="250" s="1"/>
  <c r="M16" i="248"/>
  <c r="M15" i="248"/>
  <c r="M12" i="248"/>
  <c r="M8" i="248"/>
  <c r="D9" i="248"/>
  <c r="D10" i="248"/>
  <c r="D11" i="248"/>
  <c r="D13" i="248"/>
  <c r="L13" i="248" s="1"/>
  <c r="N13" i="248" s="1"/>
  <c r="D14" i="248"/>
  <c r="L14" i="248" s="1"/>
  <c r="N14" i="248" s="1"/>
  <c r="D17" i="248"/>
  <c r="L17" i="248" s="1"/>
  <c r="N17" i="248" s="1"/>
  <c r="D18" i="248"/>
  <c r="L18" i="248" s="1"/>
  <c r="N18" i="248" s="1"/>
  <c r="D19" i="248"/>
  <c r="L19" i="248" s="1"/>
  <c r="N19" i="248" s="1"/>
  <c r="D20" i="248"/>
  <c r="L20" i="248" s="1"/>
  <c r="N20" i="248" s="1"/>
  <c r="D21" i="248"/>
  <c r="D22" i="248"/>
  <c r="L22" i="248" s="1"/>
  <c r="N22" i="248" s="1"/>
  <c r="D23" i="248"/>
  <c r="D24" i="248"/>
  <c r="D25" i="248"/>
  <c r="D7" i="248"/>
  <c r="L7" i="248" s="1"/>
  <c r="D4" i="248"/>
  <c r="E4" i="248" s="1"/>
  <c r="M8" i="247"/>
  <c r="M15" i="247"/>
  <c r="M16" i="247"/>
  <c r="K27" i="248"/>
  <c r="J27" i="248"/>
  <c r="I27" i="248"/>
  <c r="H27" i="248"/>
  <c r="G27" i="248"/>
  <c r="F27" i="248"/>
  <c r="E27" i="248"/>
  <c r="N25" i="248"/>
  <c r="N24" i="248"/>
  <c r="N23" i="248"/>
  <c r="M12" i="247"/>
  <c r="L12" i="250" l="1"/>
  <c r="N12" i="250" s="1"/>
  <c r="D12" i="249"/>
  <c r="L12" i="249" s="1"/>
  <c r="N12" i="249" s="1"/>
  <c r="L16" i="250"/>
  <c r="N16" i="250" s="1"/>
  <c r="D16" i="249"/>
  <c r="L16" i="249" s="1"/>
  <c r="N16" i="249" s="1"/>
  <c r="N7" i="250"/>
  <c r="L8" i="250"/>
  <c r="N8" i="250" s="1"/>
  <c r="D8" i="249"/>
  <c r="L8" i="249" s="1"/>
  <c r="L15" i="250"/>
  <c r="N15" i="250" s="1"/>
  <c r="D15" i="249"/>
  <c r="L15" i="249" s="1"/>
  <c r="N15" i="249" s="1"/>
  <c r="D12" i="248"/>
  <c r="D15" i="248"/>
  <c r="L15" i="248" s="1"/>
  <c r="N15" i="248" s="1"/>
  <c r="D16" i="248"/>
  <c r="L16" i="248" s="1"/>
  <c r="N16" i="248" s="1"/>
  <c r="D8" i="248"/>
  <c r="N7" i="248"/>
  <c r="D13" i="247"/>
  <c r="L13" i="247" s="1"/>
  <c r="N13" i="247" s="1"/>
  <c r="D14" i="247"/>
  <c r="D15" i="247"/>
  <c r="L15" i="247" s="1"/>
  <c r="N15" i="247" s="1"/>
  <c r="D16" i="247"/>
  <c r="L16" i="247" s="1"/>
  <c r="N16" i="247" s="1"/>
  <c r="D17" i="247"/>
  <c r="L17" i="247" s="1"/>
  <c r="N17" i="247" s="1"/>
  <c r="D18" i="247"/>
  <c r="D19" i="247"/>
  <c r="D20" i="247"/>
  <c r="D22" i="247"/>
  <c r="L22" i="247" s="1"/>
  <c r="N22" i="247" s="1"/>
  <c r="D23" i="247"/>
  <c r="D24" i="247"/>
  <c r="D25" i="247"/>
  <c r="D7" i="247"/>
  <c r="L7" i="247" s="1"/>
  <c r="D4" i="247"/>
  <c r="E4" i="247" s="1"/>
  <c r="K27" i="247"/>
  <c r="J27" i="247"/>
  <c r="I27" i="247"/>
  <c r="H27" i="247"/>
  <c r="G27" i="247"/>
  <c r="F27" i="247"/>
  <c r="E27" i="247"/>
  <c r="N25" i="247"/>
  <c r="N24" i="247"/>
  <c r="N23" i="247"/>
  <c r="L19" i="247"/>
  <c r="N19" i="247" s="1"/>
  <c r="L27" i="250" l="1"/>
  <c r="N8" i="249"/>
  <c r="L27" i="249"/>
  <c r="N7" i="247"/>
  <c r="M11" i="246"/>
  <c r="L11" i="248" l="1"/>
  <c r="N11" i="248" s="1"/>
  <c r="D11" i="247"/>
  <c r="L11" i="247" s="1"/>
  <c r="N11" i="247" s="1"/>
  <c r="M9" i="246"/>
  <c r="L9" i="248" l="1"/>
  <c r="N9" i="248" s="1"/>
  <c r="D9" i="247"/>
  <c r="M21" i="246"/>
  <c r="M12" i="246"/>
  <c r="M10" i="246"/>
  <c r="M8" i="246"/>
  <c r="D11" i="246"/>
  <c r="D13" i="246"/>
  <c r="L13" i="246" s="1"/>
  <c r="N13" i="246" s="1"/>
  <c r="D15" i="246"/>
  <c r="D16" i="246"/>
  <c r="L16" i="246" s="1"/>
  <c r="N16" i="246" s="1"/>
  <c r="D17" i="246"/>
  <c r="L17" i="246" s="1"/>
  <c r="N17" i="246" s="1"/>
  <c r="D19" i="246"/>
  <c r="L19" i="246" s="1"/>
  <c r="N19" i="246" s="1"/>
  <c r="D22" i="246"/>
  <c r="L22" i="246" s="1"/>
  <c r="N22" i="246" s="1"/>
  <c r="D23" i="246"/>
  <c r="D24" i="246"/>
  <c r="D25" i="246"/>
  <c r="D7" i="246"/>
  <c r="L7" i="246" s="1"/>
  <c r="D4" i="246"/>
  <c r="E4" i="246" s="1"/>
  <c r="K27" i="246"/>
  <c r="J27" i="246"/>
  <c r="I27" i="246"/>
  <c r="H27" i="246"/>
  <c r="G27" i="246"/>
  <c r="F27" i="246"/>
  <c r="N25" i="246"/>
  <c r="N24" i="246"/>
  <c r="N23" i="246"/>
  <c r="E27" i="246"/>
  <c r="L10" i="248" l="1"/>
  <c r="N10" i="248" s="1"/>
  <c r="D10" i="247"/>
  <c r="L21" i="248"/>
  <c r="N21" i="248" s="1"/>
  <c r="D21" i="247"/>
  <c r="L8" i="248"/>
  <c r="D8" i="247"/>
  <c r="L12" i="248"/>
  <c r="N12" i="248" s="1"/>
  <c r="D12" i="247"/>
  <c r="N7" i="246"/>
  <c r="M21" i="245"/>
  <c r="M10" i="245"/>
  <c r="M9" i="245"/>
  <c r="E10" i="245"/>
  <c r="N8" i="248" l="1"/>
  <c r="L27" i="248"/>
  <c r="D10" i="246"/>
  <c r="L10" i="246" s="1"/>
  <c r="N10" i="246" s="1"/>
  <c r="L10" i="247"/>
  <c r="N10" i="247" s="1"/>
  <c r="D9" i="246"/>
  <c r="L9" i="247"/>
  <c r="N9" i="247" s="1"/>
  <c r="D21" i="246"/>
  <c r="L21" i="246" s="1"/>
  <c r="N21" i="246" s="1"/>
  <c r="L21" i="247"/>
  <c r="N21" i="247" s="1"/>
  <c r="M12" i="245"/>
  <c r="M20" i="245"/>
  <c r="M18" i="245"/>
  <c r="M14" i="245"/>
  <c r="M8" i="245"/>
  <c r="D10" i="245"/>
  <c r="L10" i="245" s="1"/>
  <c r="N10" i="245" s="1"/>
  <c r="D13" i="245"/>
  <c r="D16" i="245"/>
  <c r="L16" i="245" s="1"/>
  <c r="N16" i="245" s="1"/>
  <c r="D17" i="245"/>
  <c r="L17" i="245" s="1"/>
  <c r="N17" i="245" s="1"/>
  <c r="D19" i="245"/>
  <c r="L19" i="245" s="1"/>
  <c r="N19" i="245" s="1"/>
  <c r="D21" i="245"/>
  <c r="L21" i="245" s="1"/>
  <c r="N21" i="245" s="1"/>
  <c r="D22" i="245"/>
  <c r="L22" i="245" s="1"/>
  <c r="N22" i="245" s="1"/>
  <c r="D23" i="245"/>
  <c r="D24" i="245"/>
  <c r="D25" i="245"/>
  <c r="D7" i="245"/>
  <c r="L7" i="245" s="1"/>
  <c r="D4" i="245"/>
  <c r="E4" i="245" s="1"/>
  <c r="K27" i="245"/>
  <c r="J27" i="245"/>
  <c r="I27" i="245"/>
  <c r="H27" i="245"/>
  <c r="G27" i="245"/>
  <c r="F27" i="245"/>
  <c r="E27" i="245"/>
  <c r="N25" i="245"/>
  <c r="N24" i="245"/>
  <c r="N23" i="245"/>
  <c r="D18" i="246" l="1"/>
  <c r="L18" i="247"/>
  <c r="N18" i="247" s="1"/>
  <c r="D14" i="246"/>
  <c r="L14" i="247"/>
  <c r="N14" i="247" s="1"/>
  <c r="D20" i="246"/>
  <c r="L20" i="247"/>
  <c r="N20" i="247" s="1"/>
  <c r="D8" i="246"/>
  <c r="L8" i="247"/>
  <c r="D12" i="246"/>
  <c r="L12" i="247"/>
  <c r="N12" i="247" s="1"/>
  <c r="N7" i="245"/>
  <c r="M18" i="244"/>
  <c r="N8" i="247" l="1"/>
  <c r="L27" i="247"/>
  <c r="L18" i="246"/>
  <c r="N18" i="246" s="1"/>
  <c r="D18" i="245"/>
  <c r="L18" i="245" s="1"/>
  <c r="N18" i="245" s="1"/>
  <c r="M20" i="244"/>
  <c r="M15" i="244"/>
  <c r="M14" i="244"/>
  <c r="M12" i="244"/>
  <c r="M11" i="244"/>
  <c r="M9" i="243"/>
  <c r="M9" i="244"/>
  <c r="M8" i="244"/>
  <c r="D8" i="244"/>
  <c r="L8" i="244" s="1"/>
  <c r="D9" i="244"/>
  <c r="L9" i="244" s="1"/>
  <c r="D10" i="244"/>
  <c r="L10" i="244" s="1"/>
  <c r="N10" i="244" s="1"/>
  <c r="D11" i="244"/>
  <c r="L11" i="244" s="1"/>
  <c r="D14" i="244"/>
  <c r="L14" i="244" s="1"/>
  <c r="N14" i="244" s="1"/>
  <c r="D15" i="244"/>
  <c r="L15" i="244" s="1"/>
  <c r="N15" i="244" s="1"/>
  <c r="D16" i="244"/>
  <c r="L16" i="244" s="1"/>
  <c r="N16" i="244" s="1"/>
  <c r="D17" i="244"/>
  <c r="L17" i="244" s="1"/>
  <c r="N17" i="244" s="1"/>
  <c r="D18" i="244"/>
  <c r="L18" i="244" s="1"/>
  <c r="N18" i="244" s="1"/>
  <c r="D19" i="244"/>
  <c r="L19" i="244" s="1"/>
  <c r="N19" i="244" s="1"/>
  <c r="D20" i="244"/>
  <c r="L20" i="244" s="1"/>
  <c r="D21" i="244"/>
  <c r="D22" i="244"/>
  <c r="L22" i="244" s="1"/>
  <c r="N22" i="244" s="1"/>
  <c r="D23" i="244"/>
  <c r="D24" i="244"/>
  <c r="D25" i="244"/>
  <c r="D7" i="244"/>
  <c r="L7" i="244" s="1"/>
  <c r="D4" i="243"/>
  <c r="E4" i="243" s="1"/>
  <c r="D4" i="244"/>
  <c r="E4" i="244" s="1"/>
  <c r="K27" i="244"/>
  <c r="J27" i="244"/>
  <c r="I27" i="244"/>
  <c r="H27" i="244"/>
  <c r="G27" i="244"/>
  <c r="F27" i="244"/>
  <c r="E27" i="244"/>
  <c r="N25" i="244"/>
  <c r="N24" i="244"/>
  <c r="N23" i="244"/>
  <c r="L21" i="244"/>
  <c r="N21" i="244" s="1"/>
  <c r="M13" i="243"/>
  <c r="M12" i="243"/>
  <c r="D8" i="243"/>
  <c r="D9" i="243"/>
  <c r="D10" i="243"/>
  <c r="D11" i="243"/>
  <c r="D12" i="243"/>
  <c r="L12" i="243" s="1"/>
  <c r="D13" i="243"/>
  <c r="L13" i="243" s="1"/>
  <c r="D14" i="243"/>
  <c r="L14" i="243" s="1"/>
  <c r="D15" i="243"/>
  <c r="L15" i="243" s="1"/>
  <c r="N15" i="243" s="1"/>
  <c r="D16" i="243"/>
  <c r="L16" i="243" s="1"/>
  <c r="N16" i="243" s="1"/>
  <c r="D17" i="243"/>
  <c r="L17" i="243" s="1"/>
  <c r="N17" i="243" s="1"/>
  <c r="D18" i="243"/>
  <c r="D19" i="243"/>
  <c r="L19" i="243" s="1"/>
  <c r="N19" i="243" s="1"/>
  <c r="D20" i="243"/>
  <c r="L20" i="243" s="1"/>
  <c r="N20" i="243" s="1"/>
  <c r="D21" i="243"/>
  <c r="D22" i="243"/>
  <c r="L22" i="243" s="1"/>
  <c r="N22" i="243" s="1"/>
  <c r="D23" i="243"/>
  <c r="D24" i="243"/>
  <c r="D25" i="243"/>
  <c r="D7" i="243"/>
  <c r="L7" i="243" s="1"/>
  <c r="K27" i="243"/>
  <c r="J27" i="243"/>
  <c r="I27" i="243"/>
  <c r="H27" i="243"/>
  <c r="G27" i="243"/>
  <c r="F27" i="243"/>
  <c r="E27" i="243"/>
  <c r="N25" i="243"/>
  <c r="N24" i="243"/>
  <c r="N23" i="243"/>
  <c r="L21" i="243"/>
  <c r="N21" i="243" s="1"/>
  <c r="L8" i="243"/>
  <c r="N8" i="243" s="1"/>
  <c r="D8" i="242"/>
  <c r="L8" i="242" s="1"/>
  <c r="N8" i="242" s="1"/>
  <c r="D12" i="242"/>
  <c r="L12" i="242" s="1"/>
  <c r="N12" i="242" s="1"/>
  <c r="D13" i="242"/>
  <c r="L13" i="242" s="1"/>
  <c r="N13" i="242" s="1"/>
  <c r="D14" i="242"/>
  <c r="L14" i="242" s="1"/>
  <c r="N14" i="242" s="1"/>
  <c r="D15" i="242"/>
  <c r="L15" i="242" s="1"/>
  <c r="N15" i="242" s="1"/>
  <c r="D16" i="242"/>
  <c r="L16" i="242" s="1"/>
  <c r="N16" i="242" s="1"/>
  <c r="D17" i="242"/>
  <c r="L17" i="242" s="1"/>
  <c r="N17" i="242" s="1"/>
  <c r="D19" i="242"/>
  <c r="L19" i="242" s="1"/>
  <c r="N19" i="242" s="1"/>
  <c r="D21" i="242"/>
  <c r="L21" i="242" s="1"/>
  <c r="N21" i="242" s="1"/>
  <c r="D22" i="242"/>
  <c r="L22" i="242" s="1"/>
  <c r="N22" i="242" s="1"/>
  <c r="D23" i="242"/>
  <c r="D24" i="242"/>
  <c r="D25" i="242"/>
  <c r="D7" i="242"/>
  <c r="L7" i="242" s="1"/>
  <c r="D4" i="242"/>
  <c r="E4" i="242" s="1"/>
  <c r="K27" i="242"/>
  <c r="J27" i="242"/>
  <c r="I27" i="242"/>
  <c r="H27" i="242"/>
  <c r="G27" i="242"/>
  <c r="F27" i="242"/>
  <c r="E27" i="242"/>
  <c r="N25" i="242"/>
  <c r="N24" i="242"/>
  <c r="N23" i="242"/>
  <c r="M11" i="241"/>
  <c r="D8" i="241"/>
  <c r="L8" i="241" s="1"/>
  <c r="N8" i="241" s="1"/>
  <c r="D11" i="241"/>
  <c r="L11" i="241" s="1"/>
  <c r="D12" i="241"/>
  <c r="L12" i="241" s="1"/>
  <c r="N12" i="241" s="1"/>
  <c r="D13" i="241"/>
  <c r="L13" i="241" s="1"/>
  <c r="N13" i="241" s="1"/>
  <c r="D14" i="241"/>
  <c r="D15" i="241"/>
  <c r="L15" i="241" s="1"/>
  <c r="N15" i="241" s="1"/>
  <c r="D16" i="241"/>
  <c r="L16" i="241" s="1"/>
  <c r="N16" i="241" s="1"/>
  <c r="D17" i="241"/>
  <c r="L17" i="241" s="1"/>
  <c r="N17" i="241" s="1"/>
  <c r="D19" i="241"/>
  <c r="L19" i="241" s="1"/>
  <c r="N19" i="241" s="1"/>
  <c r="D20" i="241"/>
  <c r="L20" i="241" s="1"/>
  <c r="D21" i="241"/>
  <c r="L21" i="241" s="1"/>
  <c r="N21" i="241" s="1"/>
  <c r="D22" i="241"/>
  <c r="L22" i="241" s="1"/>
  <c r="N22" i="241" s="1"/>
  <c r="D23" i="241"/>
  <c r="D24" i="241"/>
  <c r="D25" i="241"/>
  <c r="D7" i="241"/>
  <c r="L7" i="241" s="1"/>
  <c r="D4" i="241"/>
  <c r="E4" i="241" s="1"/>
  <c r="K27" i="241"/>
  <c r="J27" i="241"/>
  <c r="I27" i="241"/>
  <c r="H27" i="241"/>
  <c r="G27" i="241"/>
  <c r="F27" i="241"/>
  <c r="E27" i="241"/>
  <c r="N25" i="241"/>
  <c r="N24" i="241"/>
  <c r="N23" i="241"/>
  <c r="M18" i="241"/>
  <c r="M10" i="241"/>
  <c r="M9" i="241"/>
  <c r="N11" i="241" l="1"/>
  <c r="L9" i="243"/>
  <c r="N9" i="243" s="1"/>
  <c r="L11" i="243"/>
  <c r="N11" i="243" s="1"/>
  <c r="L10" i="243"/>
  <c r="N10" i="243" s="1"/>
  <c r="N8" i="244"/>
  <c r="L8" i="246"/>
  <c r="D8" i="245"/>
  <c r="L8" i="245" s="1"/>
  <c r="N8" i="245" s="1"/>
  <c r="L12" i="246"/>
  <c r="N12" i="246" s="1"/>
  <c r="D12" i="245"/>
  <c r="L12" i="245" s="1"/>
  <c r="N12" i="245" s="1"/>
  <c r="L15" i="246"/>
  <c r="N15" i="246" s="1"/>
  <c r="D15" i="245"/>
  <c r="L15" i="245" s="1"/>
  <c r="N15" i="245" s="1"/>
  <c r="L9" i="246"/>
  <c r="N9" i="246" s="1"/>
  <c r="D9" i="245"/>
  <c r="L9" i="245" s="1"/>
  <c r="L11" i="246"/>
  <c r="N11" i="246" s="1"/>
  <c r="D11" i="245"/>
  <c r="L11" i="245" s="1"/>
  <c r="N11" i="245" s="1"/>
  <c r="L14" i="246"/>
  <c r="N14" i="246" s="1"/>
  <c r="D14" i="245"/>
  <c r="L14" i="245" s="1"/>
  <c r="N14" i="245" s="1"/>
  <c r="L20" i="246"/>
  <c r="N20" i="246" s="1"/>
  <c r="D20" i="245"/>
  <c r="L20" i="245" s="1"/>
  <c r="N20" i="245" s="1"/>
  <c r="D13" i="244"/>
  <c r="L13" i="244" s="1"/>
  <c r="N13" i="244" s="1"/>
  <c r="L13" i="245"/>
  <c r="N13" i="245" s="1"/>
  <c r="D12" i="244"/>
  <c r="L12" i="244" s="1"/>
  <c r="N12" i="244" s="1"/>
  <c r="N20" i="244"/>
  <c r="N11" i="244"/>
  <c r="L18" i="243"/>
  <c r="N18" i="243" s="1"/>
  <c r="N7" i="244"/>
  <c r="N13" i="243"/>
  <c r="N9" i="244"/>
  <c r="M20" i="241"/>
  <c r="D20" i="242" s="1"/>
  <c r="L20" i="242" s="1"/>
  <c r="N20" i="242" s="1"/>
  <c r="N14" i="243"/>
  <c r="N12" i="243"/>
  <c r="D11" i="242"/>
  <c r="L11" i="242" s="1"/>
  <c r="N11" i="242" s="1"/>
  <c r="D9" i="242"/>
  <c r="N7" i="243"/>
  <c r="D18" i="242"/>
  <c r="D10" i="242"/>
  <c r="N7" i="242"/>
  <c r="N7" i="241"/>
  <c r="M9" i="240"/>
  <c r="M18" i="240"/>
  <c r="M10" i="240"/>
  <c r="L27" i="243" l="1"/>
  <c r="N9" i="245"/>
  <c r="L27" i="245"/>
  <c r="N8" i="246"/>
  <c r="L27" i="246"/>
  <c r="L27" i="244"/>
  <c r="N20" i="241"/>
  <c r="L18" i="242"/>
  <c r="N18" i="242" s="1"/>
  <c r="D18" i="241"/>
  <c r="L10" i="242"/>
  <c r="N10" i="242" s="1"/>
  <c r="D10" i="241"/>
  <c r="L10" i="241" s="1"/>
  <c r="N10" i="241" s="1"/>
  <c r="D9" i="241"/>
  <c r="L9" i="242"/>
  <c r="M9" i="239"/>
  <c r="M18" i="239"/>
  <c r="D8" i="240"/>
  <c r="D10" i="240"/>
  <c r="D11" i="240"/>
  <c r="D12" i="240"/>
  <c r="D13" i="240"/>
  <c r="D15" i="240"/>
  <c r="D16" i="240"/>
  <c r="D17" i="240"/>
  <c r="D19" i="240"/>
  <c r="D20" i="240"/>
  <c r="D21" i="240"/>
  <c r="D22" i="240"/>
  <c r="D23" i="240"/>
  <c r="D24" i="240"/>
  <c r="D25" i="240"/>
  <c r="D7" i="240"/>
  <c r="D4" i="240"/>
  <c r="E4" i="240" s="1"/>
  <c r="L18" i="241" l="1"/>
  <c r="N18" i="241" s="1"/>
  <c r="N9" i="242"/>
  <c r="L27" i="242"/>
  <c r="D18" i="240"/>
  <c r="L18" i="240" s="1"/>
  <c r="N18" i="240" s="1"/>
  <c r="D9" i="240"/>
  <c r="L9" i="241"/>
  <c r="K27" i="240"/>
  <c r="J27" i="240"/>
  <c r="I27" i="240"/>
  <c r="H27" i="240"/>
  <c r="G27" i="240"/>
  <c r="F27" i="240"/>
  <c r="E27" i="240"/>
  <c r="N25" i="240"/>
  <c r="N24" i="240"/>
  <c r="N23" i="240"/>
  <c r="L22" i="240"/>
  <c r="N22" i="240" s="1"/>
  <c r="L21" i="240"/>
  <c r="N21" i="240" s="1"/>
  <c r="L20" i="240"/>
  <c r="N20" i="240" s="1"/>
  <c r="L19" i="240"/>
  <c r="N19" i="240" s="1"/>
  <c r="L17" i="240"/>
  <c r="N17" i="240" s="1"/>
  <c r="L16" i="240"/>
  <c r="N16" i="240" s="1"/>
  <c r="L15" i="240"/>
  <c r="N15" i="240" s="1"/>
  <c r="L13" i="240"/>
  <c r="N13" i="240" s="1"/>
  <c r="L12" i="240"/>
  <c r="N12" i="240" s="1"/>
  <c r="L11" i="240"/>
  <c r="N11" i="240" s="1"/>
  <c r="L10" i="240"/>
  <c r="N10" i="240" s="1"/>
  <c r="L7" i="240"/>
  <c r="N9" i="241" l="1"/>
  <c r="N7" i="240"/>
  <c r="M14" i="239"/>
  <c r="D10" i="239"/>
  <c r="L10" i="239" s="1"/>
  <c r="N10" i="239" s="1"/>
  <c r="D11" i="239"/>
  <c r="L11" i="239" s="1"/>
  <c r="N11" i="239" s="1"/>
  <c r="D12" i="239"/>
  <c r="D13" i="239"/>
  <c r="D15" i="239"/>
  <c r="D16" i="239"/>
  <c r="D17" i="239"/>
  <c r="L17" i="239" s="1"/>
  <c r="N17" i="239" s="1"/>
  <c r="D18" i="239"/>
  <c r="L18" i="239" s="1"/>
  <c r="N18" i="239" s="1"/>
  <c r="D19" i="239"/>
  <c r="L19" i="239" s="1"/>
  <c r="N19" i="239" s="1"/>
  <c r="D20" i="239"/>
  <c r="L20" i="239" s="1"/>
  <c r="N20" i="239" s="1"/>
  <c r="D21" i="239"/>
  <c r="D22" i="239"/>
  <c r="L22" i="239" s="1"/>
  <c r="N22" i="239" s="1"/>
  <c r="D23" i="239"/>
  <c r="D24" i="239"/>
  <c r="D25" i="239"/>
  <c r="D7" i="239"/>
  <c r="D4" i="239"/>
  <c r="E4" i="239" s="1"/>
  <c r="K27" i="239"/>
  <c r="J27" i="239"/>
  <c r="I27" i="239"/>
  <c r="H27" i="239"/>
  <c r="G27" i="239"/>
  <c r="F27" i="239"/>
  <c r="E27" i="239"/>
  <c r="N25" i="239"/>
  <c r="N24" i="239"/>
  <c r="N23" i="239"/>
  <c r="L13" i="239"/>
  <c r="N13" i="239" s="1"/>
  <c r="M14" i="238"/>
  <c r="M9" i="238"/>
  <c r="M8" i="238"/>
  <c r="L14" i="241" l="1"/>
  <c r="D14" i="240"/>
  <c r="L14" i="240" s="1"/>
  <c r="N14" i="240" s="1"/>
  <c r="D8" i="239"/>
  <c r="L8" i="239" s="1"/>
  <c r="N8" i="239" s="1"/>
  <c r="L8" i="240"/>
  <c r="D14" i="239"/>
  <c r="D9" i="239"/>
  <c r="L9" i="240"/>
  <c r="N9" i="240" s="1"/>
  <c r="D8" i="238"/>
  <c r="L8" i="238" s="1"/>
  <c r="N8" i="238" s="1"/>
  <c r="D10" i="238"/>
  <c r="L10" i="238" s="1"/>
  <c r="N10" i="238" s="1"/>
  <c r="D11" i="238"/>
  <c r="L11" i="238" s="1"/>
  <c r="N11" i="238" s="1"/>
  <c r="D13" i="238"/>
  <c r="L13" i="238" s="1"/>
  <c r="N13" i="238" s="1"/>
  <c r="D17" i="238"/>
  <c r="L17" i="238" s="1"/>
  <c r="N17" i="238" s="1"/>
  <c r="D18" i="238"/>
  <c r="L18" i="238" s="1"/>
  <c r="N18" i="238" s="1"/>
  <c r="D19" i="238"/>
  <c r="L19" i="238" s="1"/>
  <c r="N19" i="238" s="1"/>
  <c r="D20" i="238"/>
  <c r="L20" i="238" s="1"/>
  <c r="N20" i="238" s="1"/>
  <c r="D22" i="238"/>
  <c r="L22" i="238" s="1"/>
  <c r="N22" i="238" s="1"/>
  <c r="D23" i="238"/>
  <c r="D24" i="238"/>
  <c r="D25" i="238"/>
  <c r="D4" i="238"/>
  <c r="E4" i="238" s="1"/>
  <c r="K27" i="238"/>
  <c r="J27" i="238"/>
  <c r="I27" i="238"/>
  <c r="H27" i="238"/>
  <c r="G27" i="238"/>
  <c r="F27" i="238"/>
  <c r="E27" i="238"/>
  <c r="N25" i="238"/>
  <c r="N24" i="238"/>
  <c r="N23" i="238"/>
  <c r="N14" i="241" l="1"/>
  <c r="L27" i="241"/>
  <c r="N8" i="240"/>
  <c r="L27" i="240"/>
  <c r="M12" i="237"/>
  <c r="M21" i="237"/>
  <c r="M9" i="237"/>
  <c r="M7" i="237"/>
  <c r="D21" i="238" l="1"/>
  <c r="L21" i="238" s="1"/>
  <c r="N21" i="238" s="1"/>
  <c r="L21" i="239"/>
  <c r="N21" i="239" s="1"/>
  <c r="D7" i="238"/>
  <c r="L7" i="238" s="1"/>
  <c r="L7" i="239"/>
  <c r="D9" i="238"/>
  <c r="L9" i="238" s="1"/>
  <c r="N9" i="238" s="1"/>
  <c r="L9" i="239"/>
  <c r="N9" i="239" s="1"/>
  <c r="D12" i="238"/>
  <c r="L12" i="238" s="1"/>
  <c r="N12" i="238" s="1"/>
  <c r="L12" i="239"/>
  <c r="N12" i="239" s="1"/>
  <c r="N7" i="238"/>
  <c r="M14" i="237"/>
  <c r="M15" i="237"/>
  <c r="M16" i="237"/>
  <c r="D8" i="237"/>
  <c r="D9" i="237"/>
  <c r="D10" i="237"/>
  <c r="L10" i="237" s="1"/>
  <c r="N10" i="237" s="1"/>
  <c r="D11" i="237"/>
  <c r="D12" i="237"/>
  <c r="D13" i="237"/>
  <c r="D14" i="237"/>
  <c r="D15" i="237"/>
  <c r="D16" i="237"/>
  <c r="D17" i="237"/>
  <c r="D18" i="237"/>
  <c r="D19" i="237"/>
  <c r="D20" i="237"/>
  <c r="D21" i="237"/>
  <c r="D22" i="237"/>
  <c r="D23" i="237"/>
  <c r="D24" i="237"/>
  <c r="D25" i="237"/>
  <c r="D7" i="237"/>
  <c r="D4" i="237"/>
  <c r="E4" i="237" s="1"/>
  <c r="K27" i="237"/>
  <c r="J27" i="237"/>
  <c r="I27" i="237"/>
  <c r="H27" i="237"/>
  <c r="G27" i="237"/>
  <c r="F27" i="237"/>
  <c r="E27" i="237"/>
  <c r="N25" i="237"/>
  <c r="N24" i="237"/>
  <c r="N23" i="237"/>
  <c r="M16" i="234"/>
  <c r="M16" i="233"/>
  <c r="M16" i="232"/>
  <c r="M16" i="231"/>
  <c r="H16" i="231"/>
  <c r="D4" i="236"/>
  <c r="E4" i="236" s="1"/>
  <c r="K27" i="236"/>
  <c r="J27" i="236"/>
  <c r="I27" i="236"/>
  <c r="H27" i="236"/>
  <c r="G27" i="236"/>
  <c r="F27" i="236"/>
  <c r="E27" i="236"/>
  <c r="N25" i="236"/>
  <c r="N24" i="236"/>
  <c r="N23" i="236"/>
  <c r="D8" i="235"/>
  <c r="L8" i="235" s="1"/>
  <c r="D10" i="235"/>
  <c r="M10" i="235" s="1"/>
  <c r="D10" i="236" s="1"/>
  <c r="D12" i="235"/>
  <c r="L12" i="235" s="1"/>
  <c r="D13" i="235"/>
  <c r="M13" i="235" s="1"/>
  <c r="D13" i="236" s="1"/>
  <c r="D17" i="235"/>
  <c r="M17" i="235" s="1"/>
  <c r="D17" i="236" s="1"/>
  <c r="D18" i="235"/>
  <c r="L18" i="235" s="1"/>
  <c r="D19" i="235"/>
  <c r="M19" i="235" s="1"/>
  <c r="D19" i="236" s="1"/>
  <c r="D20" i="235"/>
  <c r="L20" i="235" s="1"/>
  <c r="D21" i="235"/>
  <c r="M21" i="235" s="1"/>
  <c r="D21" i="236" s="1"/>
  <c r="D22" i="235"/>
  <c r="L22" i="235" s="1"/>
  <c r="D23" i="235"/>
  <c r="M23" i="235" s="1"/>
  <c r="D24" i="235"/>
  <c r="M24" i="235" s="1"/>
  <c r="N24" i="235" s="1"/>
  <c r="D25" i="235"/>
  <c r="M25" i="235" s="1"/>
  <c r="D7" i="235"/>
  <c r="D7" i="236" s="1"/>
  <c r="D4" i="235"/>
  <c r="E4" i="235" s="1"/>
  <c r="K27" i="235"/>
  <c r="J27" i="235"/>
  <c r="I27" i="235"/>
  <c r="H27" i="235"/>
  <c r="G27" i="235"/>
  <c r="F27" i="235"/>
  <c r="E27" i="235"/>
  <c r="L21" i="235"/>
  <c r="L13" i="235"/>
  <c r="D16" i="238" l="1"/>
  <c r="L16" i="238" s="1"/>
  <c r="N16" i="238" s="1"/>
  <c r="L16" i="239"/>
  <c r="N16" i="239" s="1"/>
  <c r="D14" i="238"/>
  <c r="L14" i="238" s="1"/>
  <c r="N14" i="238" s="1"/>
  <c r="L14" i="239"/>
  <c r="N14" i="239" s="1"/>
  <c r="N7" i="239"/>
  <c r="D15" i="238"/>
  <c r="L15" i="238" s="1"/>
  <c r="N15" i="238" s="1"/>
  <c r="L15" i="239"/>
  <c r="N15" i="239" s="1"/>
  <c r="L7" i="237"/>
  <c r="L13" i="237"/>
  <c r="N13" i="237" s="1"/>
  <c r="L17" i="237"/>
  <c r="N17" i="237" s="1"/>
  <c r="L19" i="237"/>
  <c r="N19" i="237" s="1"/>
  <c r="L21" i="237"/>
  <c r="N21" i="237" s="1"/>
  <c r="L10" i="235"/>
  <c r="L17" i="235"/>
  <c r="N17" i="235" s="1"/>
  <c r="D25" i="236"/>
  <c r="N25" i="235"/>
  <c r="D23" i="236"/>
  <c r="N23" i="235"/>
  <c r="L19" i="235"/>
  <c r="N19" i="235" s="1"/>
  <c r="D24" i="236"/>
  <c r="N13" i="235"/>
  <c r="N21" i="235"/>
  <c r="M22" i="235"/>
  <c r="M20" i="235"/>
  <c r="L20" i="237" s="1"/>
  <c r="N20" i="237" s="1"/>
  <c r="M18" i="235"/>
  <c r="M12" i="235"/>
  <c r="L12" i="237" s="1"/>
  <c r="N12" i="237" s="1"/>
  <c r="M8" i="235"/>
  <c r="L7" i="236"/>
  <c r="N7" i="236" s="1"/>
  <c r="L10" i="236"/>
  <c r="N10" i="236" s="1"/>
  <c r="L13" i="236"/>
  <c r="N13" i="236" s="1"/>
  <c r="L17" i="236"/>
  <c r="N17" i="236" s="1"/>
  <c r="L19" i="236"/>
  <c r="N19" i="236" s="1"/>
  <c r="L21" i="236"/>
  <c r="N21" i="236" s="1"/>
  <c r="N10" i="235"/>
  <c r="M15" i="234"/>
  <c r="M14" i="234"/>
  <c r="M11" i="234"/>
  <c r="M9" i="234"/>
  <c r="D8" i="234"/>
  <c r="D10" i="234"/>
  <c r="D12" i="234"/>
  <c r="D13" i="234"/>
  <c r="D15" i="234"/>
  <c r="D17" i="234"/>
  <c r="D18" i="234"/>
  <c r="D19" i="234"/>
  <c r="D20" i="234"/>
  <c r="D21" i="234"/>
  <c r="D22" i="234"/>
  <c r="D23" i="234"/>
  <c r="D24" i="234"/>
  <c r="D25" i="234"/>
  <c r="D4" i="234"/>
  <c r="L27" i="238" l="1"/>
  <c r="L27" i="239"/>
  <c r="D8" i="236"/>
  <c r="L8" i="236" s="1"/>
  <c r="N8" i="236" s="1"/>
  <c r="L8" i="237"/>
  <c r="N8" i="237" s="1"/>
  <c r="D18" i="236"/>
  <c r="L18" i="236" s="1"/>
  <c r="N18" i="236" s="1"/>
  <c r="L18" i="237"/>
  <c r="N18" i="237" s="1"/>
  <c r="D22" i="236"/>
  <c r="L22" i="236" s="1"/>
  <c r="N22" i="236" s="1"/>
  <c r="L22" i="237"/>
  <c r="N22" i="237" s="1"/>
  <c r="N7" i="237"/>
  <c r="N18" i="235"/>
  <c r="N8" i="235"/>
  <c r="N22" i="235"/>
  <c r="N12" i="235"/>
  <c r="D12" i="236"/>
  <c r="L12" i="236" s="1"/>
  <c r="N12" i="236" s="1"/>
  <c r="N20" i="235"/>
  <c r="D20" i="236"/>
  <c r="L20" i="236" s="1"/>
  <c r="N20" i="236" s="1"/>
  <c r="D11" i="235"/>
  <c r="M11" i="235" s="1"/>
  <c r="D9" i="235"/>
  <c r="M9" i="235" s="1"/>
  <c r="D14" i="235"/>
  <c r="M14" i="235" s="1"/>
  <c r="D16" i="235"/>
  <c r="M16" i="235" s="1"/>
  <c r="D15" i="235"/>
  <c r="K27" i="234"/>
  <c r="J27" i="234"/>
  <c r="I27" i="234"/>
  <c r="H27" i="234"/>
  <c r="G27" i="234"/>
  <c r="F27" i="234"/>
  <c r="E27" i="234"/>
  <c r="N25" i="234"/>
  <c r="N24" i="234"/>
  <c r="N23" i="234"/>
  <c r="L22" i="234"/>
  <c r="N22" i="234" s="1"/>
  <c r="L21" i="234"/>
  <c r="N21" i="234" s="1"/>
  <c r="L20" i="234"/>
  <c r="N20" i="234" s="1"/>
  <c r="L19" i="234"/>
  <c r="N19" i="234" s="1"/>
  <c r="L18" i="234"/>
  <c r="N18" i="234" s="1"/>
  <c r="L17" i="234"/>
  <c r="N17" i="234" s="1"/>
  <c r="L15" i="234"/>
  <c r="N15" i="234" s="1"/>
  <c r="L13" i="234"/>
  <c r="N13" i="234" s="1"/>
  <c r="L12" i="234"/>
  <c r="N12" i="234" s="1"/>
  <c r="L10" i="234"/>
  <c r="N10" i="234" s="1"/>
  <c r="L8" i="234"/>
  <c r="N8" i="234" s="1"/>
  <c r="E4" i="234"/>
  <c r="D16" i="236" l="1"/>
  <c r="L16" i="237"/>
  <c r="N16" i="237" s="1"/>
  <c r="D9" i="236"/>
  <c r="L9" i="236" s="1"/>
  <c r="L9" i="237"/>
  <c r="D14" i="236"/>
  <c r="L14" i="236" s="1"/>
  <c r="N14" i="236" s="1"/>
  <c r="L14" i="237"/>
  <c r="N14" i="237" s="1"/>
  <c r="D11" i="236"/>
  <c r="L11" i="236" s="1"/>
  <c r="N11" i="236" s="1"/>
  <c r="L11" i="237"/>
  <c r="N11" i="237" s="1"/>
  <c r="L15" i="235"/>
  <c r="M15" i="235"/>
  <c r="L16" i="236"/>
  <c r="N16" i="236" s="1"/>
  <c r="M7" i="233"/>
  <c r="M14" i="233"/>
  <c r="M9" i="233"/>
  <c r="D8" i="233"/>
  <c r="L8" i="233" s="1"/>
  <c r="N8" i="233" s="1"/>
  <c r="D9" i="233"/>
  <c r="L9" i="233" s="1"/>
  <c r="D10" i="233"/>
  <c r="L10" i="233" s="1"/>
  <c r="N10" i="233" s="1"/>
  <c r="D12" i="233"/>
  <c r="L12" i="233" s="1"/>
  <c r="N12" i="233" s="1"/>
  <c r="D13" i="233"/>
  <c r="L13" i="233" s="1"/>
  <c r="N13" i="233" s="1"/>
  <c r="D14" i="233"/>
  <c r="L14" i="233" s="1"/>
  <c r="D15" i="233"/>
  <c r="L15" i="233" s="1"/>
  <c r="N15" i="233" s="1"/>
  <c r="D17" i="233"/>
  <c r="L17" i="233" s="1"/>
  <c r="N17" i="233" s="1"/>
  <c r="D18" i="233"/>
  <c r="L18" i="233" s="1"/>
  <c r="N18" i="233" s="1"/>
  <c r="D19" i="233"/>
  <c r="L19" i="233" s="1"/>
  <c r="N19" i="233" s="1"/>
  <c r="D20" i="233"/>
  <c r="L20" i="233" s="1"/>
  <c r="N20" i="233" s="1"/>
  <c r="D21" i="233"/>
  <c r="L21" i="233" s="1"/>
  <c r="N21" i="233" s="1"/>
  <c r="D22" i="233"/>
  <c r="L22" i="233" s="1"/>
  <c r="N22" i="233" s="1"/>
  <c r="D23" i="233"/>
  <c r="D24" i="233"/>
  <c r="D25" i="233"/>
  <c r="D7" i="233"/>
  <c r="L7" i="233" s="1"/>
  <c r="D4" i="233"/>
  <c r="E4" i="233" s="1"/>
  <c r="K27" i="233"/>
  <c r="J27" i="233"/>
  <c r="I27" i="233"/>
  <c r="H27" i="233"/>
  <c r="G27" i="233"/>
  <c r="F27" i="233"/>
  <c r="N25" i="233"/>
  <c r="N24" i="233"/>
  <c r="N23" i="233"/>
  <c r="M11" i="233"/>
  <c r="E27" i="233"/>
  <c r="N9" i="233" l="1"/>
  <c r="N14" i="233"/>
  <c r="D15" i="236"/>
  <c r="L15" i="236" s="1"/>
  <c r="N15" i="236" s="1"/>
  <c r="L15" i="237"/>
  <c r="N15" i="237" s="1"/>
  <c r="N15" i="235"/>
  <c r="N9" i="237"/>
  <c r="N9" i="236"/>
  <c r="L9" i="235"/>
  <c r="N9" i="235" s="1"/>
  <c r="D9" i="234"/>
  <c r="L9" i="234" s="1"/>
  <c r="N9" i="234" s="1"/>
  <c r="L11" i="235"/>
  <c r="N11" i="235" s="1"/>
  <c r="D11" i="234"/>
  <c r="L11" i="234" s="1"/>
  <c r="N11" i="234" s="1"/>
  <c r="L16" i="235"/>
  <c r="N16" i="235" s="1"/>
  <c r="D16" i="234"/>
  <c r="L16" i="234" s="1"/>
  <c r="N16" i="234" s="1"/>
  <c r="L14" i="235"/>
  <c r="N14" i="235" s="1"/>
  <c r="D14" i="234"/>
  <c r="L14" i="234" s="1"/>
  <c r="N14" i="234" s="1"/>
  <c r="L7" i="235"/>
  <c r="D7" i="234"/>
  <c r="L7" i="234" s="1"/>
  <c r="N7" i="233"/>
  <c r="D16" i="233"/>
  <c r="L16" i="233" s="1"/>
  <c r="N16" i="233" s="1"/>
  <c r="M11" i="232"/>
  <c r="D11" i="233" s="1"/>
  <c r="L11" i="233" s="1"/>
  <c r="E11" i="232"/>
  <c r="M9" i="231"/>
  <c r="D9" i="232" s="1"/>
  <c r="L9" i="232" s="1"/>
  <c r="N9" i="232" s="1"/>
  <c r="M21" i="231"/>
  <c r="D21" i="232" s="1"/>
  <c r="L21" i="232" s="1"/>
  <c r="N21" i="232" s="1"/>
  <c r="D8" i="232"/>
  <c r="L8" i="232" s="1"/>
  <c r="N8" i="232" s="1"/>
  <c r="D10" i="232"/>
  <c r="D11" i="232"/>
  <c r="D12" i="232"/>
  <c r="L12" i="232" s="1"/>
  <c r="N12" i="232" s="1"/>
  <c r="D13" i="232"/>
  <c r="L13" i="232" s="1"/>
  <c r="N13" i="232" s="1"/>
  <c r="D14" i="232"/>
  <c r="L14" i="232" s="1"/>
  <c r="N14" i="232" s="1"/>
  <c r="D15" i="232"/>
  <c r="L15" i="232" s="1"/>
  <c r="N15" i="232" s="1"/>
  <c r="D16" i="232"/>
  <c r="L16" i="232" s="1"/>
  <c r="D17" i="232"/>
  <c r="L17" i="232" s="1"/>
  <c r="N17" i="232" s="1"/>
  <c r="D18" i="232"/>
  <c r="L18" i="232" s="1"/>
  <c r="N18" i="232" s="1"/>
  <c r="D19" i="232"/>
  <c r="L19" i="232" s="1"/>
  <c r="N19" i="232" s="1"/>
  <c r="D20" i="232"/>
  <c r="L20" i="232" s="1"/>
  <c r="N20" i="232" s="1"/>
  <c r="D22" i="232"/>
  <c r="L22" i="232" s="1"/>
  <c r="N22" i="232" s="1"/>
  <c r="D23" i="232"/>
  <c r="D24" i="232"/>
  <c r="D4" i="232"/>
  <c r="E4" i="232" s="1"/>
  <c r="K27" i="232"/>
  <c r="J27" i="232"/>
  <c r="I27" i="232"/>
  <c r="H27" i="232"/>
  <c r="G27" i="232"/>
  <c r="F27" i="232"/>
  <c r="N25" i="232"/>
  <c r="N24" i="232"/>
  <c r="N23" i="232"/>
  <c r="L10" i="232"/>
  <c r="N10" i="232" s="1"/>
  <c r="L27" i="237" l="1"/>
  <c r="L27" i="236"/>
  <c r="L27" i="233"/>
  <c r="L11" i="232"/>
  <c r="N11" i="232" s="1"/>
  <c r="N11" i="233"/>
  <c r="L27" i="234"/>
  <c r="N7" i="234"/>
  <c r="L27" i="235"/>
  <c r="N7" i="235"/>
  <c r="N16" i="232"/>
  <c r="E27" i="232"/>
  <c r="M7" i="231"/>
  <c r="D7" i="232" s="1"/>
  <c r="L7" i="232" s="1"/>
  <c r="N7" i="232" s="1"/>
  <c r="E7" i="231"/>
  <c r="E27" i="231" s="1"/>
  <c r="D8" i="231"/>
  <c r="L8" i="231" s="1"/>
  <c r="N8" i="231" s="1"/>
  <c r="D9" i="231"/>
  <c r="L9" i="231" s="1"/>
  <c r="N9" i="231" s="1"/>
  <c r="D10" i="231"/>
  <c r="L10" i="231" s="1"/>
  <c r="N10" i="231" s="1"/>
  <c r="D12" i="231"/>
  <c r="L12" i="231" s="1"/>
  <c r="N12" i="231" s="1"/>
  <c r="D13" i="231"/>
  <c r="L13" i="231" s="1"/>
  <c r="N13" i="231" s="1"/>
  <c r="D14" i="231"/>
  <c r="L14" i="231" s="1"/>
  <c r="N14" i="231" s="1"/>
  <c r="D15" i="231"/>
  <c r="L15" i="231" s="1"/>
  <c r="N15" i="231" s="1"/>
  <c r="D16" i="231"/>
  <c r="L16" i="231" s="1"/>
  <c r="N16" i="231" s="1"/>
  <c r="D17" i="231"/>
  <c r="L17" i="231" s="1"/>
  <c r="N17" i="231" s="1"/>
  <c r="D19" i="231"/>
  <c r="D21" i="231"/>
  <c r="D22" i="231"/>
  <c r="D23" i="231"/>
  <c r="D24" i="231"/>
  <c r="D4" i="231"/>
  <c r="E4" i="231" s="1"/>
  <c r="K27" i="231"/>
  <c r="J27" i="231"/>
  <c r="I27" i="231"/>
  <c r="H27" i="231"/>
  <c r="G27" i="231"/>
  <c r="F27" i="231"/>
  <c r="N24" i="231"/>
  <c r="N23" i="231"/>
  <c r="L22" i="231"/>
  <c r="N22" i="231" s="1"/>
  <c r="L21" i="231"/>
  <c r="N21" i="231" s="1"/>
  <c r="L19" i="231"/>
  <c r="N19" i="231" s="1"/>
  <c r="L27" i="232" l="1"/>
  <c r="M7" i="230"/>
  <c r="D7" i="231" s="1"/>
  <c r="L7" i="231" s="1"/>
  <c r="N7" i="231" s="1"/>
  <c r="M11" i="230"/>
  <c r="D11" i="231" s="1"/>
  <c r="L11" i="231" s="1"/>
  <c r="N11" i="231" s="1"/>
  <c r="M18" i="230"/>
  <c r="D18" i="231" s="1"/>
  <c r="L18" i="231" s="1"/>
  <c r="N18" i="231" s="1"/>
  <c r="E18" i="230"/>
  <c r="E27" i="230" s="1"/>
  <c r="M20" i="230"/>
  <c r="D20" i="231" s="1"/>
  <c r="L20" i="231" s="1"/>
  <c r="N20" i="231" s="1"/>
  <c r="D8" i="230"/>
  <c r="L8" i="230" s="1"/>
  <c r="N8" i="230" s="1"/>
  <c r="D11" i="230"/>
  <c r="L11" i="230" s="1"/>
  <c r="D13" i="230"/>
  <c r="L13" i="230" s="1"/>
  <c r="N13" i="230" s="1"/>
  <c r="D17" i="230"/>
  <c r="L17" i="230" s="1"/>
  <c r="N17" i="230" s="1"/>
  <c r="D18" i="230"/>
  <c r="D19" i="230"/>
  <c r="L19" i="230" s="1"/>
  <c r="N19" i="230" s="1"/>
  <c r="D21" i="230"/>
  <c r="L21" i="230" s="1"/>
  <c r="N21" i="230" s="1"/>
  <c r="D22" i="230"/>
  <c r="L22" i="230" s="1"/>
  <c r="N22" i="230" s="1"/>
  <c r="D23" i="230"/>
  <c r="D24" i="230"/>
  <c r="D7" i="230"/>
  <c r="L7" i="230" s="1"/>
  <c r="D4" i="230"/>
  <c r="E4" i="230" s="1"/>
  <c r="K27" i="230"/>
  <c r="J27" i="230"/>
  <c r="I27" i="230"/>
  <c r="H27" i="230"/>
  <c r="G27" i="230"/>
  <c r="F27" i="230"/>
  <c r="N24" i="230"/>
  <c r="N23" i="230"/>
  <c r="N11" i="230" l="1"/>
  <c r="L27" i="231"/>
  <c r="L18" i="230"/>
  <c r="N18" i="230" s="1"/>
  <c r="N7" i="230"/>
  <c r="M9" i="229"/>
  <c r="D9" i="230" s="1"/>
  <c r="L9" i="230" s="1"/>
  <c r="N9" i="230" s="1"/>
  <c r="M12" i="229"/>
  <c r="D12" i="230" s="1"/>
  <c r="L12" i="230" s="1"/>
  <c r="M16" i="229"/>
  <c r="D16" i="230" s="1"/>
  <c r="L16" i="230" s="1"/>
  <c r="N16" i="230" s="1"/>
  <c r="M20" i="229"/>
  <c r="D20" i="230" s="1"/>
  <c r="L20" i="230" s="1"/>
  <c r="N20" i="230" s="1"/>
  <c r="M15" i="229"/>
  <c r="D15" i="230" s="1"/>
  <c r="L15" i="230" s="1"/>
  <c r="N15" i="230" s="1"/>
  <c r="M14" i="229"/>
  <c r="D14" i="230" s="1"/>
  <c r="L14" i="230" s="1"/>
  <c r="N14" i="230" s="1"/>
  <c r="M14" i="227"/>
  <c r="M10" i="229"/>
  <c r="D10" i="230" s="1"/>
  <c r="L10" i="230" s="1"/>
  <c r="N10" i="230" s="1"/>
  <c r="D8" i="229"/>
  <c r="L8" i="229" s="1"/>
  <c r="N8" i="229" s="1"/>
  <c r="D9" i="229"/>
  <c r="L9" i="229" s="1"/>
  <c r="D10" i="229"/>
  <c r="L10" i="229" s="1"/>
  <c r="D11" i="229"/>
  <c r="D12" i="229"/>
  <c r="L12" i="229" s="1"/>
  <c r="D13" i="229"/>
  <c r="L13" i="229" s="1"/>
  <c r="N13" i="229" s="1"/>
  <c r="D15" i="229"/>
  <c r="L15" i="229" s="1"/>
  <c r="N15" i="229" s="1"/>
  <c r="D16" i="229"/>
  <c r="L16" i="229" s="1"/>
  <c r="D17" i="229"/>
  <c r="L17" i="229" s="1"/>
  <c r="N17" i="229" s="1"/>
  <c r="D18" i="229"/>
  <c r="L18" i="229" s="1"/>
  <c r="N18" i="229" s="1"/>
  <c r="D19" i="229"/>
  <c r="L19" i="229" s="1"/>
  <c r="N19" i="229" s="1"/>
  <c r="D20" i="229"/>
  <c r="L20" i="229" s="1"/>
  <c r="N20" i="229" s="1"/>
  <c r="D21" i="229"/>
  <c r="L21" i="229" s="1"/>
  <c r="N21" i="229" s="1"/>
  <c r="D22" i="229"/>
  <c r="L22" i="229" s="1"/>
  <c r="N22" i="229" s="1"/>
  <c r="D23" i="229"/>
  <c r="D24" i="229"/>
  <c r="D7" i="229"/>
  <c r="L7" i="229" s="1"/>
  <c r="D4" i="229"/>
  <c r="E4" i="229" s="1"/>
  <c r="K27" i="229"/>
  <c r="J27" i="229"/>
  <c r="I27" i="229"/>
  <c r="H27" i="229"/>
  <c r="G27" i="229"/>
  <c r="F27" i="229"/>
  <c r="E27" i="229"/>
  <c r="N24" i="229"/>
  <c r="N23" i="229"/>
  <c r="L11" i="229"/>
  <c r="N11" i="229" s="1"/>
  <c r="D8" i="228"/>
  <c r="L8" i="228" s="1"/>
  <c r="N8" i="228" s="1"/>
  <c r="D9" i="228"/>
  <c r="L9" i="228" s="1"/>
  <c r="N9" i="228" s="1"/>
  <c r="D10" i="228"/>
  <c r="L10" i="228" s="1"/>
  <c r="N10" i="228" s="1"/>
  <c r="D11" i="228"/>
  <c r="L11" i="228" s="1"/>
  <c r="N11" i="228" s="1"/>
  <c r="D12" i="228"/>
  <c r="L12" i="228" s="1"/>
  <c r="N12" i="228" s="1"/>
  <c r="D13" i="228"/>
  <c r="D14" i="228"/>
  <c r="L14" i="228" s="1"/>
  <c r="D17" i="228"/>
  <c r="L17" i="228" s="1"/>
  <c r="N17" i="228" s="1"/>
  <c r="D18" i="228"/>
  <c r="L18" i="228" s="1"/>
  <c r="N18" i="228" s="1"/>
  <c r="D19" i="228"/>
  <c r="L19" i="228" s="1"/>
  <c r="N19" i="228" s="1"/>
  <c r="D21" i="228"/>
  <c r="L21" i="228" s="1"/>
  <c r="N21" i="228" s="1"/>
  <c r="D22" i="228"/>
  <c r="L22" i="228" s="1"/>
  <c r="N22" i="228" s="1"/>
  <c r="D23" i="228"/>
  <c r="D24" i="228"/>
  <c r="D7" i="228"/>
  <c r="L7" i="228" s="1"/>
  <c r="D4" i="228"/>
  <c r="E4" i="228" s="1"/>
  <c r="K27" i="228"/>
  <c r="J27" i="228"/>
  <c r="I27" i="228"/>
  <c r="H27" i="228"/>
  <c r="G27" i="228"/>
  <c r="F27" i="228"/>
  <c r="N24" i="228"/>
  <c r="N23" i="228"/>
  <c r="E27" i="228"/>
  <c r="L13" i="228"/>
  <c r="N13" i="228" s="1"/>
  <c r="N12" i="229" l="1"/>
  <c r="L27" i="230"/>
  <c r="M14" i="228"/>
  <c r="D14" i="229" s="1"/>
  <c r="L14" i="229" s="1"/>
  <c r="N14" i="229" s="1"/>
  <c r="N12" i="230"/>
  <c r="N9" i="229"/>
  <c r="N16" i="229"/>
  <c r="N10" i="229"/>
  <c r="N7" i="229"/>
  <c r="N7" i="228"/>
  <c r="M20" i="227"/>
  <c r="D20" i="228" s="1"/>
  <c r="L20" i="228" s="1"/>
  <c r="N20" i="228" s="1"/>
  <c r="M16" i="227"/>
  <c r="D16" i="228" s="1"/>
  <c r="L16" i="228" s="1"/>
  <c r="N16" i="228" s="1"/>
  <c r="M15" i="227"/>
  <c r="D15" i="228" s="1"/>
  <c r="L15" i="228" s="1"/>
  <c r="N15" i="228" s="1"/>
  <c r="E15" i="227"/>
  <c r="E27" i="227" s="1"/>
  <c r="D8" i="227"/>
  <c r="L8" i="227" s="1"/>
  <c r="N8" i="227" s="1"/>
  <c r="D11" i="227"/>
  <c r="L11" i="227" s="1"/>
  <c r="N11" i="227" s="1"/>
  <c r="D12" i="227"/>
  <c r="L12" i="227" s="1"/>
  <c r="N12" i="227" s="1"/>
  <c r="D13" i="227"/>
  <c r="L13" i="227" s="1"/>
  <c r="N13" i="227" s="1"/>
  <c r="D14" i="227"/>
  <c r="L14" i="227" s="1"/>
  <c r="N14" i="227" s="1"/>
  <c r="D15" i="227"/>
  <c r="L15" i="227" s="1"/>
  <c r="D16" i="227"/>
  <c r="L16" i="227" s="1"/>
  <c r="D17" i="227"/>
  <c r="L17" i="227" s="1"/>
  <c r="N17" i="227" s="1"/>
  <c r="D18" i="227"/>
  <c r="L18" i="227" s="1"/>
  <c r="N18" i="227" s="1"/>
  <c r="D19" i="227"/>
  <c r="L19" i="227" s="1"/>
  <c r="N19" i="227" s="1"/>
  <c r="D20" i="227"/>
  <c r="L20" i="227" s="1"/>
  <c r="D22" i="227"/>
  <c r="D23" i="227"/>
  <c r="D24" i="227"/>
  <c r="D4" i="227"/>
  <c r="E4" i="227" s="1"/>
  <c r="K27" i="227"/>
  <c r="J27" i="227"/>
  <c r="I27" i="227"/>
  <c r="H27" i="227"/>
  <c r="G27" i="227"/>
  <c r="F27" i="227"/>
  <c r="N24" i="227"/>
  <c r="N23" i="227"/>
  <c r="L22" i="227"/>
  <c r="N22" i="227" s="1"/>
  <c r="N20" i="227" l="1"/>
  <c r="L27" i="229"/>
  <c r="N14" i="228"/>
  <c r="L27" i="228"/>
  <c r="N16" i="227"/>
  <c r="N15" i="227"/>
  <c r="M9" i="226"/>
  <c r="D9" i="227" s="1"/>
  <c r="L9" i="227" s="1"/>
  <c r="N9" i="227" s="1"/>
  <c r="M21" i="226"/>
  <c r="D21" i="227" s="1"/>
  <c r="L21" i="227" s="1"/>
  <c r="N21" i="227" s="1"/>
  <c r="E21" i="226"/>
  <c r="M7" i="226"/>
  <c r="D7" i="227" s="1"/>
  <c r="L7" i="227" s="1"/>
  <c r="N7" i="227" s="1"/>
  <c r="M10" i="226"/>
  <c r="D10" i="227" s="1"/>
  <c r="L10" i="227" s="1"/>
  <c r="N10" i="227" s="1"/>
  <c r="L27" i="227" l="1"/>
  <c r="D8" i="226"/>
  <c r="D10" i="226"/>
  <c r="D12" i="226"/>
  <c r="D13" i="226"/>
  <c r="D14" i="226"/>
  <c r="D17" i="226"/>
  <c r="D18" i="226"/>
  <c r="D19" i="226"/>
  <c r="D20" i="226"/>
  <c r="D21" i="226"/>
  <c r="D22" i="226"/>
  <c r="D23" i="226"/>
  <c r="D24" i="226"/>
  <c r="D7" i="226"/>
  <c r="D4" i="226"/>
  <c r="K27" i="226" l="1"/>
  <c r="J27" i="226"/>
  <c r="I27" i="226"/>
  <c r="H27" i="226"/>
  <c r="G27" i="226"/>
  <c r="F27" i="226"/>
  <c r="E27" i="226"/>
  <c r="N24" i="226"/>
  <c r="N23" i="226"/>
  <c r="L22" i="226"/>
  <c r="N22" i="226" s="1"/>
  <c r="L21" i="226"/>
  <c r="N21" i="226" s="1"/>
  <c r="L20" i="226"/>
  <c r="N20" i="226" s="1"/>
  <c r="L19" i="226"/>
  <c r="N19" i="226" s="1"/>
  <c r="L18" i="226"/>
  <c r="N18" i="226" s="1"/>
  <c r="L17" i="226"/>
  <c r="N17" i="226" s="1"/>
  <c r="L14" i="226"/>
  <c r="N14" i="226" s="1"/>
  <c r="L13" i="226"/>
  <c r="N13" i="226" s="1"/>
  <c r="L12" i="226"/>
  <c r="N12" i="226" s="1"/>
  <c r="L10" i="226"/>
  <c r="N10" i="226" s="1"/>
  <c r="L8" i="226"/>
  <c r="N8" i="226" s="1"/>
  <c r="L7" i="226"/>
  <c r="E4" i="226"/>
  <c r="N7" i="226" l="1"/>
  <c r="M16" i="225"/>
  <c r="D16" i="226" s="1"/>
  <c r="L16" i="226" s="1"/>
  <c r="N16" i="226" s="1"/>
  <c r="M15" i="225"/>
  <c r="D15" i="226" s="1"/>
  <c r="L15" i="226" s="1"/>
  <c r="N15" i="226" s="1"/>
  <c r="M11" i="225"/>
  <c r="D11" i="226" s="1"/>
  <c r="L11" i="226" s="1"/>
  <c r="N11" i="226" s="1"/>
  <c r="M9" i="225"/>
  <c r="D9" i="226" s="1"/>
  <c r="L9" i="226" s="1"/>
  <c r="M12" i="224"/>
  <c r="M10" i="224"/>
  <c r="M11" i="224"/>
  <c r="L27" i="226" l="1"/>
  <c r="N9" i="226"/>
  <c r="D8" i="225"/>
  <c r="L8" i="225" s="1"/>
  <c r="N8" i="225" s="1"/>
  <c r="D10" i="225"/>
  <c r="L10" i="225" s="1"/>
  <c r="N10" i="225" s="1"/>
  <c r="D11" i="225"/>
  <c r="D12" i="225"/>
  <c r="L12" i="225" s="1"/>
  <c r="N12" i="225" s="1"/>
  <c r="D13" i="225"/>
  <c r="L13" i="225" s="1"/>
  <c r="N13" i="225" s="1"/>
  <c r="D14" i="225"/>
  <c r="L14" i="225" s="1"/>
  <c r="N14" i="225" s="1"/>
  <c r="D15" i="225"/>
  <c r="L15" i="225" s="1"/>
  <c r="N15" i="225" s="1"/>
  <c r="D16" i="225"/>
  <c r="L16" i="225" s="1"/>
  <c r="N16" i="225" s="1"/>
  <c r="D17" i="225"/>
  <c r="L17" i="225" s="1"/>
  <c r="N17" i="225" s="1"/>
  <c r="D18" i="225"/>
  <c r="L18" i="225" s="1"/>
  <c r="N18" i="225" s="1"/>
  <c r="D19" i="225"/>
  <c r="L19" i="225" s="1"/>
  <c r="N19" i="225" s="1"/>
  <c r="D20" i="225"/>
  <c r="L20" i="225" s="1"/>
  <c r="N20" i="225" s="1"/>
  <c r="D23" i="225"/>
  <c r="D24" i="225"/>
  <c r="D7" i="225"/>
  <c r="L7" i="225" s="1"/>
  <c r="K27" i="225"/>
  <c r="J27" i="225"/>
  <c r="I27" i="225"/>
  <c r="H27" i="225"/>
  <c r="G27" i="225"/>
  <c r="F27" i="225"/>
  <c r="E27" i="225"/>
  <c r="N24" i="225"/>
  <c r="N23" i="225"/>
  <c r="L11" i="225"/>
  <c r="N11" i="225" s="1"/>
  <c r="D4" i="225"/>
  <c r="E4" i="225" s="1"/>
  <c r="M22" i="224"/>
  <c r="D22" i="225" s="1"/>
  <c r="L22" i="225" s="1"/>
  <c r="N22" i="225" s="1"/>
  <c r="M21" i="224"/>
  <c r="D21" i="225" s="1"/>
  <c r="L21" i="225" s="1"/>
  <c r="N21" i="225" s="1"/>
  <c r="M9" i="224"/>
  <c r="D9" i="225" s="1"/>
  <c r="L9" i="225" s="1"/>
  <c r="D8" i="224"/>
  <c r="L8" i="224" s="1"/>
  <c r="N8" i="224" s="1"/>
  <c r="D10" i="224"/>
  <c r="L10" i="224" s="1"/>
  <c r="N10" i="224" s="1"/>
  <c r="D11" i="224"/>
  <c r="L11" i="224" s="1"/>
  <c r="N11" i="224" s="1"/>
  <c r="D12" i="224"/>
  <c r="D13" i="224"/>
  <c r="L13" i="224" s="1"/>
  <c r="N13" i="224" s="1"/>
  <c r="D15" i="224"/>
  <c r="L15" i="224" s="1"/>
  <c r="N15" i="224" s="1"/>
  <c r="D17" i="224"/>
  <c r="L17" i="224" s="1"/>
  <c r="N17" i="224" s="1"/>
  <c r="D19" i="224"/>
  <c r="D20" i="224"/>
  <c r="L20" i="224" s="1"/>
  <c r="N20" i="224" s="1"/>
  <c r="D21" i="224"/>
  <c r="L21" i="224" s="1"/>
  <c r="D22" i="224"/>
  <c r="L22" i="224" s="1"/>
  <c r="D23" i="224"/>
  <c r="D24" i="224"/>
  <c r="D4" i="224"/>
  <c r="E4" i="224" s="1"/>
  <c r="K27" i="224"/>
  <c r="J27" i="224"/>
  <c r="I27" i="224"/>
  <c r="H27" i="224"/>
  <c r="G27" i="224"/>
  <c r="F27" i="224"/>
  <c r="E27" i="224"/>
  <c r="N24" i="224"/>
  <c r="N23" i="224"/>
  <c r="L19" i="224"/>
  <c r="N19" i="224" s="1"/>
  <c r="L12" i="224"/>
  <c r="N12" i="224" s="1"/>
  <c r="N21" i="224" l="1"/>
  <c r="L27" i="225"/>
  <c r="N7" i="225"/>
  <c r="N9" i="225"/>
  <c r="N22" i="224"/>
  <c r="M18" i="223"/>
  <c r="D18" i="224" s="1"/>
  <c r="L18" i="224" s="1"/>
  <c r="N18" i="224" s="1"/>
  <c r="M16" i="223"/>
  <c r="D16" i="224" s="1"/>
  <c r="L16" i="224" s="1"/>
  <c r="N16" i="224" s="1"/>
  <c r="M14" i="223"/>
  <c r="D14" i="224" s="1"/>
  <c r="L14" i="224" s="1"/>
  <c r="N14" i="224" s="1"/>
  <c r="M9" i="223"/>
  <c r="D9" i="224" s="1"/>
  <c r="L9" i="224" s="1"/>
  <c r="N9" i="224" s="1"/>
  <c r="M7" i="223"/>
  <c r="D7" i="224" s="1"/>
  <c r="L7" i="224" s="1"/>
  <c r="D8" i="223"/>
  <c r="D12" i="223"/>
  <c r="D13" i="223"/>
  <c r="D14" i="223"/>
  <c r="D15" i="223"/>
  <c r="D17" i="223"/>
  <c r="D18" i="223"/>
  <c r="D19" i="223"/>
  <c r="D23" i="223"/>
  <c r="D24" i="223"/>
  <c r="D4" i="223"/>
  <c r="D4" i="222"/>
  <c r="L27" i="224" l="1"/>
  <c r="N7" i="224"/>
  <c r="K27" i="223"/>
  <c r="J27" i="223"/>
  <c r="I27" i="223"/>
  <c r="H27" i="223"/>
  <c r="G27" i="223"/>
  <c r="F27" i="223"/>
  <c r="E27" i="223"/>
  <c r="N24" i="223"/>
  <c r="N23" i="223"/>
  <c r="L19" i="223"/>
  <c r="N19" i="223" s="1"/>
  <c r="L18" i="223"/>
  <c r="N18" i="223" s="1"/>
  <c r="L17" i="223"/>
  <c r="N17" i="223" s="1"/>
  <c r="L15" i="223"/>
  <c r="N15" i="223" s="1"/>
  <c r="L14" i="223"/>
  <c r="N14" i="223" s="1"/>
  <c r="L13" i="223"/>
  <c r="N13" i="223" s="1"/>
  <c r="L12" i="223"/>
  <c r="N12" i="223" s="1"/>
  <c r="L8" i="223"/>
  <c r="N8" i="223" s="1"/>
  <c r="E4" i="223"/>
  <c r="M9" i="222"/>
  <c r="D9" i="223" s="1"/>
  <c r="L9" i="223" s="1"/>
  <c r="N9" i="223" s="1"/>
  <c r="M22" i="222"/>
  <c r="D22" i="223" s="1"/>
  <c r="L22" i="223" s="1"/>
  <c r="M21" i="222"/>
  <c r="D21" i="223" s="1"/>
  <c r="L21" i="223" s="1"/>
  <c r="M20" i="222"/>
  <c r="D20" i="223" s="1"/>
  <c r="L20" i="223" s="1"/>
  <c r="M16" i="222"/>
  <c r="D16" i="223" s="1"/>
  <c r="L16" i="223" s="1"/>
  <c r="M11" i="222"/>
  <c r="D11" i="223" s="1"/>
  <c r="L11" i="223" s="1"/>
  <c r="N11" i="223" s="1"/>
  <c r="M10" i="222"/>
  <c r="D10" i="223" s="1"/>
  <c r="L10" i="223" s="1"/>
  <c r="N10" i="223" s="1"/>
  <c r="M7" i="222"/>
  <c r="D7" i="223" s="1"/>
  <c r="L7" i="223" s="1"/>
  <c r="D7" i="222"/>
  <c r="N16" i="223" l="1"/>
  <c r="L27" i="223"/>
  <c r="N20" i="223"/>
  <c r="N21" i="223"/>
  <c r="N22" i="223"/>
  <c r="N7" i="223"/>
  <c r="K27" i="222"/>
  <c r="J27" i="222"/>
  <c r="I27" i="222"/>
  <c r="H27" i="222"/>
  <c r="G27" i="222"/>
  <c r="F27" i="222"/>
  <c r="E27" i="222"/>
  <c r="N24" i="222"/>
  <c r="N23" i="222"/>
  <c r="E4" i="222"/>
  <c r="D8" i="221"/>
  <c r="D8" i="222" s="1"/>
  <c r="L8" i="222" s="1"/>
  <c r="D13" i="221"/>
  <c r="M13" i="221" s="1"/>
  <c r="D13" i="222" s="1"/>
  <c r="D14" i="221"/>
  <c r="M14" i="221" s="1"/>
  <c r="D14" i="222" s="1"/>
  <c r="L14" i="222" s="1"/>
  <c r="D17" i="221"/>
  <c r="M17" i="221" s="1"/>
  <c r="D17" i="222" s="1"/>
  <c r="D18" i="221"/>
  <c r="M18" i="221" s="1"/>
  <c r="D18" i="222" s="1"/>
  <c r="L18" i="222" s="1"/>
  <c r="D19" i="221"/>
  <c r="M19" i="221" s="1"/>
  <c r="D19" i="222" s="1"/>
  <c r="D20" i="221"/>
  <c r="M20" i="221" s="1"/>
  <c r="D20" i="222" s="1"/>
  <c r="L20" i="222" s="1"/>
  <c r="D21" i="221"/>
  <c r="M21" i="221" s="1"/>
  <c r="D21" i="222" s="1"/>
  <c r="D22" i="221"/>
  <c r="M22" i="221" s="1"/>
  <c r="D22" i="222" s="1"/>
  <c r="L22" i="222" s="1"/>
  <c r="D23" i="221"/>
  <c r="M23" i="221" s="1"/>
  <c r="D23" i="222" s="1"/>
  <c r="D24" i="221"/>
  <c r="M24" i="221" s="1"/>
  <c r="D24" i="222" s="1"/>
  <c r="D25" i="221"/>
  <c r="M25" i="221" s="1"/>
  <c r="D25" i="222" s="1"/>
  <c r="M25" i="222" s="1"/>
  <c r="D26" i="221"/>
  <c r="M26" i="221" s="1"/>
  <c r="D26" i="222" s="1"/>
  <c r="M26" i="222" s="1"/>
  <c r="D4" i="221"/>
  <c r="N26" i="222" l="1"/>
  <c r="D26" i="223"/>
  <c r="M26" i="223" s="1"/>
  <c r="N25" i="222"/>
  <c r="D25" i="223"/>
  <c r="M25" i="223" s="1"/>
  <c r="D25" i="224" s="1"/>
  <c r="M25" i="224" s="1"/>
  <c r="N8" i="222"/>
  <c r="N14" i="222"/>
  <c r="N18" i="222"/>
  <c r="N20" i="222"/>
  <c r="N22" i="222"/>
  <c r="L7" i="222"/>
  <c r="L13" i="222"/>
  <c r="N13" i="222" s="1"/>
  <c r="L17" i="222"/>
  <c r="N17" i="222" s="1"/>
  <c r="L19" i="222"/>
  <c r="N19" i="222" s="1"/>
  <c r="L21" i="222"/>
  <c r="N21" i="222" s="1"/>
  <c r="K27" i="221"/>
  <c r="J27" i="221"/>
  <c r="I27" i="221"/>
  <c r="H27" i="221"/>
  <c r="G27" i="221"/>
  <c r="F27" i="221"/>
  <c r="E27" i="221"/>
  <c r="N26" i="221"/>
  <c r="N25" i="221"/>
  <c r="N24" i="221"/>
  <c r="N23" i="221"/>
  <c r="L22" i="221"/>
  <c r="N22" i="221" s="1"/>
  <c r="L21" i="221"/>
  <c r="N21" i="221" s="1"/>
  <c r="L20" i="221"/>
  <c r="N20" i="221" s="1"/>
  <c r="L19" i="221"/>
  <c r="N19" i="221" s="1"/>
  <c r="L18" i="221"/>
  <c r="N18" i="221" s="1"/>
  <c r="L17" i="221"/>
  <c r="N17" i="221" s="1"/>
  <c r="L14" i="221"/>
  <c r="N14" i="221" s="1"/>
  <c r="L13" i="221"/>
  <c r="N13" i="221" s="1"/>
  <c r="L8" i="221"/>
  <c r="N8" i="221" s="1"/>
  <c r="E4" i="221"/>
  <c r="N25" i="224" l="1"/>
  <c r="D25" i="225"/>
  <c r="M25" i="225" s="1"/>
  <c r="D25" i="226" s="1"/>
  <c r="M25" i="226" s="1"/>
  <c r="N26" i="223"/>
  <c r="D26" i="224"/>
  <c r="M26" i="224" s="1"/>
  <c r="N25" i="223"/>
  <c r="M27" i="223"/>
  <c r="M27" i="222"/>
  <c r="N7" i="222"/>
  <c r="M7" i="220"/>
  <c r="D7" i="221" s="1"/>
  <c r="L7" i="221" s="1"/>
  <c r="N7" i="221" s="1"/>
  <c r="M9" i="220"/>
  <c r="D9" i="221" s="1"/>
  <c r="M16" i="220"/>
  <c r="D16" i="221" s="1"/>
  <c r="M11" i="220"/>
  <c r="D11" i="221" s="1"/>
  <c r="N27" i="223" l="1"/>
  <c r="N25" i="226"/>
  <c r="D25" i="227"/>
  <c r="M25" i="227" s="1"/>
  <c r="M16" i="221"/>
  <c r="L16" i="221"/>
  <c r="M11" i="221"/>
  <c r="L11" i="221"/>
  <c r="M9" i="221"/>
  <c r="L9" i="221"/>
  <c r="N26" i="224"/>
  <c r="N27" i="224" s="1"/>
  <c r="D26" i="225"/>
  <c r="M26" i="225" s="1"/>
  <c r="M27" i="224"/>
  <c r="N25" i="225"/>
  <c r="M10" i="220"/>
  <c r="D10" i="221" s="1"/>
  <c r="M15" i="220"/>
  <c r="D15" i="221" s="1"/>
  <c r="M7" i="219"/>
  <c r="D7" i="220" s="1"/>
  <c r="L7" i="220" s="1"/>
  <c r="M10" i="219"/>
  <c r="D10" i="220" s="1"/>
  <c r="L10" i="220" s="1"/>
  <c r="M15" i="219"/>
  <c r="D15" i="220" s="1"/>
  <c r="L15" i="220" s="1"/>
  <c r="E21" i="219"/>
  <c r="E10" i="219"/>
  <c r="D8" i="220"/>
  <c r="L8" i="220" s="1"/>
  <c r="N8" i="220" s="1"/>
  <c r="D11" i="220"/>
  <c r="L11" i="220" s="1"/>
  <c r="N11" i="220" s="1"/>
  <c r="D13" i="220"/>
  <c r="L13" i="220" s="1"/>
  <c r="N13" i="220" s="1"/>
  <c r="D14" i="220"/>
  <c r="L14" i="220" s="1"/>
  <c r="N14" i="220" s="1"/>
  <c r="D16" i="220"/>
  <c r="L16" i="220" s="1"/>
  <c r="N16" i="220" s="1"/>
  <c r="D17" i="220"/>
  <c r="L17" i="220" s="1"/>
  <c r="N17" i="220" s="1"/>
  <c r="D18" i="220"/>
  <c r="L18" i="220" s="1"/>
  <c r="N18" i="220" s="1"/>
  <c r="D19" i="220"/>
  <c r="L19" i="220" s="1"/>
  <c r="N19" i="220" s="1"/>
  <c r="D20" i="220"/>
  <c r="L20" i="220" s="1"/>
  <c r="N20" i="220" s="1"/>
  <c r="D21" i="220"/>
  <c r="D22" i="220"/>
  <c r="L22" i="220" s="1"/>
  <c r="N22" i="220" s="1"/>
  <c r="D23" i="220"/>
  <c r="D24" i="220"/>
  <c r="D25" i="220"/>
  <c r="D26" i="220"/>
  <c r="D4" i="220"/>
  <c r="E4" i="220" s="1"/>
  <c r="K27" i="220"/>
  <c r="J27" i="220"/>
  <c r="I27" i="220"/>
  <c r="H27" i="220"/>
  <c r="G27" i="220"/>
  <c r="F27" i="220"/>
  <c r="E27" i="220"/>
  <c r="N26" i="220"/>
  <c r="N25" i="220"/>
  <c r="N24" i="220"/>
  <c r="N23" i="220"/>
  <c r="L21" i="220"/>
  <c r="N21" i="220" s="1"/>
  <c r="M12" i="220"/>
  <c r="D12" i="221" s="1"/>
  <c r="M9" i="219"/>
  <c r="D9" i="220" s="1"/>
  <c r="L9" i="220" s="1"/>
  <c r="M12" i="219"/>
  <c r="D12" i="220" s="1"/>
  <c r="L12" i="220" s="1"/>
  <c r="D8" i="219"/>
  <c r="L8" i="219" s="1"/>
  <c r="N8" i="219" s="1"/>
  <c r="D10" i="219"/>
  <c r="D11" i="219"/>
  <c r="D13" i="219"/>
  <c r="L13" i="219" s="1"/>
  <c r="N13" i="219" s="1"/>
  <c r="D14" i="219"/>
  <c r="L14" i="219" s="1"/>
  <c r="N14" i="219" s="1"/>
  <c r="D15" i="219"/>
  <c r="L15" i="219" s="1"/>
  <c r="D17" i="219"/>
  <c r="L17" i="219" s="1"/>
  <c r="N17" i="219" s="1"/>
  <c r="D19" i="219"/>
  <c r="L19" i="219" s="1"/>
  <c r="N19" i="219" s="1"/>
  <c r="D20" i="219"/>
  <c r="L20" i="219" s="1"/>
  <c r="N20" i="219" s="1"/>
  <c r="D21" i="219"/>
  <c r="D22" i="219"/>
  <c r="L22" i="219" s="1"/>
  <c r="N22" i="219" s="1"/>
  <c r="D23" i="219"/>
  <c r="D24" i="219"/>
  <c r="D25" i="219"/>
  <c r="D26" i="219"/>
  <c r="D4" i="219"/>
  <c r="E4" i="219" s="1"/>
  <c r="K27" i="219"/>
  <c r="J27" i="219"/>
  <c r="I27" i="219"/>
  <c r="H27" i="219"/>
  <c r="G27" i="219"/>
  <c r="F27" i="219"/>
  <c r="N26" i="219"/>
  <c r="N25" i="219"/>
  <c r="N24" i="219"/>
  <c r="N23" i="219"/>
  <c r="L11" i="219"/>
  <c r="N11" i="219" s="1"/>
  <c r="E27" i="219" l="1"/>
  <c r="N15" i="219"/>
  <c r="L10" i="219"/>
  <c r="N10" i="219" s="1"/>
  <c r="N10" i="220"/>
  <c r="L21" i="219"/>
  <c r="N21" i="219" s="1"/>
  <c r="N15" i="220"/>
  <c r="M27" i="219"/>
  <c r="M12" i="221"/>
  <c r="L12" i="221"/>
  <c r="M27" i="220"/>
  <c r="M15" i="221"/>
  <c r="L15" i="221"/>
  <c r="M10" i="221"/>
  <c r="L10" i="221"/>
  <c r="N26" i="225"/>
  <c r="N27" i="225" s="1"/>
  <c r="D26" i="226"/>
  <c r="M26" i="226" s="1"/>
  <c r="D9" i="222"/>
  <c r="L9" i="222" s="1"/>
  <c r="N9" i="221"/>
  <c r="D11" i="222"/>
  <c r="L11" i="222" s="1"/>
  <c r="N11" i="222" s="1"/>
  <c r="N11" i="221"/>
  <c r="D16" i="222"/>
  <c r="L16" i="222" s="1"/>
  <c r="N16" i="222" s="1"/>
  <c r="N16" i="221"/>
  <c r="N25" i="227"/>
  <c r="D25" i="228"/>
  <c r="M25" i="228" s="1"/>
  <c r="M27" i="225"/>
  <c r="L27" i="220"/>
  <c r="N7" i="220"/>
  <c r="N12" i="220"/>
  <c r="N9" i="220"/>
  <c r="M18" i="218"/>
  <c r="D18" i="219" s="1"/>
  <c r="L18" i="219" s="1"/>
  <c r="N18" i="219" s="1"/>
  <c r="M16" i="218"/>
  <c r="D16" i="219" s="1"/>
  <c r="L16" i="219" s="1"/>
  <c r="N16" i="219" s="1"/>
  <c r="M9" i="218"/>
  <c r="D9" i="219" s="1"/>
  <c r="L9" i="219" s="1"/>
  <c r="N9" i="219" s="1"/>
  <c r="M12" i="218"/>
  <c r="D12" i="219" s="1"/>
  <c r="L12" i="219" s="1"/>
  <c r="N12" i="219" s="1"/>
  <c r="M7" i="218"/>
  <c r="D7" i="219" s="1"/>
  <c r="L7" i="219" s="1"/>
  <c r="N7" i="219" s="1"/>
  <c r="D10" i="218"/>
  <c r="L10" i="218" s="1"/>
  <c r="N10" i="218" s="1"/>
  <c r="D12" i="218"/>
  <c r="L12" i="218" s="1"/>
  <c r="D13" i="218"/>
  <c r="L13" i="218" s="1"/>
  <c r="N13" i="218" s="1"/>
  <c r="D15" i="218"/>
  <c r="L15" i="218" s="1"/>
  <c r="N15" i="218" s="1"/>
  <c r="D16" i="218"/>
  <c r="L16" i="218" s="1"/>
  <c r="D17" i="218"/>
  <c r="L17" i="218" s="1"/>
  <c r="N17" i="218" s="1"/>
  <c r="D18" i="218"/>
  <c r="L18" i="218" s="1"/>
  <c r="D19" i="218"/>
  <c r="L19" i="218" s="1"/>
  <c r="N19" i="218" s="1"/>
  <c r="D20" i="218"/>
  <c r="L20" i="218" s="1"/>
  <c r="N20" i="218" s="1"/>
  <c r="D21" i="218"/>
  <c r="L21" i="218" s="1"/>
  <c r="N21" i="218" s="1"/>
  <c r="D23" i="218"/>
  <c r="D24" i="218"/>
  <c r="D25" i="218"/>
  <c r="D26" i="218"/>
  <c r="D4" i="218"/>
  <c r="E4" i="218" s="1"/>
  <c r="K27" i="218"/>
  <c r="J27" i="218"/>
  <c r="I27" i="218"/>
  <c r="H27" i="218"/>
  <c r="G27" i="218"/>
  <c r="F27" i="218"/>
  <c r="N26" i="218"/>
  <c r="N25" i="218"/>
  <c r="N24" i="218"/>
  <c r="N23" i="218"/>
  <c r="E27" i="218"/>
  <c r="N16" i="218" l="1"/>
  <c r="M27" i="218"/>
  <c r="M27" i="221"/>
  <c r="L27" i="221"/>
  <c r="L27" i="219"/>
  <c r="N25" i="228"/>
  <c r="D25" i="229"/>
  <c r="M25" i="229" s="1"/>
  <c r="N9" i="222"/>
  <c r="D10" i="222"/>
  <c r="L10" i="222" s="1"/>
  <c r="N10" i="222" s="1"/>
  <c r="N10" i="221"/>
  <c r="D12" i="222"/>
  <c r="L12" i="222" s="1"/>
  <c r="N12" i="222" s="1"/>
  <c r="N12" i="221"/>
  <c r="N26" i="226"/>
  <c r="N27" i="226" s="1"/>
  <c r="D26" i="227"/>
  <c r="M26" i="227" s="1"/>
  <c r="M27" i="226"/>
  <c r="D15" i="222"/>
  <c r="L15" i="222" s="1"/>
  <c r="N15" i="222" s="1"/>
  <c r="N15" i="221"/>
  <c r="N27" i="220"/>
  <c r="N27" i="219"/>
  <c r="N18" i="218"/>
  <c r="N12" i="218"/>
  <c r="M22" i="217"/>
  <c r="D22" i="218" s="1"/>
  <c r="L22" i="218" s="1"/>
  <c r="N22" i="218" s="1"/>
  <c r="M14" i="217"/>
  <c r="D14" i="218" s="1"/>
  <c r="L14" i="218" s="1"/>
  <c r="N14" i="218" s="1"/>
  <c r="M9" i="217"/>
  <c r="D9" i="218" s="1"/>
  <c r="L9" i="218" s="1"/>
  <c r="N9" i="218" s="1"/>
  <c r="M8" i="217"/>
  <c r="D8" i="218" s="1"/>
  <c r="L8" i="218" s="1"/>
  <c r="N8" i="218" s="1"/>
  <c r="E22" i="217"/>
  <c r="M7" i="217"/>
  <c r="D7" i="218" s="1"/>
  <c r="L7" i="218" s="1"/>
  <c r="M11" i="217"/>
  <c r="D11" i="218" s="1"/>
  <c r="L11" i="218" s="1"/>
  <c r="N11" i="218" s="1"/>
  <c r="L27" i="218" l="1"/>
  <c r="N27" i="221"/>
  <c r="N7" i="218"/>
  <c r="N26" i="227"/>
  <c r="N27" i="227" s="1"/>
  <c r="D26" i="228"/>
  <c r="M26" i="228" s="1"/>
  <c r="M27" i="227"/>
  <c r="N27" i="222"/>
  <c r="L27" i="222"/>
  <c r="N25" i="229"/>
  <c r="D25" i="230"/>
  <c r="M25" i="230" s="1"/>
  <c r="N27" i="218"/>
  <c r="D8" i="217"/>
  <c r="L8" i="217" s="1"/>
  <c r="N8" i="217" s="1"/>
  <c r="D12" i="217"/>
  <c r="L12" i="217" s="1"/>
  <c r="N12" i="217" s="1"/>
  <c r="D13" i="217"/>
  <c r="L13" i="217" s="1"/>
  <c r="N13" i="217" s="1"/>
  <c r="D14" i="217"/>
  <c r="L14" i="217" s="1"/>
  <c r="N14" i="217" s="1"/>
  <c r="D15" i="217"/>
  <c r="L15" i="217" s="1"/>
  <c r="N15" i="217" s="1"/>
  <c r="D17" i="217"/>
  <c r="L17" i="217" s="1"/>
  <c r="N17" i="217" s="1"/>
  <c r="D18" i="217"/>
  <c r="L18" i="217" s="1"/>
  <c r="N18" i="217" s="1"/>
  <c r="D19" i="217"/>
  <c r="L19" i="217" s="1"/>
  <c r="N19" i="217" s="1"/>
  <c r="D20" i="217"/>
  <c r="L20" i="217" s="1"/>
  <c r="N20" i="217" s="1"/>
  <c r="D21" i="217"/>
  <c r="L21" i="217" s="1"/>
  <c r="N21" i="217" s="1"/>
  <c r="D22" i="217"/>
  <c r="L22" i="217" s="1"/>
  <c r="N22" i="217" s="1"/>
  <c r="D23" i="217"/>
  <c r="D24" i="217"/>
  <c r="D25" i="217"/>
  <c r="D26" i="217"/>
  <c r="D7" i="217"/>
  <c r="L7" i="217" s="1"/>
  <c r="D4" i="217"/>
  <c r="E4" i="217" s="1"/>
  <c r="K27" i="217"/>
  <c r="J27" i="217"/>
  <c r="I27" i="217"/>
  <c r="H27" i="217"/>
  <c r="G27" i="217"/>
  <c r="F27" i="217"/>
  <c r="N26" i="217"/>
  <c r="N25" i="217"/>
  <c r="N24" i="217"/>
  <c r="N23" i="217"/>
  <c r="M27" i="217"/>
  <c r="E27" i="217"/>
  <c r="N25" i="230" l="1"/>
  <c r="D25" i="231"/>
  <c r="M25" i="231" s="1"/>
  <c r="N26" i="228"/>
  <c r="N27" i="228" s="1"/>
  <c r="D26" i="229"/>
  <c r="M26" i="229" s="1"/>
  <c r="M27" i="228"/>
  <c r="N7" i="217"/>
  <c r="M11" i="216"/>
  <c r="D11" i="217" s="1"/>
  <c r="L11" i="217" s="1"/>
  <c r="N11" i="217" s="1"/>
  <c r="M10" i="216"/>
  <c r="D10" i="217" s="1"/>
  <c r="L10" i="217" s="1"/>
  <c r="N10" i="217" s="1"/>
  <c r="M16" i="216"/>
  <c r="M9" i="216"/>
  <c r="D9" i="217" s="1"/>
  <c r="L9" i="217" s="1"/>
  <c r="E9" i="216"/>
  <c r="E27" i="216" s="1"/>
  <c r="M16" i="215"/>
  <c r="D16" i="216" s="1"/>
  <c r="L16" i="216" s="1"/>
  <c r="D8" i="216"/>
  <c r="L8" i="216" s="1"/>
  <c r="N8" i="216" s="1"/>
  <c r="D12" i="216"/>
  <c r="L12" i="216" s="1"/>
  <c r="N12" i="216" s="1"/>
  <c r="D13" i="216"/>
  <c r="L13" i="216" s="1"/>
  <c r="N13" i="216" s="1"/>
  <c r="D14" i="216"/>
  <c r="L14" i="216" s="1"/>
  <c r="N14" i="216" s="1"/>
  <c r="D15" i="216"/>
  <c r="L15" i="216" s="1"/>
  <c r="N15" i="216" s="1"/>
  <c r="D17" i="216"/>
  <c r="L17" i="216" s="1"/>
  <c r="N17" i="216" s="1"/>
  <c r="D18" i="216"/>
  <c r="L18" i="216" s="1"/>
  <c r="N18" i="216" s="1"/>
  <c r="D19" i="216"/>
  <c r="L19" i="216" s="1"/>
  <c r="N19" i="216" s="1"/>
  <c r="D20" i="216"/>
  <c r="L20" i="216" s="1"/>
  <c r="N20" i="216" s="1"/>
  <c r="D21" i="216"/>
  <c r="L21" i="216" s="1"/>
  <c r="N21" i="216" s="1"/>
  <c r="D22" i="216"/>
  <c r="L22" i="216" s="1"/>
  <c r="N22" i="216" s="1"/>
  <c r="D23" i="216"/>
  <c r="D24" i="216"/>
  <c r="D25" i="216"/>
  <c r="D26" i="216"/>
  <c r="D7" i="216"/>
  <c r="L7" i="216" s="1"/>
  <c r="D4" i="216"/>
  <c r="E4" i="216" s="1"/>
  <c r="K27" i="216"/>
  <c r="J27" i="216"/>
  <c r="I27" i="216"/>
  <c r="H27" i="216"/>
  <c r="G27" i="216"/>
  <c r="F27" i="216"/>
  <c r="N26" i="216"/>
  <c r="N25" i="216"/>
  <c r="N24" i="216"/>
  <c r="N23" i="216"/>
  <c r="N9" i="217" l="1"/>
  <c r="N26" i="229"/>
  <c r="N27" i="229" s="1"/>
  <c r="D26" i="230"/>
  <c r="M26" i="230" s="1"/>
  <c r="M27" i="229"/>
  <c r="M27" i="216"/>
  <c r="D16" i="217"/>
  <c r="L16" i="217" s="1"/>
  <c r="N16" i="217" s="1"/>
  <c r="N25" i="231"/>
  <c r="D25" i="232"/>
  <c r="N16" i="216"/>
  <c r="N7" i="216"/>
  <c r="M11" i="215"/>
  <c r="D11" i="216" s="1"/>
  <c r="L11" i="216" s="1"/>
  <c r="N11" i="216" s="1"/>
  <c r="M10" i="215"/>
  <c r="D10" i="216" s="1"/>
  <c r="L10" i="216" s="1"/>
  <c r="N10" i="216" s="1"/>
  <c r="M9" i="215"/>
  <c r="D9" i="216" s="1"/>
  <c r="L9" i="216" s="1"/>
  <c r="N9" i="216" s="1"/>
  <c r="D8" i="215"/>
  <c r="L8" i="215" s="1"/>
  <c r="N8" i="215" s="1"/>
  <c r="D9" i="215"/>
  <c r="L9" i="215" s="1"/>
  <c r="N9" i="215" s="1"/>
  <c r="D10" i="215"/>
  <c r="L10" i="215" s="1"/>
  <c r="N10" i="215" s="1"/>
  <c r="D11" i="215"/>
  <c r="L11" i="215" s="1"/>
  <c r="N11" i="215" s="1"/>
  <c r="D12" i="215"/>
  <c r="L12" i="215" s="1"/>
  <c r="N12" i="215" s="1"/>
  <c r="D13" i="215"/>
  <c r="L13" i="215" s="1"/>
  <c r="N13" i="215" s="1"/>
  <c r="D14" i="215"/>
  <c r="L14" i="215" s="1"/>
  <c r="N14" i="215" s="1"/>
  <c r="D15" i="215"/>
  <c r="L15" i="215" s="1"/>
  <c r="N15" i="215" s="1"/>
  <c r="D16" i="215"/>
  <c r="L16" i="215" s="1"/>
  <c r="N16" i="215" s="1"/>
  <c r="D17" i="215"/>
  <c r="L17" i="215" s="1"/>
  <c r="N17" i="215" s="1"/>
  <c r="D18" i="215"/>
  <c r="L18" i="215" s="1"/>
  <c r="N18" i="215" s="1"/>
  <c r="D19" i="215"/>
  <c r="L19" i="215" s="1"/>
  <c r="N19" i="215" s="1"/>
  <c r="D20" i="215"/>
  <c r="L20" i="215" s="1"/>
  <c r="N20" i="215" s="1"/>
  <c r="D21" i="215"/>
  <c r="L21" i="215" s="1"/>
  <c r="N21" i="215" s="1"/>
  <c r="D22" i="215"/>
  <c r="L22" i="215" s="1"/>
  <c r="N22" i="215" s="1"/>
  <c r="D23" i="215"/>
  <c r="D24" i="215"/>
  <c r="D25" i="215"/>
  <c r="D26" i="215"/>
  <c r="D7" i="215"/>
  <c r="L7" i="215" s="1"/>
  <c r="D4" i="215"/>
  <c r="E4" i="215" s="1"/>
  <c r="K27" i="215"/>
  <c r="J27" i="215"/>
  <c r="I27" i="215"/>
  <c r="H27" i="215"/>
  <c r="G27" i="215"/>
  <c r="F27" i="215"/>
  <c r="E27" i="215"/>
  <c r="N26" i="215"/>
  <c r="N25" i="215"/>
  <c r="N24" i="215"/>
  <c r="N23" i="215"/>
  <c r="D8" i="214"/>
  <c r="L8" i="214" s="1"/>
  <c r="N8" i="214" s="1"/>
  <c r="D9" i="214"/>
  <c r="L9" i="214" s="1"/>
  <c r="N9" i="214" s="1"/>
  <c r="D10" i="214"/>
  <c r="L10" i="214" s="1"/>
  <c r="N10" i="214" s="1"/>
  <c r="D11" i="214"/>
  <c r="L11" i="214" s="1"/>
  <c r="N11" i="214" s="1"/>
  <c r="D12" i="214"/>
  <c r="L12" i="214" s="1"/>
  <c r="N12" i="214" s="1"/>
  <c r="D13" i="214"/>
  <c r="L13" i="214" s="1"/>
  <c r="N13" i="214" s="1"/>
  <c r="D14" i="214"/>
  <c r="L14" i="214" s="1"/>
  <c r="N14" i="214" s="1"/>
  <c r="D15" i="214"/>
  <c r="L15" i="214" s="1"/>
  <c r="N15" i="214" s="1"/>
  <c r="D17" i="214"/>
  <c r="L17" i="214" s="1"/>
  <c r="N17" i="214" s="1"/>
  <c r="D18" i="214"/>
  <c r="L18" i="214" s="1"/>
  <c r="N18" i="214" s="1"/>
  <c r="D19" i="214"/>
  <c r="L19" i="214" s="1"/>
  <c r="N19" i="214" s="1"/>
  <c r="D20" i="214"/>
  <c r="L20" i="214" s="1"/>
  <c r="N20" i="214" s="1"/>
  <c r="D21" i="214"/>
  <c r="L21" i="214" s="1"/>
  <c r="N21" i="214" s="1"/>
  <c r="D22" i="214"/>
  <c r="L22" i="214" s="1"/>
  <c r="N22" i="214" s="1"/>
  <c r="D23" i="214"/>
  <c r="D24" i="214"/>
  <c r="D25" i="214"/>
  <c r="D26" i="214"/>
  <c r="D4" i="214"/>
  <c r="E4" i="214" s="1"/>
  <c r="D7" i="214"/>
  <c r="L7" i="214" s="1"/>
  <c r="M16" i="213"/>
  <c r="D16" i="214" s="1"/>
  <c r="L16" i="214" s="1"/>
  <c r="N16" i="214" s="1"/>
  <c r="M27" i="214"/>
  <c r="K27" i="214"/>
  <c r="J27" i="214"/>
  <c r="I27" i="214"/>
  <c r="H27" i="214"/>
  <c r="G27" i="214"/>
  <c r="F27" i="214"/>
  <c r="E27" i="214"/>
  <c r="N26" i="214"/>
  <c r="N25" i="214"/>
  <c r="N24" i="214"/>
  <c r="N23" i="214"/>
  <c r="D8" i="213"/>
  <c r="L8" i="213" s="1"/>
  <c r="N8" i="213" s="1"/>
  <c r="D10" i="213"/>
  <c r="L10" i="213" s="1"/>
  <c r="D12" i="213"/>
  <c r="L12" i="213" s="1"/>
  <c r="N12" i="213" s="1"/>
  <c r="D13" i="213"/>
  <c r="L13" i="213" s="1"/>
  <c r="N13" i="213" s="1"/>
  <c r="D16" i="213"/>
  <c r="L16" i="213" s="1"/>
  <c r="D17" i="213"/>
  <c r="L17" i="213" s="1"/>
  <c r="N17" i="213" s="1"/>
  <c r="D18" i="213"/>
  <c r="L18" i="213" s="1"/>
  <c r="N18" i="213" s="1"/>
  <c r="D19" i="213"/>
  <c r="L19" i="213" s="1"/>
  <c r="N19" i="213" s="1"/>
  <c r="D20" i="213"/>
  <c r="L20" i="213" s="1"/>
  <c r="N20" i="213" s="1"/>
  <c r="D21" i="213"/>
  <c r="L21" i="213" s="1"/>
  <c r="N21" i="213" s="1"/>
  <c r="D22" i="213"/>
  <c r="L22" i="213" s="1"/>
  <c r="N22" i="213" s="1"/>
  <c r="D23" i="213"/>
  <c r="D24" i="213"/>
  <c r="D25" i="213"/>
  <c r="D26" i="213"/>
  <c r="D7" i="213"/>
  <c r="L7" i="213" s="1"/>
  <c r="D4" i="213"/>
  <c r="E4" i="213" s="1"/>
  <c r="K27" i="213"/>
  <c r="J27" i="213"/>
  <c r="I27" i="213"/>
  <c r="H27" i="213"/>
  <c r="G27" i="213"/>
  <c r="F27" i="213"/>
  <c r="N26" i="213"/>
  <c r="N25" i="213"/>
  <c r="N24" i="213"/>
  <c r="N23" i="213"/>
  <c r="N16" i="213" l="1"/>
  <c r="N27" i="217"/>
  <c r="M27" i="215"/>
  <c r="L27" i="216"/>
  <c r="D26" i="231"/>
  <c r="M26" i="231" s="1"/>
  <c r="N26" i="230"/>
  <c r="N27" i="230" s="1"/>
  <c r="M27" i="230"/>
  <c r="N27" i="216"/>
  <c r="L27" i="217"/>
  <c r="L27" i="215"/>
  <c r="N7" i="215"/>
  <c r="N27" i="215" s="1"/>
  <c r="L27" i="214"/>
  <c r="N7" i="214"/>
  <c r="N27" i="214" s="1"/>
  <c r="N10" i="213"/>
  <c r="M27" i="213"/>
  <c r="N7" i="213"/>
  <c r="E27" i="213"/>
  <c r="N26" i="231" l="1"/>
  <c r="N27" i="231" s="1"/>
  <c r="D26" i="232"/>
  <c r="M26" i="232" s="1"/>
  <c r="M27" i="231"/>
  <c r="N26" i="232" l="1"/>
  <c r="N27" i="232" s="1"/>
  <c r="D26" i="233"/>
  <c r="M26" i="233" s="1"/>
  <c r="M27" i="232"/>
  <c r="M15" i="212"/>
  <c r="D15" i="213" s="1"/>
  <c r="L15" i="213" s="1"/>
  <c r="N15" i="213" s="1"/>
  <c r="N26" i="233" l="1"/>
  <c r="N27" i="233" s="1"/>
  <c r="D26" i="234"/>
  <c r="M26" i="234" s="1"/>
  <c r="M27" i="233"/>
  <c r="M22" i="211"/>
  <c r="D26" i="235" l="1"/>
  <c r="M26" i="235" s="1"/>
  <c r="N26" i="234"/>
  <c r="N27" i="234" s="1"/>
  <c r="M27" i="234"/>
  <c r="M11" i="212"/>
  <c r="D11" i="213" s="1"/>
  <c r="L11" i="213" s="1"/>
  <c r="N11" i="213" s="1"/>
  <c r="E14" i="212"/>
  <c r="M14" i="212" s="1"/>
  <c r="D14" i="213" s="1"/>
  <c r="L14" i="213" s="1"/>
  <c r="N14" i="213" s="1"/>
  <c r="E9" i="212"/>
  <c r="M9" i="212" s="1"/>
  <c r="D9" i="212"/>
  <c r="D11" i="212"/>
  <c r="L11" i="212" s="1"/>
  <c r="D13" i="212"/>
  <c r="L13" i="212" s="1"/>
  <c r="N13" i="212" s="1"/>
  <c r="D14" i="212"/>
  <c r="D15" i="212"/>
  <c r="L15" i="212" s="1"/>
  <c r="N15" i="212" s="1"/>
  <c r="D16" i="212"/>
  <c r="L16" i="212" s="1"/>
  <c r="N16" i="212" s="1"/>
  <c r="D17" i="212"/>
  <c r="L17" i="212" s="1"/>
  <c r="N17" i="212" s="1"/>
  <c r="D18" i="212"/>
  <c r="L18" i="212" s="1"/>
  <c r="N18" i="212" s="1"/>
  <c r="D19" i="212"/>
  <c r="L19" i="212" s="1"/>
  <c r="N19" i="212" s="1"/>
  <c r="D20" i="212"/>
  <c r="L20" i="212" s="1"/>
  <c r="N20" i="212" s="1"/>
  <c r="D21" i="212"/>
  <c r="L21" i="212" s="1"/>
  <c r="N21" i="212" s="1"/>
  <c r="D22" i="212"/>
  <c r="L22" i="212" s="1"/>
  <c r="N22" i="212" s="1"/>
  <c r="D23" i="212"/>
  <c r="D24" i="212"/>
  <c r="D25" i="212"/>
  <c r="D26" i="212"/>
  <c r="D7" i="212"/>
  <c r="L7" i="212" s="1"/>
  <c r="D4" i="212"/>
  <c r="E4" i="212" s="1"/>
  <c r="K27" i="212"/>
  <c r="J27" i="212"/>
  <c r="I27" i="212"/>
  <c r="H27" i="212"/>
  <c r="G27" i="212"/>
  <c r="F27" i="212"/>
  <c r="N26" i="212"/>
  <c r="N25" i="212"/>
  <c r="N24" i="212"/>
  <c r="N23" i="212"/>
  <c r="L14" i="212" l="1"/>
  <c r="N14" i="212" s="1"/>
  <c r="E27" i="212"/>
  <c r="L9" i="212"/>
  <c r="N9" i="212" s="1"/>
  <c r="D26" i="236"/>
  <c r="M26" i="236" s="1"/>
  <c r="M27" i="235"/>
  <c r="N26" i="235"/>
  <c r="N27" i="235" s="1"/>
  <c r="D9" i="213"/>
  <c r="L9" i="213" s="1"/>
  <c r="M27" i="212"/>
  <c r="N11" i="212"/>
  <c r="N7" i="212"/>
  <c r="M12" i="211"/>
  <c r="D12" i="212" s="1"/>
  <c r="L12" i="212" s="1"/>
  <c r="N12" i="212" s="1"/>
  <c r="M8" i="211"/>
  <c r="D8" i="212" s="1"/>
  <c r="L8" i="212" s="1"/>
  <c r="E8" i="211"/>
  <c r="M10" i="211"/>
  <c r="D10" i="212" s="1"/>
  <c r="L10" i="212" s="1"/>
  <c r="N10" i="212" s="1"/>
  <c r="D8" i="211"/>
  <c r="L8" i="211" s="1"/>
  <c r="D10" i="211"/>
  <c r="L10" i="211" s="1"/>
  <c r="D12" i="211"/>
  <c r="L12" i="211" s="1"/>
  <c r="D13" i="211"/>
  <c r="L13" i="211" s="1"/>
  <c r="N13" i="211" s="1"/>
  <c r="D14" i="211"/>
  <c r="L14" i="211" s="1"/>
  <c r="N14" i="211" s="1"/>
  <c r="D15" i="211"/>
  <c r="L15" i="211" s="1"/>
  <c r="N15" i="211" s="1"/>
  <c r="D16" i="211"/>
  <c r="L16" i="211" s="1"/>
  <c r="N16" i="211" s="1"/>
  <c r="D17" i="211"/>
  <c r="L17" i="211" s="1"/>
  <c r="N17" i="211" s="1"/>
  <c r="D18" i="211"/>
  <c r="L18" i="211" s="1"/>
  <c r="N18" i="211" s="1"/>
  <c r="D19" i="211"/>
  <c r="L19" i="211" s="1"/>
  <c r="N19" i="211" s="1"/>
  <c r="D20" i="211"/>
  <c r="L20" i="211" s="1"/>
  <c r="N20" i="211" s="1"/>
  <c r="D21" i="211"/>
  <c r="D22" i="211"/>
  <c r="L22" i="211" s="1"/>
  <c r="N22" i="211" s="1"/>
  <c r="D23" i="211"/>
  <c r="D24" i="211"/>
  <c r="D25" i="211"/>
  <c r="D26" i="211"/>
  <c r="D4" i="211"/>
  <c r="E4" i="211" s="1"/>
  <c r="K27" i="211"/>
  <c r="J27" i="211"/>
  <c r="I27" i="211"/>
  <c r="H27" i="211"/>
  <c r="G27" i="211"/>
  <c r="F27" i="211"/>
  <c r="E27" i="211"/>
  <c r="N26" i="211"/>
  <c r="N25" i="211"/>
  <c r="N24" i="211"/>
  <c r="N23" i="211"/>
  <c r="L21" i="211"/>
  <c r="N21" i="211" s="1"/>
  <c r="N12" i="211" l="1"/>
  <c r="M27" i="211"/>
  <c r="N26" i="236"/>
  <c r="N27" i="236" s="1"/>
  <c r="M27" i="236"/>
  <c r="D26" i="237"/>
  <c r="M26" i="237" s="1"/>
  <c r="L27" i="212"/>
  <c r="N8" i="212"/>
  <c r="N27" i="212" s="1"/>
  <c r="L27" i="213"/>
  <c r="N9" i="213"/>
  <c r="N27" i="213" s="1"/>
  <c r="N8" i="211"/>
  <c r="N10" i="211"/>
  <c r="M9" i="210"/>
  <c r="D9" i="211" s="1"/>
  <c r="L9" i="211" s="1"/>
  <c r="N9" i="211" s="1"/>
  <c r="M11" i="210"/>
  <c r="D11" i="211" s="1"/>
  <c r="L11" i="211" s="1"/>
  <c r="N11" i="211" s="1"/>
  <c r="M27" i="237" l="1"/>
  <c r="D26" i="238"/>
  <c r="M26" i="238" s="1"/>
  <c r="N26" i="237"/>
  <c r="N27" i="237" s="1"/>
  <c r="M7" i="210"/>
  <c r="D7" i="211" s="1"/>
  <c r="L7" i="211" s="1"/>
  <c r="D8" i="210"/>
  <c r="L8" i="210" s="1"/>
  <c r="N8" i="210" s="1"/>
  <c r="D10" i="210"/>
  <c r="L10" i="210" s="1"/>
  <c r="N10" i="210" s="1"/>
  <c r="D11" i="210"/>
  <c r="L11" i="210" s="1"/>
  <c r="N11" i="210" s="1"/>
  <c r="D12" i="210"/>
  <c r="L12" i="210" s="1"/>
  <c r="N12" i="210" s="1"/>
  <c r="D13" i="210"/>
  <c r="L13" i="210" s="1"/>
  <c r="N13" i="210" s="1"/>
  <c r="D14" i="210"/>
  <c r="L14" i="210" s="1"/>
  <c r="N14" i="210" s="1"/>
  <c r="D15" i="210"/>
  <c r="L15" i="210" s="1"/>
  <c r="N15" i="210" s="1"/>
  <c r="D17" i="210"/>
  <c r="L17" i="210" s="1"/>
  <c r="N17" i="210" s="1"/>
  <c r="D18" i="210"/>
  <c r="L18" i="210" s="1"/>
  <c r="N18" i="210" s="1"/>
  <c r="D19" i="210"/>
  <c r="L19" i="210" s="1"/>
  <c r="N19" i="210" s="1"/>
  <c r="D20" i="210"/>
  <c r="L20" i="210" s="1"/>
  <c r="D22" i="210"/>
  <c r="L22" i="210" s="1"/>
  <c r="N22" i="210" s="1"/>
  <c r="D23" i="210"/>
  <c r="D24" i="210"/>
  <c r="D25" i="210"/>
  <c r="D26" i="210"/>
  <c r="D4" i="210"/>
  <c r="E4" i="210" s="1"/>
  <c r="K27" i="210"/>
  <c r="J27" i="210"/>
  <c r="I27" i="210"/>
  <c r="H27" i="210"/>
  <c r="G27" i="210"/>
  <c r="N26" i="210"/>
  <c r="N25" i="210"/>
  <c r="N24" i="210"/>
  <c r="N23" i="210"/>
  <c r="E27" i="210"/>
  <c r="F27" i="210"/>
  <c r="N26" i="238" l="1"/>
  <c r="N27" i="238" s="1"/>
  <c r="D26" i="239"/>
  <c r="M26" i="239" s="1"/>
  <c r="M27" i="238"/>
  <c r="L27" i="211"/>
  <c r="N7" i="211"/>
  <c r="N27" i="211" s="1"/>
  <c r="N20" i="210"/>
  <c r="M27" i="210"/>
  <c r="M7" i="209"/>
  <c r="D7" i="210" s="1"/>
  <c r="L7" i="210" s="1"/>
  <c r="M21" i="209"/>
  <c r="D21" i="210" s="1"/>
  <c r="L21" i="210" s="1"/>
  <c r="N21" i="210" s="1"/>
  <c r="E21" i="209"/>
  <c r="D26" i="240" l="1"/>
  <c r="M26" i="240" s="1"/>
  <c r="M27" i="239"/>
  <c r="N26" i="239"/>
  <c r="N27" i="239" s="1"/>
  <c r="N7" i="210"/>
  <c r="M16" i="208"/>
  <c r="M16" i="209"/>
  <c r="D16" i="210" s="1"/>
  <c r="L16" i="210" s="1"/>
  <c r="N16" i="210" s="1"/>
  <c r="M9" i="209"/>
  <c r="D9" i="210" s="1"/>
  <c r="L9" i="210" s="1"/>
  <c r="N9" i="210" s="1"/>
  <c r="F27" i="209"/>
  <c r="D8" i="209"/>
  <c r="L8" i="209" s="1"/>
  <c r="N8" i="209" s="1"/>
  <c r="D13" i="209"/>
  <c r="L13" i="209" s="1"/>
  <c r="N13" i="209" s="1"/>
  <c r="D16" i="209"/>
  <c r="L16" i="209" s="1"/>
  <c r="D17" i="209"/>
  <c r="L17" i="209" s="1"/>
  <c r="N17" i="209" s="1"/>
  <c r="D19" i="209"/>
  <c r="L19" i="209" s="1"/>
  <c r="N19" i="209" s="1"/>
  <c r="D21" i="209"/>
  <c r="L21" i="209" s="1"/>
  <c r="N21" i="209" s="1"/>
  <c r="D22" i="209"/>
  <c r="D23" i="209"/>
  <c r="D24" i="209"/>
  <c r="D25" i="209"/>
  <c r="D26" i="209"/>
  <c r="D7" i="209"/>
  <c r="L7" i="209" s="1"/>
  <c r="D4" i="209"/>
  <c r="E4" i="209" s="1"/>
  <c r="K27" i="209"/>
  <c r="J27" i="209"/>
  <c r="I27" i="209"/>
  <c r="H27" i="209"/>
  <c r="G27" i="209"/>
  <c r="N26" i="209"/>
  <c r="N25" i="209"/>
  <c r="N24" i="209"/>
  <c r="N23" i="209"/>
  <c r="L22" i="209"/>
  <c r="N22" i="209" s="1"/>
  <c r="E27" i="209"/>
  <c r="M9" i="208"/>
  <c r="D9" i="209" s="1"/>
  <c r="L9" i="209" s="1"/>
  <c r="M14" i="208"/>
  <c r="D14" i="209" s="1"/>
  <c r="L14" i="209" s="1"/>
  <c r="N14" i="209" s="1"/>
  <c r="N9" i="209" l="1"/>
  <c r="N16" i="209"/>
  <c r="D26" i="241"/>
  <c r="M26" i="241" s="1"/>
  <c r="N26" i="241" s="1"/>
  <c r="N27" i="241" s="1"/>
  <c r="M27" i="240"/>
  <c r="N26" i="240"/>
  <c r="N27" i="240" s="1"/>
  <c r="N27" i="210"/>
  <c r="M27" i="209"/>
  <c r="L27" i="210"/>
  <c r="N7" i="209"/>
  <c r="E10" i="205"/>
  <c r="M11" i="206"/>
  <c r="D11" i="207" s="1"/>
  <c r="L11" i="207" s="1"/>
  <c r="N11" i="207" s="1"/>
  <c r="M10" i="208"/>
  <c r="D10" i="209" s="1"/>
  <c r="L10" i="209" s="1"/>
  <c r="N10" i="209" s="1"/>
  <c r="M12" i="208"/>
  <c r="D12" i="209" s="1"/>
  <c r="L12" i="209" s="1"/>
  <c r="N12" i="209" s="1"/>
  <c r="M11" i="208"/>
  <c r="D11" i="209" s="1"/>
  <c r="L11" i="209" s="1"/>
  <c r="N11" i="209" s="1"/>
  <c r="M20" i="208"/>
  <c r="D20" i="209" s="1"/>
  <c r="L20" i="209" s="1"/>
  <c r="N20" i="209" s="1"/>
  <c r="M18" i="208"/>
  <c r="D18" i="209" s="1"/>
  <c r="L18" i="209" s="1"/>
  <c r="N18" i="209" s="1"/>
  <c r="M15" i="208"/>
  <c r="D15" i="209" s="1"/>
  <c r="L15" i="209" s="1"/>
  <c r="N15" i="209" s="1"/>
  <c r="D8" i="208"/>
  <c r="L8" i="208" s="1"/>
  <c r="N8" i="208" s="1"/>
  <c r="D9" i="208"/>
  <c r="L9" i="208" s="1"/>
  <c r="N9" i="208" s="1"/>
  <c r="D10" i="208"/>
  <c r="L10" i="208" s="1"/>
  <c r="D11" i="208"/>
  <c r="L11" i="208" s="1"/>
  <c r="D12" i="208"/>
  <c r="D13" i="208"/>
  <c r="L13" i="208" s="1"/>
  <c r="N13" i="208" s="1"/>
  <c r="D14" i="208"/>
  <c r="L14" i="208" s="1"/>
  <c r="N14" i="208" s="1"/>
  <c r="D15" i="208"/>
  <c r="L15" i="208" s="1"/>
  <c r="D16" i="208"/>
  <c r="L16" i="208" s="1"/>
  <c r="N16" i="208" s="1"/>
  <c r="D17" i="208"/>
  <c r="L17" i="208" s="1"/>
  <c r="N17" i="208" s="1"/>
  <c r="D18" i="208"/>
  <c r="L18" i="208" s="1"/>
  <c r="N18" i="208" s="1"/>
  <c r="D19" i="208"/>
  <c r="L19" i="208" s="1"/>
  <c r="N19" i="208" s="1"/>
  <c r="D20" i="208"/>
  <c r="L20" i="208" s="1"/>
  <c r="D21" i="208"/>
  <c r="L21" i="208" s="1"/>
  <c r="N21" i="208" s="1"/>
  <c r="D22" i="208"/>
  <c r="L22" i="208" s="1"/>
  <c r="N22" i="208" s="1"/>
  <c r="D23" i="208"/>
  <c r="D24" i="208"/>
  <c r="D25" i="208"/>
  <c r="D26" i="208"/>
  <c r="D7" i="208"/>
  <c r="D4" i="208"/>
  <c r="E4" i="208" s="1"/>
  <c r="K27" i="208"/>
  <c r="J27" i="208"/>
  <c r="I27" i="208"/>
  <c r="H27" i="208"/>
  <c r="G27" i="208"/>
  <c r="F27" i="208"/>
  <c r="E27" i="208"/>
  <c r="N26" i="208"/>
  <c r="N25" i="208"/>
  <c r="N24" i="208"/>
  <c r="N23" i="208"/>
  <c r="L12" i="208"/>
  <c r="D8" i="207"/>
  <c r="L8" i="207" s="1"/>
  <c r="N8" i="207" s="1"/>
  <c r="D10" i="207"/>
  <c r="L10" i="207" s="1"/>
  <c r="N10" i="207" s="1"/>
  <c r="D12" i="207"/>
  <c r="L12" i="207" s="1"/>
  <c r="N12" i="207" s="1"/>
  <c r="D13" i="207"/>
  <c r="L13" i="207" s="1"/>
  <c r="N13" i="207" s="1"/>
  <c r="D16" i="207"/>
  <c r="L16" i="207" s="1"/>
  <c r="N16" i="207" s="1"/>
  <c r="D17" i="207"/>
  <c r="L17" i="207" s="1"/>
  <c r="N17" i="207" s="1"/>
  <c r="D19" i="207"/>
  <c r="D21" i="207"/>
  <c r="D22" i="207"/>
  <c r="D23" i="207"/>
  <c r="D24" i="207"/>
  <c r="D25" i="207"/>
  <c r="D26" i="207"/>
  <c r="D4" i="207"/>
  <c r="E4" i="207" s="1"/>
  <c r="K27" i="207"/>
  <c r="J27" i="207"/>
  <c r="I27" i="207"/>
  <c r="H27" i="207"/>
  <c r="G27" i="207"/>
  <c r="F27" i="207"/>
  <c r="N26" i="207"/>
  <c r="N25" i="207"/>
  <c r="N24" i="207"/>
  <c r="N23" i="207"/>
  <c r="L22" i="207"/>
  <c r="N22" i="207" s="1"/>
  <c r="L21" i="207"/>
  <c r="N21" i="207" s="1"/>
  <c r="L19" i="207"/>
  <c r="N19" i="207" s="1"/>
  <c r="E27" i="207"/>
  <c r="M27" i="207"/>
  <c r="N12" i="208" l="1"/>
  <c r="N20" i="208"/>
  <c r="M27" i="241"/>
  <c r="D26" i="242"/>
  <c r="M26" i="242" s="1"/>
  <c r="N27" i="209"/>
  <c r="L27" i="209"/>
  <c r="N10" i="208"/>
  <c r="N11" i="208"/>
  <c r="M27" i="208"/>
  <c r="N15" i="208"/>
  <c r="L7" i="208"/>
  <c r="L27" i="208" s="1"/>
  <c r="M7" i="206"/>
  <c r="D7" i="207" s="1"/>
  <c r="L7" i="207" s="1"/>
  <c r="M14" i="206"/>
  <c r="D14" i="207" s="1"/>
  <c r="L14" i="207" s="1"/>
  <c r="N14" i="207" s="1"/>
  <c r="M15" i="206"/>
  <c r="D15" i="207" s="1"/>
  <c r="L15" i="207" s="1"/>
  <c r="N15" i="207" s="1"/>
  <c r="M18" i="206"/>
  <c r="D18" i="207" s="1"/>
  <c r="L18" i="207" s="1"/>
  <c r="N18" i="207" s="1"/>
  <c r="M20" i="206"/>
  <c r="D20" i="207" s="1"/>
  <c r="L20" i="207" s="1"/>
  <c r="N20" i="207" s="1"/>
  <c r="E18" i="206"/>
  <c r="N26" i="242" l="1"/>
  <c r="N27" i="242" s="1"/>
  <c r="D26" i="243"/>
  <c r="M26" i="243" s="1"/>
  <c r="M27" i="242"/>
  <c r="N7" i="207"/>
  <c r="N7" i="208"/>
  <c r="N27" i="208" s="1"/>
  <c r="M9" i="206"/>
  <c r="D9" i="207" s="1"/>
  <c r="L9" i="207" s="1"/>
  <c r="N9" i="207" s="1"/>
  <c r="N27" i="207" s="1"/>
  <c r="D8" i="206"/>
  <c r="L8" i="206" s="1"/>
  <c r="N8" i="206" s="1"/>
  <c r="D10" i="206"/>
  <c r="L10" i="206" s="1"/>
  <c r="N10" i="206" s="1"/>
  <c r="D12" i="206"/>
  <c r="L12" i="206" s="1"/>
  <c r="N12" i="206" s="1"/>
  <c r="D13" i="206"/>
  <c r="L13" i="206" s="1"/>
  <c r="N13" i="206" s="1"/>
  <c r="D14" i="206"/>
  <c r="L14" i="206" s="1"/>
  <c r="N14" i="206" s="1"/>
  <c r="D15" i="206"/>
  <c r="L15" i="206" s="1"/>
  <c r="N15" i="206" s="1"/>
  <c r="D16" i="206"/>
  <c r="L16" i="206" s="1"/>
  <c r="N16" i="206" s="1"/>
  <c r="D17" i="206"/>
  <c r="L17" i="206" s="1"/>
  <c r="N17" i="206" s="1"/>
  <c r="D18" i="206"/>
  <c r="L18" i="206" s="1"/>
  <c r="N18" i="206" s="1"/>
  <c r="D19" i="206"/>
  <c r="L19" i="206" s="1"/>
  <c r="N19" i="206" s="1"/>
  <c r="D20" i="206"/>
  <c r="L20" i="206" s="1"/>
  <c r="N20" i="206" s="1"/>
  <c r="D22" i="206"/>
  <c r="L22" i="206" s="1"/>
  <c r="N22" i="206" s="1"/>
  <c r="D23" i="206"/>
  <c r="D24" i="206"/>
  <c r="D25" i="206"/>
  <c r="D26" i="206"/>
  <c r="D7" i="206"/>
  <c r="L7" i="206" s="1"/>
  <c r="D4" i="206"/>
  <c r="E4" i="206" s="1"/>
  <c r="K27" i="206"/>
  <c r="J27" i="206"/>
  <c r="I27" i="206"/>
  <c r="H27" i="206"/>
  <c r="G27" i="206"/>
  <c r="F27" i="206"/>
  <c r="N26" i="206"/>
  <c r="N25" i="206"/>
  <c r="N24" i="206"/>
  <c r="N23" i="206"/>
  <c r="E27" i="206"/>
  <c r="M27" i="206"/>
  <c r="N26" i="243" l="1"/>
  <c r="N27" i="243" s="1"/>
  <c r="D26" i="244"/>
  <c r="M26" i="244" s="1"/>
  <c r="M27" i="243"/>
  <c r="L27" i="207"/>
  <c r="N7" i="206"/>
  <c r="M9" i="205"/>
  <c r="D9" i="206" s="1"/>
  <c r="L9" i="206" s="1"/>
  <c r="N9" i="206" s="1"/>
  <c r="M21" i="205"/>
  <c r="M11" i="205"/>
  <c r="D11" i="206" s="1"/>
  <c r="L11" i="206" s="1"/>
  <c r="N11" i="206" s="1"/>
  <c r="D8" i="205"/>
  <c r="L8" i="205" s="1"/>
  <c r="N8" i="205" s="1"/>
  <c r="D10" i="205"/>
  <c r="L10" i="205" s="1"/>
  <c r="N10" i="205" s="1"/>
  <c r="D12" i="205"/>
  <c r="L12" i="205" s="1"/>
  <c r="N12" i="205" s="1"/>
  <c r="D13" i="205"/>
  <c r="L13" i="205" s="1"/>
  <c r="N13" i="205" s="1"/>
  <c r="D14" i="205"/>
  <c r="D15" i="205"/>
  <c r="L15" i="205" s="1"/>
  <c r="N15" i="205" s="1"/>
  <c r="D16" i="205"/>
  <c r="L16" i="205" s="1"/>
  <c r="N16" i="205" s="1"/>
  <c r="D17" i="205"/>
  <c r="L17" i="205" s="1"/>
  <c r="N17" i="205" s="1"/>
  <c r="D18" i="205"/>
  <c r="L18" i="205" s="1"/>
  <c r="N18" i="205" s="1"/>
  <c r="D19" i="205"/>
  <c r="L19" i="205" s="1"/>
  <c r="N19" i="205" s="1"/>
  <c r="D20" i="205"/>
  <c r="L20" i="205" s="1"/>
  <c r="N20" i="205" s="1"/>
  <c r="D21" i="205"/>
  <c r="L21" i="205" s="1"/>
  <c r="D22" i="205"/>
  <c r="L22" i="205" s="1"/>
  <c r="N22" i="205" s="1"/>
  <c r="D23" i="205"/>
  <c r="D24" i="205"/>
  <c r="D25" i="205"/>
  <c r="D26" i="205"/>
  <c r="D7" i="205"/>
  <c r="L7" i="205" s="1"/>
  <c r="M7" i="203"/>
  <c r="D4" i="205"/>
  <c r="E4" i="205" s="1"/>
  <c r="K27" i="205"/>
  <c r="J27" i="205"/>
  <c r="I27" i="205"/>
  <c r="H27" i="205"/>
  <c r="G27" i="205"/>
  <c r="F27" i="205"/>
  <c r="N26" i="205"/>
  <c r="N25" i="205"/>
  <c r="N24" i="205"/>
  <c r="N23" i="205"/>
  <c r="L14" i="205"/>
  <c r="N14" i="205" s="1"/>
  <c r="E27" i="205"/>
  <c r="D26" i="245" l="1"/>
  <c r="M26" i="245" s="1"/>
  <c r="M27" i="245" s="1"/>
  <c r="M27" i="244"/>
  <c r="N26" i="244"/>
  <c r="N27" i="244" s="1"/>
  <c r="M27" i="205"/>
  <c r="D21" i="206"/>
  <c r="L21" i="206" s="1"/>
  <c r="N21" i="206" s="1"/>
  <c r="N27" i="206" s="1"/>
  <c r="N21" i="205"/>
  <c r="N7" i="205"/>
  <c r="M11" i="204"/>
  <c r="D11" i="205" s="1"/>
  <c r="L11" i="205" s="1"/>
  <c r="N11" i="205" s="1"/>
  <c r="M9" i="204"/>
  <c r="D9" i="205" s="1"/>
  <c r="L9" i="205" s="1"/>
  <c r="E9" i="204"/>
  <c r="E27" i="204" s="1"/>
  <c r="D8" i="204"/>
  <c r="L8" i="204" s="1"/>
  <c r="N8" i="204" s="1"/>
  <c r="D10" i="204"/>
  <c r="L10" i="204" s="1"/>
  <c r="N10" i="204" s="1"/>
  <c r="D11" i="204"/>
  <c r="L11" i="204" s="1"/>
  <c r="D12" i="204"/>
  <c r="L12" i="204" s="1"/>
  <c r="N12" i="204" s="1"/>
  <c r="D13" i="204"/>
  <c r="L13" i="204" s="1"/>
  <c r="N13" i="204" s="1"/>
  <c r="D14" i="204"/>
  <c r="L14" i="204" s="1"/>
  <c r="N14" i="204" s="1"/>
  <c r="D15" i="204"/>
  <c r="D17" i="204"/>
  <c r="L17" i="204" s="1"/>
  <c r="N17" i="204" s="1"/>
  <c r="D18" i="204"/>
  <c r="L18" i="204" s="1"/>
  <c r="N18" i="204" s="1"/>
  <c r="D19" i="204"/>
  <c r="L19" i="204" s="1"/>
  <c r="N19" i="204" s="1"/>
  <c r="D20" i="204"/>
  <c r="L20" i="204" s="1"/>
  <c r="N20" i="204" s="1"/>
  <c r="D22" i="204"/>
  <c r="L22" i="204" s="1"/>
  <c r="N22" i="204" s="1"/>
  <c r="D23" i="204"/>
  <c r="D24" i="204"/>
  <c r="D25" i="204"/>
  <c r="D26" i="204"/>
  <c r="D7" i="204"/>
  <c r="L7" i="204" s="1"/>
  <c r="D4" i="204"/>
  <c r="E4" i="204" s="1"/>
  <c r="K27" i="204"/>
  <c r="J27" i="204"/>
  <c r="I27" i="204"/>
  <c r="H27" i="204"/>
  <c r="G27" i="204"/>
  <c r="F27" i="204"/>
  <c r="N26" i="204"/>
  <c r="N25" i="204"/>
  <c r="N24" i="204"/>
  <c r="N23" i="204"/>
  <c r="L15" i="204"/>
  <c r="N15" i="204" s="1"/>
  <c r="D26" i="246" l="1"/>
  <c r="M26" i="246" s="1"/>
  <c r="N26" i="245"/>
  <c r="N27" i="245" s="1"/>
  <c r="L27" i="205"/>
  <c r="L27" i="206"/>
  <c r="N9" i="205"/>
  <c r="N27" i="205" s="1"/>
  <c r="N11" i="204"/>
  <c r="N7" i="204"/>
  <c r="M27" i="204"/>
  <c r="M21" i="203"/>
  <c r="D21" i="204" s="1"/>
  <c r="L21" i="204" s="1"/>
  <c r="N21" i="204" s="1"/>
  <c r="M16" i="203"/>
  <c r="D16" i="204" s="1"/>
  <c r="L16" i="204" s="1"/>
  <c r="N16" i="204" s="1"/>
  <c r="E16" i="203"/>
  <c r="M9" i="203"/>
  <c r="D9" i="204" s="1"/>
  <c r="L9" i="204" s="1"/>
  <c r="N9" i="204" s="1"/>
  <c r="D8" i="203"/>
  <c r="L8" i="203" s="1"/>
  <c r="N8" i="203" s="1"/>
  <c r="D10" i="203"/>
  <c r="L10" i="203" s="1"/>
  <c r="N10" i="203" s="1"/>
  <c r="D12" i="203"/>
  <c r="L12" i="203" s="1"/>
  <c r="N12" i="203" s="1"/>
  <c r="D13" i="203"/>
  <c r="L13" i="203" s="1"/>
  <c r="N13" i="203" s="1"/>
  <c r="D14" i="203"/>
  <c r="L14" i="203" s="1"/>
  <c r="N14" i="203" s="1"/>
  <c r="D17" i="203"/>
  <c r="L17" i="203" s="1"/>
  <c r="N17" i="203" s="1"/>
  <c r="D18" i="203"/>
  <c r="L18" i="203" s="1"/>
  <c r="N18" i="203" s="1"/>
  <c r="D19" i="203"/>
  <c r="L19" i="203" s="1"/>
  <c r="N19" i="203" s="1"/>
  <c r="D20" i="203"/>
  <c r="L20" i="203" s="1"/>
  <c r="N20" i="203" s="1"/>
  <c r="D21" i="203"/>
  <c r="L21" i="203" s="1"/>
  <c r="D22" i="203"/>
  <c r="L22" i="203" s="1"/>
  <c r="N22" i="203" s="1"/>
  <c r="D23" i="203"/>
  <c r="D24" i="203"/>
  <c r="D25" i="203"/>
  <c r="D26" i="203"/>
  <c r="D4" i="203"/>
  <c r="E4" i="203" s="1"/>
  <c r="K27" i="203"/>
  <c r="J27" i="203"/>
  <c r="I27" i="203"/>
  <c r="H27" i="203"/>
  <c r="G27" i="203"/>
  <c r="F27" i="203"/>
  <c r="E27" i="203"/>
  <c r="N26" i="203"/>
  <c r="N25" i="203"/>
  <c r="N24" i="203"/>
  <c r="N23" i="203"/>
  <c r="N26" i="246" l="1"/>
  <c r="N27" i="246" s="1"/>
  <c r="D26" i="247"/>
  <c r="M26" i="247" s="1"/>
  <c r="M27" i="246"/>
  <c r="L27" i="204"/>
  <c r="N27" i="204"/>
  <c r="N21" i="203"/>
  <c r="M27" i="203"/>
  <c r="M16" i="202"/>
  <c r="D16" i="203" s="1"/>
  <c r="L16" i="203" s="1"/>
  <c r="M7" i="202"/>
  <c r="D7" i="203" s="1"/>
  <c r="L7" i="203" s="1"/>
  <c r="N7" i="203" s="1"/>
  <c r="M9" i="202"/>
  <c r="D9" i="203" s="1"/>
  <c r="L9" i="203" s="1"/>
  <c r="N9" i="203" s="1"/>
  <c r="N26" i="247" l="1"/>
  <c r="N27" i="247" s="1"/>
  <c r="M27" i="247"/>
  <c r="D26" i="248"/>
  <c r="M26" i="248" s="1"/>
  <c r="N16" i="203"/>
  <c r="M15" i="202"/>
  <c r="M11" i="202"/>
  <c r="D11" i="203" s="1"/>
  <c r="L11" i="203" s="1"/>
  <c r="N11" i="203" s="1"/>
  <c r="D8" i="202"/>
  <c r="L8" i="202" s="1"/>
  <c r="N8" i="202" s="1"/>
  <c r="D9" i="202"/>
  <c r="L9" i="202" s="1"/>
  <c r="N9" i="202" s="1"/>
  <c r="D10" i="202"/>
  <c r="L10" i="202" s="1"/>
  <c r="N10" i="202" s="1"/>
  <c r="D11" i="202"/>
  <c r="L11" i="202" s="1"/>
  <c r="N11" i="202" s="1"/>
  <c r="D12" i="202"/>
  <c r="L12" i="202" s="1"/>
  <c r="N12" i="202" s="1"/>
  <c r="D13" i="202"/>
  <c r="L13" i="202" s="1"/>
  <c r="N13" i="202" s="1"/>
  <c r="D14" i="202"/>
  <c r="L14" i="202" s="1"/>
  <c r="N14" i="202" s="1"/>
  <c r="D17" i="202"/>
  <c r="L17" i="202" s="1"/>
  <c r="N17" i="202" s="1"/>
  <c r="D18" i="202"/>
  <c r="L18" i="202" s="1"/>
  <c r="N18" i="202" s="1"/>
  <c r="D19" i="202"/>
  <c r="L19" i="202" s="1"/>
  <c r="N19" i="202" s="1"/>
  <c r="D20" i="202"/>
  <c r="L20" i="202" s="1"/>
  <c r="N20" i="202" s="1"/>
  <c r="D21" i="202"/>
  <c r="D22" i="202"/>
  <c r="L22" i="202" s="1"/>
  <c r="N22" i="202" s="1"/>
  <c r="D23" i="202"/>
  <c r="D24" i="202"/>
  <c r="D25" i="202"/>
  <c r="D26" i="202"/>
  <c r="D4" i="202"/>
  <c r="E4" i="202" s="1"/>
  <c r="K27" i="202"/>
  <c r="J27" i="202"/>
  <c r="I27" i="202"/>
  <c r="H27" i="202"/>
  <c r="G27" i="202"/>
  <c r="F27" i="202"/>
  <c r="E27" i="202"/>
  <c r="N26" i="202"/>
  <c r="N25" i="202"/>
  <c r="N24" i="202"/>
  <c r="N23" i="202"/>
  <c r="L21" i="202"/>
  <c r="N21" i="202" s="1"/>
  <c r="N26" i="248" l="1"/>
  <c r="N27" i="248" s="1"/>
  <c r="D26" i="249"/>
  <c r="M26" i="249" s="1"/>
  <c r="M27" i="248"/>
  <c r="M27" i="202"/>
  <c r="D15" i="203"/>
  <c r="L15" i="203" s="1"/>
  <c r="N15" i="203" s="1"/>
  <c r="N27" i="203" s="1"/>
  <c r="M15" i="201"/>
  <c r="D15" i="202" s="1"/>
  <c r="L15" i="202" s="1"/>
  <c r="N15" i="202" s="1"/>
  <c r="M7" i="201"/>
  <c r="D7" i="202" s="1"/>
  <c r="L7" i="202" s="1"/>
  <c r="D26" i="250" l="1"/>
  <c r="M26" i="250" s="1"/>
  <c r="N26" i="250" s="1"/>
  <c r="N27" i="250" s="1"/>
  <c r="M27" i="249"/>
  <c r="N26" i="249"/>
  <c r="N27" i="249" s="1"/>
  <c r="N7" i="202"/>
  <c r="L27" i="203"/>
  <c r="M16" i="201"/>
  <c r="D16" i="202" s="1"/>
  <c r="L16" i="202" s="1"/>
  <c r="N16" i="202" s="1"/>
  <c r="N27" i="202" s="1"/>
  <c r="D8" i="201"/>
  <c r="L8" i="201" s="1"/>
  <c r="N8" i="201" s="1"/>
  <c r="D12" i="201"/>
  <c r="L12" i="201" s="1"/>
  <c r="N12" i="201" s="1"/>
  <c r="D13" i="201"/>
  <c r="L13" i="201" s="1"/>
  <c r="N13" i="201" s="1"/>
  <c r="D14" i="201"/>
  <c r="L14" i="201" s="1"/>
  <c r="N14" i="201" s="1"/>
  <c r="D15" i="201"/>
  <c r="L15" i="201" s="1"/>
  <c r="N15" i="201" s="1"/>
  <c r="D17" i="201"/>
  <c r="L17" i="201" s="1"/>
  <c r="N17" i="201" s="1"/>
  <c r="D19" i="201"/>
  <c r="L19" i="201" s="1"/>
  <c r="N19" i="201" s="1"/>
  <c r="D20" i="201"/>
  <c r="L20" i="201" s="1"/>
  <c r="N20" i="201" s="1"/>
  <c r="D21" i="201"/>
  <c r="L21" i="201" s="1"/>
  <c r="N21" i="201" s="1"/>
  <c r="D22" i="201"/>
  <c r="L22" i="201" s="1"/>
  <c r="N22" i="201" s="1"/>
  <c r="D23" i="201"/>
  <c r="D24" i="201"/>
  <c r="D25" i="201"/>
  <c r="D26" i="201"/>
  <c r="D4" i="201"/>
  <c r="E4" i="201" s="1"/>
  <c r="K27" i="201"/>
  <c r="J27" i="201"/>
  <c r="I27" i="201"/>
  <c r="H27" i="201"/>
  <c r="G27" i="201"/>
  <c r="F27" i="201"/>
  <c r="E27" i="201"/>
  <c r="N26" i="201"/>
  <c r="N25" i="201"/>
  <c r="N24" i="201"/>
  <c r="N23" i="201"/>
  <c r="D8" i="200"/>
  <c r="L8" i="200" s="1"/>
  <c r="N8" i="200" s="1"/>
  <c r="D13" i="200"/>
  <c r="L13" i="200" s="1"/>
  <c r="N13" i="200" s="1"/>
  <c r="D14" i="200"/>
  <c r="L14" i="200" s="1"/>
  <c r="N14" i="200" s="1"/>
  <c r="D15" i="200"/>
  <c r="L15" i="200" s="1"/>
  <c r="N15" i="200" s="1"/>
  <c r="D17" i="200"/>
  <c r="L17" i="200" s="1"/>
  <c r="N17" i="200" s="1"/>
  <c r="D19" i="200"/>
  <c r="L19" i="200" s="1"/>
  <c r="N19" i="200" s="1"/>
  <c r="D20" i="200"/>
  <c r="D21" i="200"/>
  <c r="D22" i="200"/>
  <c r="D23" i="200"/>
  <c r="D24" i="200"/>
  <c r="D25" i="200"/>
  <c r="D26" i="200"/>
  <c r="D4" i="200"/>
  <c r="E4" i="200" s="1"/>
  <c r="K27" i="200"/>
  <c r="J27" i="200"/>
  <c r="I27" i="200"/>
  <c r="H27" i="200"/>
  <c r="G27" i="200"/>
  <c r="F27" i="200"/>
  <c r="N26" i="200"/>
  <c r="N25" i="200"/>
  <c r="N24" i="200"/>
  <c r="N23" i="200"/>
  <c r="L22" i="200"/>
  <c r="N22" i="200" s="1"/>
  <c r="L21" i="200"/>
  <c r="N21" i="200" s="1"/>
  <c r="L20" i="200"/>
  <c r="N20" i="200" s="1"/>
  <c r="M18" i="200"/>
  <c r="D18" i="201" s="1"/>
  <c r="L18" i="201" s="1"/>
  <c r="N18" i="201" s="1"/>
  <c r="E27" i="200"/>
  <c r="M16" i="200"/>
  <c r="D16" i="201" s="1"/>
  <c r="L16" i="201" s="1"/>
  <c r="M11" i="200"/>
  <c r="D11" i="201" s="1"/>
  <c r="L11" i="201" s="1"/>
  <c r="N11" i="201" s="1"/>
  <c r="M10" i="200"/>
  <c r="D10" i="201" s="1"/>
  <c r="L10" i="201" s="1"/>
  <c r="N10" i="201" s="1"/>
  <c r="M9" i="200"/>
  <c r="D9" i="201" s="1"/>
  <c r="L9" i="201" s="1"/>
  <c r="N9" i="201" s="1"/>
  <c r="M7" i="200"/>
  <c r="M27" i="250" l="1"/>
  <c r="D26" i="251"/>
  <c r="M26" i="251" s="1"/>
  <c r="N26" i="251" s="1"/>
  <c r="N27" i="251" s="1"/>
  <c r="N16" i="201"/>
  <c r="M27" i="201"/>
  <c r="M27" i="200"/>
  <c r="D7" i="201"/>
  <c r="L7" i="201" s="1"/>
  <c r="N7" i="201" s="1"/>
  <c r="L27" i="202"/>
  <c r="M16" i="199"/>
  <c r="D16" i="200" s="1"/>
  <c r="L16" i="200" s="1"/>
  <c r="N16" i="200" s="1"/>
  <c r="M18" i="199"/>
  <c r="D18" i="200" s="1"/>
  <c r="L18" i="200" s="1"/>
  <c r="N18" i="200" s="1"/>
  <c r="E18" i="199"/>
  <c r="E27" i="199" s="1"/>
  <c r="M11" i="199"/>
  <c r="D11" i="200" s="1"/>
  <c r="L11" i="200" s="1"/>
  <c r="N11" i="200" s="1"/>
  <c r="M7" i="199"/>
  <c r="D7" i="200" s="1"/>
  <c r="L7" i="200" s="1"/>
  <c r="M12" i="199"/>
  <c r="D12" i="200" s="1"/>
  <c r="L12" i="200" s="1"/>
  <c r="N12" i="200" s="1"/>
  <c r="M10" i="199"/>
  <c r="D10" i="200" s="1"/>
  <c r="L10" i="200" s="1"/>
  <c r="N10" i="200" s="1"/>
  <c r="M9" i="199"/>
  <c r="D9" i="200" s="1"/>
  <c r="L9" i="200" s="1"/>
  <c r="N9" i="200" s="1"/>
  <c r="D8" i="199"/>
  <c r="L8" i="199" s="1"/>
  <c r="N8" i="199" s="1"/>
  <c r="D10" i="199"/>
  <c r="L10" i="199" s="1"/>
  <c r="D11" i="199"/>
  <c r="L11" i="199" s="1"/>
  <c r="D13" i="199"/>
  <c r="L13" i="199" s="1"/>
  <c r="N13" i="199" s="1"/>
  <c r="D14" i="199"/>
  <c r="L14" i="199" s="1"/>
  <c r="N14" i="199" s="1"/>
  <c r="D15" i="199"/>
  <c r="D17" i="199"/>
  <c r="D18" i="199"/>
  <c r="D19" i="199"/>
  <c r="L19" i="199" s="1"/>
  <c r="N19" i="199" s="1"/>
  <c r="D21" i="199"/>
  <c r="D22" i="199"/>
  <c r="L22" i="199" s="1"/>
  <c r="N22" i="199" s="1"/>
  <c r="D23" i="199"/>
  <c r="D24" i="199"/>
  <c r="D25" i="199"/>
  <c r="D26" i="199"/>
  <c r="D4" i="199"/>
  <c r="E4" i="199" s="1"/>
  <c r="K27" i="199"/>
  <c r="J27" i="199"/>
  <c r="I27" i="199"/>
  <c r="H27" i="199"/>
  <c r="G27" i="199"/>
  <c r="N26" i="199"/>
  <c r="N25" i="199"/>
  <c r="N24" i="199"/>
  <c r="N23" i="199"/>
  <c r="L21" i="199"/>
  <c r="N21" i="199" s="1"/>
  <c r="L17" i="199"/>
  <c r="N17" i="199" s="1"/>
  <c r="L15" i="199"/>
  <c r="N15" i="199" s="1"/>
  <c r="F27" i="199"/>
  <c r="L27" i="201" l="1"/>
  <c r="N11" i="199"/>
  <c r="D26" i="252"/>
  <c r="M26" i="252" s="1"/>
  <c r="M27" i="252" s="1"/>
  <c r="M27" i="251"/>
  <c r="N27" i="201"/>
  <c r="N10" i="199"/>
  <c r="L18" i="199"/>
  <c r="N18" i="199" s="1"/>
  <c r="M27" i="199"/>
  <c r="L27" i="200"/>
  <c r="N7" i="200"/>
  <c r="N27" i="200" s="1"/>
  <c r="M16" i="198"/>
  <c r="D16" i="199" s="1"/>
  <c r="L16" i="199" s="1"/>
  <c r="N16" i="199" s="1"/>
  <c r="N26" i="252" l="1"/>
  <c r="N27" i="252" s="1"/>
  <c r="D26" i="253"/>
  <c r="M26" i="253" s="1"/>
  <c r="M7" i="198"/>
  <c r="D7" i="199" s="1"/>
  <c r="L7" i="199" s="1"/>
  <c r="M9" i="198"/>
  <c r="D9" i="199" s="1"/>
  <c r="L9" i="199" s="1"/>
  <c r="N9" i="199" s="1"/>
  <c r="M20" i="198"/>
  <c r="D20" i="199" s="1"/>
  <c r="L20" i="199" s="1"/>
  <c r="N20" i="199" s="1"/>
  <c r="D26" i="254" l="1"/>
  <c r="M26" i="254" s="1"/>
  <c r="M27" i="254" s="1"/>
  <c r="M27" i="253"/>
  <c r="N26" i="253"/>
  <c r="N27" i="253" s="1"/>
  <c r="N7" i="199"/>
  <c r="M12" i="198"/>
  <c r="D12" i="199" s="1"/>
  <c r="L12" i="199" s="1"/>
  <c r="N12" i="199" s="1"/>
  <c r="F11" i="198"/>
  <c r="D9" i="198"/>
  <c r="L9" i="198" s="1"/>
  <c r="N9" i="198" s="1"/>
  <c r="D10" i="198"/>
  <c r="L10" i="198" s="1"/>
  <c r="N10" i="198" s="1"/>
  <c r="D13" i="198"/>
  <c r="L13" i="198" s="1"/>
  <c r="N13" i="198" s="1"/>
  <c r="D15" i="198"/>
  <c r="L15" i="198" s="1"/>
  <c r="N15" i="198" s="1"/>
  <c r="D17" i="198"/>
  <c r="L17" i="198" s="1"/>
  <c r="N17" i="198" s="1"/>
  <c r="D18" i="198"/>
  <c r="L18" i="198" s="1"/>
  <c r="N18" i="198" s="1"/>
  <c r="D19" i="198"/>
  <c r="L19" i="198" s="1"/>
  <c r="N19" i="198" s="1"/>
  <c r="D20" i="198"/>
  <c r="L20" i="198" s="1"/>
  <c r="N20" i="198" s="1"/>
  <c r="D21" i="198"/>
  <c r="L21" i="198" s="1"/>
  <c r="N21" i="198" s="1"/>
  <c r="D22" i="198"/>
  <c r="L22" i="198" s="1"/>
  <c r="N22" i="198" s="1"/>
  <c r="D23" i="198"/>
  <c r="D24" i="198"/>
  <c r="D25" i="198"/>
  <c r="D26" i="198"/>
  <c r="D7" i="198"/>
  <c r="L7" i="198" s="1"/>
  <c r="D4" i="198"/>
  <c r="E4" i="198" s="1"/>
  <c r="K27" i="198"/>
  <c r="J27" i="198"/>
  <c r="I27" i="198"/>
  <c r="H27" i="198"/>
  <c r="G27" i="198"/>
  <c r="F27" i="198"/>
  <c r="E27" i="198"/>
  <c r="N26" i="198"/>
  <c r="N25" i="198"/>
  <c r="N24" i="198"/>
  <c r="N23" i="198"/>
  <c r="M27" i="198" l="1"/>
  <c r="N26" i="254"/>
  <c r="N27" i="254" s="1"/>
  <c r="D26" i="255"/>
  <c r="M26" i="255" s="1"/>
  <c r="M27" i="255" s="1"/>
  <c r="N27" i="199"/>
  <c r="L27" i="199"/>
  <c r="N7" i="198"/>
  <c r="M21" i="194"/>
  <c r="M16" i="196"/>
  <c r="M16" i="197"/>
  <c r="D16" i="198" s="1"/>
  <c r="L16" i="198" s="1"/>
  <c r="N16" i="198" s="1"/>
  <c r="M8" i="197"/>
  <c r="D8" i="198" s="1"/>
  <c r="L8" i="198" s="1"/>
  <c r="N8" i="198" s="1"/>
  <c r="N26" i="255" l="1"/>
  <c r="N27" i="255" s="1"/>
  <c r="D26" i="256"/>
  <c r="M26" i="256" s="1"/>
  <c r="M12" i="197"/>
  <c r="D12" i="198" s="1"/>
  <c r="L12" i="198" s="1"/>
  <c r="N12" i="198" s="1"/>
  <c r="M11" i="197"/>
  <c r="M14" i="197"/>
  <c r="D14" i="198" s="1"/>
  <c r="L14" i="198" s="1"/>
  <c r="N14" i="198" s="1"/>
  <c r="D8" i="197"/>
  <c r="L8" i="197" s="1"/>
  <c r="N8" i="197" s="1"/>
  <c r="D9" i="197"/>
  <c r="L9" i="197" s="1"/>
  <c r="D10" i="197"/>
  <c r="L10" i="197" s="1"/>
  <c r="N10" i="197" s="1"/>
  <c r="D12" i="197"/>
  <c r="L12" i="197" s="1"/>
  <c r="D13" i="197"/>
  <c r="L13" i="197" s="1"/>
  <c r="N13" i="197" s="1"/>
  <c r="D14" i="197"/>
  <c r="L14" i="197" s="1"/>
  <c r="D15" i="197"/>
  <c r="L15" i="197" s="1"/>
  <c r="N15" i="197" s="1"/>
  <c r="D16" i="197"/>
  <c r="L16" i="197" s="1"/>
  <c r="N16" i="197" s="1"/>
  <c r="D17" i="197"/>
  <c r="L17" i="197" s="1"/>
  <c r="N17" i="197" s="1"/>
  <c r="D18" i="197"/>
  <c r="L18" i="197" s="1"/>
  <c r="N18" i="197" s="1"/>
  <c r="D19" i="197"/>
  <c r="L19" i="197" s="1"/>
  <c r="N19" i="197" s="1"/>
  <c r="D20" i="197"/>
  <c r="L20" i="197" s="1"/>
  <c r="N20" i="197" s="1"/>
  <c r="D21" i="197"/>
  <c r="L21" i="197" s="1"/>
  <c r="N21" i="197" s="1"/>
  <c r="D22" i="197"/>
  <c r="L22" i="197" s="1"/>
  <c r="N22" i="197" s="1"/>
  <c r="D23" i="197"/>
  <c r="D24" i="197"/>
  <c r="D25" i="197"/>
  <c r="D26" i="197"/>
  <c r="D7" i="197"/>
  <c r="L7" i="197" s="1"/>
  <c r="D4" i="197"/>
  <c r="E4" i="197" s="1"/>
  <c r="K27" i="197"/>
  <c r="J27" i="197"/>
  <c r="I27" i="197"/>
  <c r="H27" i="197"/>
  <c r="G27" i="197"/>
  <c r="F27" i="197"/>
  <c r="E27" i="197"/>
  <c r="N26" i="197"/>
  <c r="N25" i="197"/>
  <c r="N24" i="197"/>
  <c r="N23" i="197"/>
  <c r="N12" i="197" l="1"/>
  <c r="D26" i="257"/>
  <c r="M26" i="257" s="1"/>
  <c r="N26" i="257" s="1"/>
  <c r="N27" i="257" s="1"/>
  <c r="M27" i="256"/>
  <c r="N26" i="256"/>
  <c r="N27" i="256" s="1"/>
  <c r="M27" i="197"/>
  <c r="D11" i="198"/>
  <c r="L11" i="198" s="1"/>
  <c r="N14" i="197"/>
  <c r="N7" i="197"/>
  <c r="N9" i="197"/>
  <c r="M11" i="196"/>
  <c r="D11" i="197" s="1"/>
  <c r="L11" i="197" s="1"/>
  <c r="N11" i="197" s="1"/>
  <c r="M27" i="257" l="1"/>
  <c r="D26" i="258"/>
  <c r="M26" i="258" s="1"/>
  <c r="L27" i="197"/>
  <c r="N11" i="198"/>
  <c r="N27" i="198" s="1"/>
  <c r="L27" i="198"/>
  <c r="N27" i="197"/>
  <c r="D8" i="196"/>
  <c r="L8" i="196" s="1"/>
  <c r="N8" i="196" s="1"/>
  <c r="D9" i="196"/>
  <c r="L9" i="196" s="1"/>
  <c r="N9" i="196" s="1"/>
  <c r="D10" i="196"/>
  <c r="L10" i="196" s="1"/>
  <c r="N10" i="196" s="1"/>
  <c r="D11" i="196"/>
  <c r="L11" i="196" s="1"/>
  <c r="N11" i="196" s="1"/>
  <c r="D12" i="196"/>
  <c r="L12" i="196" s="1"/>
  <c r="N12" i="196" s="1"/>
  <c r="D13" i="196"/>
  <c r="L13" i="196" s="1"/>
  <c r="N13" i="196" s="1"/>
  <c r="D14" i="196"/>
  <c r="L14" i="196" s="1"/>
  <c r="N14" i="196" s="1"/>
  <c r="D15" i="196"/>
  <c r="L15" i="196" s="1"/>
  <c r="N15" i="196" s="1"/>
  <c r="D16" i="196"/>
  <c r="L16" i="196" s="1"/>
  <c r="N16" i="196" s="1"/>
  <c r="D17" i="196"/>
  <c r="L17" i="196" s="1"/>
  <c r="N17" i="196" s="1"/>
  <c r="D18" i="196"/>
  <c r="L18" i="196" s="1"/>
  <c r="N18" i="196" s="1"/>
  <c r="D19" i="196"/>
  <c r="L19" i="196" s="1"/>
  <c r="N19" i="196" s="1"/>
  <c r="D20" i="196"/>
  <c r="L20" i="196" s="1"/>
  <c r="N20" i="196" s="1"/>
  <c r="D21" i="196"/>
  <c r="L21" i="196" s="1"/>
  <c r="N21" i="196" s="1"/>
  <c r="D22" i="196"/>
  <c r="L22" i="196" s="1"/>
  <c r="N22" i="196" s="1"/>
  <c r="D23" i="196"/>
  <c r="D24" i="196"/>
  <c r="D25" i="196"/>
  <c r="D26" i="196"/>
  <c r="D4" i="196"/>
  <c r="E4" i="196" s="1"/>
  <c r="K27" i="196"/>
  <c r="J27" i="196"/>
  <c r="I27" i="196"/>
  <c r="H27" i="196"/>
  <c r="G27" i="196"/>
  <c r="F27" i="196"/>
  <c r="E27" i="196"/>
  <c r="N26" i="196"/>
  <c r="N25" i="196"/>
  <c r="N24" i="196"/>
  <c r="N23" i="196"/>
  <c r="M27" i="196"/>
  <c r="M27" i="258" l="1"/>
  <c r="N26" i="258"/>
  <c r="N27" i="258" s="1"/>
  <c r="D26" i="259"/>
  <c r="M26" i="259" s="1"/>
  <c r="M7" i="195"/>
  <c r="D7" i="196" s="1"/>
  <c r="L7" i="196" s="1"/>
  <c r="L27" i="196" s="1"/>
  <c r="D12" i="195"/>
  <c r="L12" i="195" s="1"/>
  <c r="N12" i="195" s="1"/>
  <c r="D13" i="195"/>
  <c r="L13" i="195" s="1"/>
  <c r="N13" i="195" s="1"/>
  <c r="D14" i="195"/>
  <c r="L14" i="195" s="1"/>
  <c r="N14" i="195" s="1"/>
  <c r="D15" i="195"/>
  <c r="L15" i="195" s="1"/>
  <c r="N15" i="195" s="1"/>
  <c r="D17" i="195"/>
  <c r="L17" i="195" s="1"/>
  <c r="N17" i="195" s="1"/>
  <c r="D18" i="195"/>
  <c r="D19" i="195"/>
  <c r="L19" i="195" s="1"/>
  <c r="N19" i="195" s="1"/>
  <c r="D21" i="195"/>
  <c r="L21" i="195" s="1"/>
  <c r="D23" i="195"/>
  <c r="D24" i="195"/>
  <c r="D25" i="195"/>
  <c r="D26" i="195"/>
  <c r="D7" i="195"/>
  <c r="L7" i="195" s="1"/>
  <c r="D4" i="195"/>
  <c r="E4" i="195" s="1"/>
  <c r="K27" i="195"/>
  <c r="J27" i="195"/>
  <c r="I27" i="195"/>
  <c r="H27" i="195"/>
  <c r="G27" i="195"/>
  <c r="F27" i="195"/>
  <c r="E27" i="195"/>
  <c r="N26" i="195"/>
  <c r="N25" i="195"/>
  <c r="N24" i="195"/>
  <c r="N23" i="195"/>
  <c r="L18" i="195"/>
  <c r="N18" i="195" s="1"/>
  <c r="N26" i="259" l="1"/>
  <c r="N27" i="259" s="1"/>
  <c r="D26" i="260"/>
  <c r="M26" i="260" s="1"/>
  <c r="M27" i="260" s="1"/>
  <c r="M27" i="259"/>
  <c r="M27" i="195"/>
  <c r="N7" i="196"/>
  <c r="N27" i="196" s="1"/>
  <c r="N7" i="195"/>
  <c r="N21" i="195"/>
  <c r="M9" i="194"/>
  <c r="D9" i="195" s="1"/>
  <c r="L9" i="195" s="1"/>
  <c r="N9" i="195" s="1"/>
  <c r="M10" i="194"/>
  <c r="D10" i="195" s="1"/>
  <c r="L10" i="195" s="1"/>
  <c r="N10" i="195" s="1"/>
  <c r="M20" i="194"/>
  <c r="D20" i="195" s="1"/>
  <c r="L20" i="195" s="1"/>
  <c r="N20" i="195" s="1"/>
  <c r="M22" i="194"/>
  <c r="D22" i="195" s="1"/>
  <c r="L22" i="195" s="1"/>
  <c r="N22" i="195" s="1"/>
  <c r="M16" i="194"/>
  <c r="D16" i="195" s="1"/>
  <c r="L16" i="195" s="1"/>
  <c r="N16" i="195" s="1"/>
  <c r="M11" i="194"/>
  <c r="D11" i="195" s="1"/>
  <c r="L11" i="195" s="1"/>
  <c r="N11" i="195" s="1"/>
  <c r="M8" i="194"/>
  <c r="D8" i="195" s="1"/>
  <c r="L8" i="195" s="1"/>
  <c r="N8" i="195" s="1"/>
  <c r="D10" i="194"/>
  <c r="L10" i="194" s="1"/>
  <c r="N10" i="194" s="1"/>
  <c r="D13" i="194"/>
  <c r="L13" i="194" s="1"/>
  <c r="N13" i="194" s="1"/>
  <c r="D15" i="194"/>
  <c r="L15" i="194" s="1"/>
  <c r="N15" i="194" s="1"/>
  <c r="D17" i="194"/>
  <c r="L17" i="194" s="1"/>
  <c r="N17" i="194" s="1"/>
  <c r="D18" i="194"/>
  <c r="L18" i="194" s="1"/>
  <c r="N18" i="194" s="1"/>
  <c r="D19" i="194"/>
  <c r="L19" i="194" s="1"/>
  <c r="N19" i="194" s="1"/>
  <c r="D21" i="194"/>
  <c r="L21" i="194" s="1"/>
  <c r="N21" i="194" s="1"/>
  <c r="D22" i="194"/>
  <c r="L22" i="194" s="1"/>
  <c r="D23" i="194"/>
  <c r="D24" i="194"/>
  <c r="D25" i="194"/>
  <c r="D26" i="194"/>
  <c r="D7" i="194"/>
  <c r="L7" i="194" s="1"/>
  <c r="D4" i="194"/>
  <c r="E4" i="194" s="1"/>
  <c r="K27" i="194"/>
  <c r="J27" i="194"/>
  <c r="I27" i="194"/>
  <c r="H27" i="194"/>
  <c r="G27" i="194"/>
  <c r="F27" i="194"/>
  <c r="E27" i="194"/>
  <c r="N26" i="194"/>
  <c r="N25" i="194"/>
  <c r="N24" i="194"/>
  <c r="N23" i="194"/>
  <c r="M16" i="193"/>
  <c r="D16" i="194" s="1"/>
  <c r="L16" i="194" s="1"/>
  <c r="M11" i="193"/>
  <c r="D11" i="194" s="1"/>
  <c r="L11" i="194" s="1"/>
  <c r="M9" i="193"/>
  <c r="D9" i="194" s="1"/>
  <c r="L9" i="194" s="1"/>
  <c r="D10" i="193"/>
  <c r="L10" i="193" s="1"/>
  <c r="N10" i="193" s="1"/>
  <c r="D13" i="193"/>
  <c r="L13" i="193" s="1"/>
  <c r="N13" i="193" s="1"/>
  <c r="D15" i="193"/>
  <c r="L15" i="193" s="1"/>
  <c r="N15" i="193" s="1"/>
  <c r="D17" i="193"/>
  <c r="L17" i="193" s="1"/>
  <c r="N17" i="193" s="1"/>
  <c r="D18" i="193"/>
  <c r="L18" i="193" s="1"/>
  <c r="N18" i="193" s="1"/>
  <c r="D19" i="193"/>
  <c r="L19" i="193" s="1"/>
  <c r="N19" i="193" s="1"/>
  <c r="D21" i="193"/>
  <c r="D22" i="193"/>
  <c r="L22" i="193" s="1"/>
  <c r="N22" i="193" s="1"/>
  <c r="D23" i="193"/>
  <c r="D24" i="193"/>
  <c r="D25" i="193"/>
  <c r="D26" i="193"/>
  <c r="D7" i="193"/>
  <c r="L7" i="193" s="1"/>
  <c r="D4" i="193"/>
  <c r="E4" i="193" s="1"/>
  <c r="K27" i="193"/>
  <c r="J27" i="193"/>
  <c r="I27" i="193"/>
  <c r="H27" i="193"/>
  <c r="G27" i="193"/>
  <c r="F27" i="193"/>
  <c r="N26" i="193"/>
  <c r="N25" i="193"/>
  <c r="N24" i="193"/>
  <c r="N23" i="193"/>
  <c r="L21" i="193"/>
  <c r="N21" i="193" s="1"/>
  <c r="M20" i="193"/>
  <c r="D20" i="194" s="1"/>
  <c r="L20" i="194" s="1"/>
  <c r="M14" i="193"/>
  <c r="D14" i="194" s="1"/>
  <c r="L14" i="194" s="1"/>
  <c r="N14" i="194" s="1"/>
  <c r="M12" i="193"/>
  <c r="D12" i="194" s="1"/>
  <c r="L12" i="194" s="1"/>
  <c r="N12" i="194" s="1"/>
  <c r="E27" i="193"/>
  <c r="M8" i="193"/>
  <c r="D8" i="194" s="1"/>
  <c r="L8" i="194" s="1"/>
  <c r="N11" i="194" l="1"/>
  <c r="N22" i="194"/>
  <c r="N26" i="260"/>
  <c r="N27" i="260" s="1"/>
  <c r="D26" i="261"/>
  <c r="M26" i="261" s="1"/>
  <c r="N16" i="194"/>
  <c r="N20" i="194"/>
  <c r="M27" i="194"/>
  <c r="L27" i="195"/>
  <c r="N27" i="195"/>
  <c r="N9" i="194"/>
  <c r="N8" i="194"/>
  <c r="L27" i="194"/>
  <c r="N7" i="194"/>
  <c r="M27" i="193"/>
  <c r="N7" i="193"/>
  <c r="M11" i="191"/>
  <c r="M12" i="192"/>
  <c r="D12" i="193" s="1"/>
  <c r="L12" i="193" s="1"/>
  <c r="N12" i="193" s="1"/>
  <c r="E12" i="192"/>
  <c r="M16" i="192"/>
  <c r="D16" i="193" s="1"/>
  <c r="L16" i="193" s="1"/>
  <c r="N16" i="193" s="1"/>
  <c r="M14" i="192"/>
  <c r="D14" i="193" s="1"/>
  <c r="L14" i="193" s="1"/>
  <c r="N14" i="193" s="1"/>
  <c r="M9" i="192"/>
  <c r="D9" i="193" s="1"/>
  <c r="L9" i="193" s="1"/>
  <c r="N9" i="193" s="1"/>
  <c r="E18" i="192"/>
  <c r="D26" i="262" l="1"/>
  <c r="M26" i="262" s="1"/>
  <c r="M27" i="262" s="1"/>
  <c r="M27" i="261"/>
  <c r="N26" i="261"/>
  <c r="N27" i="261" s="1"/>
  <c r="N27" i="194"/>
  <c r="M20" i="192"/>
  <c r="D20" i="193" s="1"/>
  <c r="L20" i="193" s="1"/>
  <c r="N20" i="193" s="1"/>
  <c r="M11" i="192"/>
  <c r="D11" i="193" s="1"/>
  <c r="L11" i="193" s="1"/>
  <c r="N11" i="193" s="1"/>
  <c r="N26" i="262" l="1"/>
  <c r="N27" i="262" s="1"/>
  <c r="D26" i="263"/>
  <c r="M26" i="263" s="1"/>
  <c r="M27" i="263" s="1"/>
  <c r="M8" i="192"/>
  <c r="D8" i="193" s="1"/>
  <c r="L8" i="193" s="1"/>
  <c r="D8" i="192"/>
  <c r="L8" i="192" s="1"/>
  <c r="D9" i="192"/>
  <c r="L9" i="192" s="1"/>
  <c r="N9" i="192" s="1"/>
  <c r="D10" i="192"/>
  <c r="L10" i="192" s="1"/>
  <c r="N10" i="192" s="1"/>
  <c r="D11" i="192"/>
  <c r="L11" i="192" s="1"/>
  <c r="N11" i="192" s="1"/>
  <c r="D12" i="192"/>
  <c r="L12" i="192" s="1"/>
  <c r="N12" i="192" s="1"/>
  <c r="D13" i="192"/>
  <c r="L13" i="192" s="1"/>
  <c r="N13" i="192" s="1"/>
  <c r="D14" i="192"/>
  <c r="L14" i="192" s="1"/>
  <c r="N14" i="192" s="1"/>
  <c r="D15" i="192"/>
  <c r="L15" i="192" s="1"/>
  <c r="N15" i="192" s="1"/>
  <c r="D16" i="192"/>
  <c r="L16" i="192" s="1"/>
  <c r="N16" i="192" s="1"/>
  <c r="D17" i="192"/>
  <c r="L17" i="192" s="1"/>
  <c r="N17" i="192" s="1"/>
  <c r="D18" i="192"/>
  <c r="L18" i="192" s="1"/>
  <c r="N18" i="192" s="1"/>
  <c r="D19" i="192"/>
  <c r="L19" i="192" s="1"/>
  <c r="N19" i="192" s="1"/>
  <c r="D21" i="192"/>
  <c r="L21" i="192" s="1"/>
  <c r="N21" i="192" s="1"/>
  <c r="D22" i="192"/>
  <c r="L22" i="192" s="1"/>
  <c r="N22" i="192" s="1"/>
  <c r="D23" i="192"/>
  <c r="D24" i="192"/>
  <c r="D25" i="192"/>
  <c r="D26" i="192"/>
  <c r="D4" i="192"/>
  <c r="E4" i="192" s="1"/>
  <c r="D7" i="192"/>
  <c r="L7" i="192" s="1"/>
  <c r="N7" i="192" s="1"/>
  <c r="K27" i="192"/>
  <c r="J27" i="192"/>
  <c r="I27" i="192"/>
  <c r="H27" i="192"/>
  <c r="G27" i="192"/>
  <c r="F27" i="192"/>
  <c r="E27" i="192"/>
  <c r="N26" i="192"/>
  <c r="N25" i="192"/>
  <c r="N24" i="192"/>
  <c r="N23" i="192"/>
  <c r="M20" i="191"/>
  <c r="D20" i="192" s="1"/>
  <c r="L20" i="192" s="1"/>
  <c r="D8" i="191"/>
  <c r="L8" i="191" s="1"/>
  <c r="N8" i="191" s="1"/>
  <c r="D9" i="191"/>
  <c r="L9" i="191" s="1"/>
  <c r="N9" i="191" s="1"/>
  <c r="D10" i="191"/>
  <c r="L10" i="191" s="1"/>
  <c r="N10" i="191" s="1"/>
  <c r="D11" i="191"/>
  <c r="L11" i="191" s="1"/>
  <c r="D12" i="191"/>
  <c r="L12" i="191" s="1"/>
  <c r="N12" i="191" s="1"/>
  <c r="D13" i="191"/>
  <c r="L13" i="191" s="1"/>
  <c r="N13" i="191" s="1"/>
  <c r="D14" i="191"/>
  <c r="L14" i="191" s="1"/>
  <c r="N14" i="191" s="1"/>
  <c r="D15" i="191"/>
  <c r="L15" i="191" s="1"/>
  <c r="N15" i="191" s="1"/>
  <c r="D16" i="191"/>
  <c r="L16" i="191" s="1"/>
  <c r="N16" i="191" s="1"/>
  <c r="D17" i="191"/>
  <c r="L17" i="191" s="1"/>
  <c r="N17" i="191" s="1"/>
  <c r="D18" i="191"/>
  <c r="L18" i="191" s="1"/>
  <c r="N18" i="191" s="1"/>
  <c r="D19" i="191"/>
  <c r="L19" i="191" s="1"/>
  <c r="N19" i="191" s="1"/>
  <c r="D20" i="191"/>
  <c r="L20" i="191" s="1"/>
  <c r="D21" i="191"/>
  <c r="L21" i="191" s="1"/>
  <c r="N21" i="191" s="1"/>
  <c r="D22" i="191"/>
  <c r="L22" i="191" s="1"/>
  <c r="N22" i="191" s="1"/>
  <c r="D23" i="191"/>
  <c r="D24" i="191"/>
  <c r="D25" i="191"/>
  <c r="D26" i="191"/>
  <c r="D7" i="191"/>
  <c r="L7" i="191" s="1"/>
  <c r="D4" i="191"/>
  <c r="E4" i="191" s="1"/>
  <c r="K27" i="191"/>
  <c r="J27" i="191"/>
  <c r="I27" i="191"/>
  <c r="H27" i="191"/>
  <c r="G27" i="191"/>
  <c r="F27" i="191"/>
  <c r="E27" i="191"/>
  <c r="N26" i="191"/>
  <c r="N25" i="191"/>
  <c r="N24" i="191"/>
  <c r="N23" i="191"/>
  <c r="D26" i="264" l="1"/>
  <c r="M26" i="264" s="1"/>
  <c r="N26" i="263"/>
  <c r="N27" i="263" s="1"/>
  <c r="N8" i="193"/>
  <c r="N27" i="193" s="1"/>
  <c r="L27" i="193"/>
  <c r="N20" i="192"/>
  <c r="N8" i="192"/>
  <c r="L27" i="192"/>
  <c r="M27" i="192"/>
  <c r="M27" i="191"/>
  <c r="N11" i="191"/>
  <c r="N20" i="191"/>
  <c r="L27" i="191"/>
  <c r="N7" i="191"/>
  <c r="D8" i="190"/>
  <c r="L8" i="190" s="1"/>
  <c r="N8" i="190" s="1"/>
  <c r="D10" i="190"/>
  <c r="L10" i="190" s="1"/>
  <c r="N10" i="190" s="1"/>
  <c r="D11" i="190"/>
  <c r="L11" i="190" s="1"/>
  <c r="N11" i="190" s="1"/>
  <c r="D12" i="190"/>
  <c r="L12" i="190" s="1"/>
  <c r="N12" i="190" s="1"/>
  <c r="D13" i="190"/>
  <c r="D15" i="190"/>
  <c r="L15" i="190" s="1"/>
  <c r="N15" i="190" s="1"/>
  <c r="D16" i="190"/>
  <c r="L16" i="190" s="1"/>
  <c r="N16" i="190" s="1"/>
  <c r="D17" i="190"/>
  <c r="L17" i="190" s="1"/>
  <c r="N17" i="190" s="1"/>
  <c r="D18" i="190"/>
  <c r="L18" i="190" s="1"/>
  <c r="N18" i="190" s="1"/>
  <c r="D19" i="190"/>
  <c r="L19" i="190" s="1"/>
  <c r="N19" i="190" s="1"/>
  <c r="D20" i="190"/>
  <c r="L20" i="190" s="1"/>
  <c r="D21" i="190"/>
  <c r="L21" i="190" s="1"/>
  <c r="N21" i="190" s="1"/>
  <c r="D22" i="190"/>
  <c r="L22" i="190" s="1"/>
  <c r="N22" i="190" s="1"/>
  <c r="D23" i="190"/>
  <c r="D24" i="190"/>
  <c r="D25" i="190"/>
  <c r="D26" i="190"/>
  <c r="D7" i="190"/>
  <c r="L7" i="190" s="1"/>
  <c r="D4" i="190"/>
  <c r="E4" i="190" s="1"/>
  <c r="K27" i="190"/>
  <c r="J27" i="190"/>
  <c r="I27" i="190"/>
  <c r="H27" i="190"/>
  <c r="G27" i="190"/>
  <c r="F27" i="190"/>
  <c r="E27" i="190"/>
  <c r="N26" i="190"/>
  <c r="N25" i="190"/>
  <c r="N24" i="190"/>
  <c r="N23" i="190"/>
  <c r="L13" i="190"/>
  <c r="N13" i="190" s="1"/>
  <c r="M27" i="190"/>
  <c r="M9" i="189"/>
  <c r="D9" i="190" s="1"/>
  <c r="L9" i="190" s="1"/>
  <c r="M27" i="264" l="1"/>
  <c r="N26" i="264"/>
  <c r="N27" i="264" s="1"/>
  <c r="D26" i="265"/>
  <c r="M26" i="265" s="1"/>
  <c r="N27" i="192"/>
  <c r="N27" i="191"/>
  <c r="N9" i="190"/>
  <c r="N20" i="190"/>
  <c r="N7" i="190"/>
  <c r="M14" i="189"/>
  <c r="D14" i="190" s="1"/>
  <c r="L14" i="190" s="1"/>
  <c r="N14" i="190" s="1"/>
  <c r="D26" i="267" l="1"/>
  <c r="M26" i="267" s="1"/>
  <c r="N26" i="267" s="1"/>
  <c r="N27" i="267" s="1"/>
  <c r="M27" i="265"/>
  <c r="N26" i="265"/>
  <c r="N27" i="265" s="1"/>
  <c r="L27" i="190"/>
  <c r="N27" i="190"/>
  <c r="D8" i="189"/>
  <c r="D9" i="189"/>
  <c r="D10" i="189"/>
  <c r="D12" i="189"/>
  <c r="D13" i="189"/>
  <c r="D14" i="189"/>
  <c r="D15" i="189"/>
  <c r="D16" i="189"/>
  <c r="D17" i="189"/>
  <c r="D18" i="189"/>
  <c r="D19" i="189"/>
  <c r="D20" i="189"/>
  <c r="D21" i="189"/>
  <c r="D23" i="189"/>
  <c r="D24" i="189"/>
  <c r="D25" i="189"/>
  <c r="D26" i="189"/>
  <c r="D7" i="189"/>
  <c r="D4" i="189"/>
  <c r="D26" i="268" l="1"/>
  <c r="M26" i="268" s="1"/>
  <c r="M27" i="268" s="1"/>
  <c r="M27" i="267"/>
  <c r="K27" i="189"/>
  <c r="J27" i="189"/>
  <c r="I27" i="189"/>
  <c r="H27" i="189"/>
  <c r="G27" i="189"/>
  <c r="F27" i="189"/>
  <c r="E27" i="189"/>
  <c r="N26" i="189"/>
  <c r="N25" i="189"/>
  <c r="N24" i="189"/>
  <c r="N23" i="189"/>
  <c r="L21" i="189"/>
  <c r="N21" i="189" s="1"/>
  <c r="L20" i="189"/>
  <c r="N20" i="189" s="1"/>
  <c r="L19" i="189"/>
  <c r="N19" i="189" s="1"/>
  <c r="L18" i="189"/>
  <c r="N18" i="189" s="1"/>
  <c r="L17" i="189"/>
  <c r="N17" i="189" s="1"/>
  <c r="L16" i="189"/>
  <c r="N16" i="189" s="1"/>
  <c r="L15" i="189"/>
  <c r="N15" i="189" s="1"/>
  <c r="L14" i="189"/>
  <c r="N14" i="189" s="1"/>
  <c r="L13" i="189"/>
  <c r="N13" i="189" s="1"/>
  <c r="L12" i="189"/>
  <c r="N12" i="189" s="1"/>
  <c r="M27" i="189"/>
  <c r="L10" i="189"/>
  <c r="N10" i="189" s="1"/>
  <c r="L9" i="189"/>
  <c r="N9" i="189" s="1"/>
  <c r="L8" i="189"/>
  <c r="N8" i="189" s="1"/>
  <c r="L7" i="189"/>
  <c r="E4" i="189"/>
  <c r="M22" i="188"/>
  <c r="D22" i="189" s="1"/>
  <c r="L22" i="189" s="1"/>
  <c r="N22" i="189" s="1"/>
  <c r="M11" i="188"/>
  <c r="D11" i="189" s="1"/>
  <c r="L11" i="189" s="1"/>
  <c r="D8" i="188"/>
  <c r="L8" i="188" s="1"/>
  <c r="N8" i="188" s="1"/>
  <c r="D12" i="188"/>
  <c r="L12" i="188" s="1"/>
  <c r="N12" i="188" s="1"/>
  <c r="D13" i="188"/>
  <c r="L13" i="188" s="1"/>
  <c r="N13" i="188" s="1"/>
  <c r="D14" i="188"/>
  <c r="L14" i="188" s="1"/>
  <c r="N14" i="188" s="1"/>
  <c r="D17" i="188"/>
  <c r="L17" i="188" s="1"/>
  <c r="N17" i="188" s="1"/>
  <c r="D18" i="188"/>
  <c r="L18" i="188" s="1"/>
  <c r="N18" i="188" s="1"/>
  <c r="D19" i="188"/>
  <c r="L19" i="188" s="1"/>
  <c r="N19" i="188" s="1"/>
  <c r="D20" i="188"/>
  <c r="L20" i="188" s="1"/>
  <c r="N20" i="188" s="1"/>
  <c r="D21" i="188"/>
  <c r="L21" i="188" s="1"/>
  <c r="N21" i="188" s="1"/>
  <c r="D22" i="188"/>
  <c r="L22" i="188" s="1"/>
  <c r="D23" i="188"/>
  <c r="D24" i="188"/>
  <c r="D25" i="188"/>
  <c r="D26" i="188"/>
  <c r="D4" i="188"/>
  <c r="E4" i="188" s="1"/>
  <c r="K27" i="188"/>
  <c r="J27" i="188"/>
  <c r="I27" i="188"/>
  <c r="H27" i="188"/>
  <c r="G27" i="188"/>
  <c r="F27" i="188"/>
  <c r="E27" i="188"/>
  <c r="N26" i="188"/>
  <c r="N25" i="188"/>
  <c r="N24" i="188"/>
  <c r="N23" i="188"/>
  <c r="N26" i="268" l="1"/>
  <c r="N27" i="268" s="1"/>
  <c r="D26" i="269"/>
  <c r="M26" i="269" s="1"/>
  <c r="N22" i="188"/>
  <c r="L27" i="189"/>
  <c r="N7" i="189"/>
  <c r="N11" i="189"/>
  <c r="M9" i="187"/>
  <c r="D9" i="188" s="1"/>
  <c r="L9" i="188" s="1"/>
  <c r="N9" i="188" s="1"/>
  <c r="M7" i="187"/>
  <c r="D7" i="188" s="1"/>
  <c r="L7" i="188" s="1"/>
  <c r="M16" i="187"/>
  <c r="D16" i="188" s="1"/>
  <c r="L16" i="188" s="1"/>
  <c r="M10" i="187"/>
  <c r="D10" i="188" s="1"/>
  <c r="L10" i="188" s="1"/>
  <c r="N10" i="188" s="1"/>
  <c r="N26" i="269" l="1"/>
  <c r="N27" i="269" s="1"/>
  <c r="D26" i="270"/>
  <c r="M27" i="269"/>
  <c r="M26" i="270"/>
  <c r="D26" i="271" s="1"/>
  <c r="N7" i="188"/>
  <c r="N27" i="189"/>
  <c r="M11" i="186"/>
  <c r="M15" i="187"/>
  <c r="D15" i="188" s="1"/>
  <c r="L15" i="188" s="1"/>
  <c r="N15" i="188" s="1"/>
  <c r="M11" i="187"/>
  <c r="D11" i="188" s="1"/>
  <c r="L11" i="188" s="1"/>
  <c r="N11" i="188" s="1"/>
  <c r="D8" i="186"/>
  <c r="D12" i="186"/>
  <c r="D13" i="186"/>
  <c r="D15" i="186"/>
  <c r="D17" i="186"/>
  <c r="D19" i="186"/>
  <c r="D21" i="186"/>
  <c r="D22" i="186"/>
  <c r="D23" i="186"/>
  <c r="D24" i="186"/>
  <c r="D25" i="186"/>
  <c r="D26" i="186"/>
  <c r="M27" i="270" l="1"/>
  <c r="N26" i="270"/>
  <c r="N27" i="270" s="1"/>
  <c r="M26" i="271"/>
  <c r="L27" i="188"/>
  <c r="D11" i="187"/>
  <c r="L11" i="187" s="1"/>
  <c r="D12" i="187"/>
  <c r="L12" i="187" s="1"/>
  <c r="N12" i="187" s="1"/>
  <c r="D13" i="187"/>
  <c r="D15" i="187"/>
  <c r="D17" i="187"/>
  <c r="L17" i="187" s="1"/>
  <c r="N17" i="187" s="1"/>
  <c r="D19" i="187"/>
  <c r="D21" i="187"/>
  <c r="D22" i="187"/>
  <c r="L22" i="187" s="1"/>
  <c r="N22" i="187" s="1"/>
  <c r="D23" i="187"/>
  <c r="D24" i="187"/>
  <c r="D25" i="187"/>
  <c r="D26" i="187"/>
  <c r="D4" i="187"/>
  <c r="E4" i="187" s="1"/>
  <c r="K27" i="187"/>
  <c r="J27" i="187"/>
  <c r="I27" i="187"/>
  <c r="H27" i="187"/>
  <c r="G27" i="187"/>
  <c r="F27" i="187"/>
  <c r="E27" i="187"/>
  <c r="N26" i="187"/>
  <c r="N25" i="187"/>
  <c r="N24" i="187"/>
  <c r="N23" i="187"/>
  <c r="L21" i="187"/>
  <c r="N21" i="187" s="1"/>
  <c r="L19" i="187"/>
  <c r="N19" i="187" s="1"/>
  <c r="L15" i="187"/>
  <c r="L13" i="187"/>
  <c r="N13" i="187" s="1"/>
  <c r="M8" i="186"/>
  <c r="D8" i="187" s="1"/>
  <c r="L8" i="187" s="1"/>
  <c r="M16" i="186"/>
  <c r="D16" i="187" s="1"/>
  <c r="L16" i="187" s="1"/>
  <c r="N16" i="187" s="1"/>
  <c r="D26" i="272" l="1"/>
  <c r="M26" i="272" s="1"/>
  <c r="N26" i="272" s="1"/>
  <c r="N27" i="272" s="1"/>
  <c r="D26" i="273"/>
  <c r="M26" i="273" s="1"/>
  <c r="D26" i="274" s="1"/>
  <c r="N26" i="271"/>
  <c r="N27" i="271" s="1"/>
  <c r="M27" i="271"/>
  <c r="N15" i="187"/>
  <c r="N8" i="187"/>
  <c r="N11" i="187"/>
  <c r="M27" i="187"/>
  <c r="M26" i="274" l="1"/>
  <c r="M27" i="274" s="1"/>
  <c r="M27" i="272"/>
  <c r="N26" i="273"/>
  <c r="N27" i="273" s="1"/>
  <c r="M27" i="273"/>
  <c r="D4" i="186"/>
  <c r="E4" i="186" s="1"/>
  <c r="L22" i="186"/>
  <c r="N22" i="186" s="1"/>
  <c r="K27" i="186"/>
  <c r="J27" i="186"/>
  <c r="I27" i="186"/>
  <c r="H27" i="186"/>
  <c r="G27" i="186"/>
  <c r="F27" i="186"/>
  <c r="N26" i="186"/>
  <c r="N25" i="186"/>
  <c r="N24" i="186"/>
  <c r="N23" i="186"/>
  <c r="L21" i="186"/>
  <c r="N21" i="186" s="1"/>
  <c r="M20" i="186"/>
  <c r="D20" i="187" s="1"/>
  <c r="L20" i="187" s="1"/>
  <c r="N20" i="187" s="1"/>
  <c r="L19" i="186"/>
  <c r="N19" i="186" s="1"/>
  <c r="M18" i="186"/>
  <c r="D18" i="187" s="1"/>
  <c r="L18" i="187" s="1"/>
  <c r="N18" i="187" s="1"/>
  <c r="L17" i="186"/>
  <c r="N17" i="186" s="1"/>
  <c r="L15" i="186"/>
  <c r="N15" i="186" s="1"/>
  <c r="M14" i="186"/>
  <c r="D14" i="187" s="1"/>
  <c r="L14" i="187" s="1"/>
  <c r="N14" i="187" s="1"/>
  <c r="E27" i="186"/>
  <c r="L13" i="186"/>
  <c r="N13" i="186" s="1"/>
  <c r="L12" i="186"/>
  <c r="N12" i="186" s="1"/>
  <c r="M10" i="186"/>
  <c r="D10" i="187" s="1"/>
  <c r="L10" i="187" s="1"/>
  <c r="N10" i="187" s="1"/>
  <c r="M9" i="186"/>
  <c r="D9" i="187" s="1"/>
  <c r="L9" i="187" s="1"/>
  <c r="N9" i="187" s="1"/>
  <c r="L8" i="186"/>
  <c r="N8" i="186" s="1"/>
  <c r="M7" i="186"/>
  <c r="D7" i="187" s="1"/>
  <c r="L7" i="187" s="1"/>
  <c r="N26" i="274" l="1"/>
  <c r="N27" i="274" s="1"/>
  <c r="D26" i="275"/>
  <c r="M26" i="275" s="1"/>
  <c r="N7" i="187"/>
  <c r="N27" i="187" s="1"/>
  <c r="L27" i="187"/>
  <c r="M27" i="186"/>
  <c r="M18" i="185"/>
  <c r="D18" i="186" s="1"/>
  <c r="L18" i="186" s="1"/>
  <c r="N18" i="186" s="1"/>
  <c r="M7" i="185"/>
  <c r="D7" i="186" s="1"/>
  <c r="L7" i="186" s="1"/>
  <c r="N7" i="186" s="1"/>
  <c r="M9" i="185"/>
  <c r="D9" i="186" s="1"/>
  <c r="L9" i="186" s="1"/>
  <c r="N9" i="186" s="1"/>
  <c r="M14" i="185"/>
  <c r="D14" i="186" s="1"/>
  <c r="L14" i="186" s="1"/>
  <c r="N14" i="186" s="1"/>
  <c r="E14" i="185"/>
  <c r="M20" i="185"/>
  <c r="D20" i="186" s="1"/>
  <c r="L20" i="186" s="1"/>
  <c r="N20" i="186" s="1"/>
  <c r="M16" i="185"/>
  <c r="D16" i="186" s="1"/>
  <c r="L16" i="186" s="1"/>
  <c r="N16" i="186" s="1"/>
  <c r="M11" i="185"/>
  <c r="D11" i="186" s="1"/>
  <c r="L11" i="186" s="1"/>
  <c r="N11" i="186" s="1"/>
  <c r="M10" i="185"/>
  <c r="D10" i="186" s="1"/>
  <c r="L10" i="186" s="1"/>
  <c r="N10" i="186" s="1"/>
  <c r="N26" i="275" l="1"/>
  <c r="N27" i="275" s="1"/>
  <c r="D26" i="276"/>
  <c r="M26" i="276" s="1"/>
  <c r="D26" i="277" s="1"/>
  <c r="M27" i="275"/>
  <c r="L27" i="186"/>
  <c r="N27" i="186"/>
  <c r="D8" i="185"/>
  <c r="L8" i="185" s="1"/>
  <c r="N8" i="185" s="1"/>
  <c r="D12" i="185"/>
  <c r="L12" i="185" s="1"/>
  <c r="N12" i="185" s="1"/>
  <c r="D13" i="185"/>
  <c r="L13" i="185" s="1"/>
  <c r="N13" i="185" s="1"/>
  <c r="D14" i="185"/>
  <c r="L14" i="185" s="1"/>
  <c r="N14" i="185" s="1"/>
  <c r="D17" i="185"/>
  <c r="L17" i="185" s="1"/>
  <c r="N17" i="185" s="1"/>
  <c r="D18" i="185"/>
  <c r="D19" i="185"/>
  <c r="L19" i="185" s="1"/>
  <c r="N19" i="185" s="1"/>
  <c r="D21" i="185"/>
  <c r="L21" i="185" s="1"/>
  <c r="N21" i="185" s="1"/>
  <c r="D22" i="185"/>
  <c r="L22" i="185" s="1"/>
  <c r="N22" i="185" s="1"/>
  <c r="D23" i="185"/>
  <c r="D24" i="185"/>
  <c r="D25" i="185"/>
  <c r="D26" i="185"/>
  <c r="D4" i="185"/>
  <c r="E4" i="185" s="1"/>
  <c r="K27" i="185"/>
  <c r="J27" i="185"/>
  <c r="I27" i="185"/>
  <c r="H27" i="185"/>
  <c r="G27" i="185"/>
  <c r="F27" i="185"/>
  <c r="E27" i="185"/>
  <c r="N26" i="185"/>
  <c r="N25" i="185"/>
  <c r="N24" i="185"/>
  <c r="N23" i="185"/>
  <c r="L18" i="185"/>
  <c r="N18" i="185" s="1"/>
  <c r="M27" i="185"/>
  <c r="M27" i="276" l="1"/>
  <c r="N26" i="276"/>
  <c r="N27" i="276" s="1"/>
  <c r="M26" i="277"/>
  <c r="D26" i="278" s="1"/>
  <c r="M11" i="184"/>
  <c r="D11" i="185" s="1"/>
  <c r="L11" i="185" s="1"/>
  <c r="N11" i="185" s="1"/>
  <c r="M9" i="184"/>
  <c r="D9" i="185" s="1"/>
  <c r="L9" i="185" s="1"/>
  <c r="N9" i="185" s="1"/>
  <c r="M10" i="184"/>
  <c r="D10" i="185" s="1"/>
  <c r="L10" i="185" s="1"/>
  <c r="N10" i="185" s="1"/>
  <c r="M15" i="184"/>
  <c r="D15" i="185" s="1"/>
  <c r="L15" i="185" s="1"/>
  <c r="N15" i="185" s="1"/>
  <c r="M7" i="184"/>
  <c r="D7" i="185" s="1"/>
  <c r="L7" i="185" s="1"/>
  <c r="M20" i="184"/>
  <c r="D20" i="185" s="1"/>
  <c r="L20" i="185" s="1"/>
  <c r="N20" i="185" s="1"/>
  <c r="M16" i="184"/>
  <c r="D16" i="185" s="1"/>
  <c r="L16" i="185" s="1"/>
  <c r="N16" i="185" s="1"/>
  <c r="D8" i="184"/>
  <c r="L8" i="184" s="1"/>
  <c r="N8" i="184" s="1"/>
  <c r="D9" i="184"/>
  <c r="L9" i="184" s="1"/>
  <c r="D10" i="184"/>
  <c r="L10" i="184" s="1"/>
  <c r="D12" i="184"/>
  <c r="L12" i="184" s="1"/>
  <c r="N12" i="184" s="1"/>
  <c r="D13" i="184"/>
  <c r="L13" i="184" s="1"/>
  <c r="N13" i="184" s="1"/>
  <c r="D15" i="184"/>
  <c r="L15" i="184" s="1"/>
  <c r="D17" i="184"/>
  <c r="L17" i="184" s="1"/>
  <c r="N17" i="184" s="1"/>
  <c r="D18" i="184"/>
  <c r="L18" i="184" s="1"/>
  <c r="N18" i="184" s="1"/>
  <c r="D19" i="184"/>
  <c r="L19" i="184" s="1"/>
  <c r="N19" i="184" s="1"/>
  <c r="D21" i="184"/>
  <c r="D22" i="184"/>
  <c r="L22" i="184" s="1"/>
  <c r="N22" i="184" s="1"/>
  <c r="D23" i="184"/>
  <c r="D24" i="184"/>
  <c r="D25" i="184"/>
  <c r="D26" i="184"/>
  <c r="D4" i="184"/>
  <c r="E4" i="184" s="1"/>
  <c r="K27" i="184"/>
  <c r="J27" i="184"/>
  <c r="I27" i="184"/>
  <c r="H27" i="184"/>
  <c r="G27" i="184"/>
  <c r="F27" i="184"/>
  <c r="E27" i="184"/>
  <c r="N26" i="184"/>
  <c r="N25" i="184"/>
  <c r="N24" i="184"/>
  <c r="N23" i="184"/>
  <c r="L21" i="184"/>
  <c r="N21" i="184" s="1"/>
  <c r="M7" i="183"/>
  <c r="D7" i="184" s="1"/>
  <c r="L7" i="184" s="1"/>
  <c r="M11" i="183"/>
  <c r="D11" i="184" s="1"/>
  <c r="L11" i="184" s="1"/>
  <c r="M14" i="183"/>
  <c r="D14" i="184" s="1"/>
  <c r="L14" i="184" s="1"/>
  <c r="N14" i="184" s="1"/>
  <c r="M16" i="183"/>
  <c r="D16" i="184" s="1"/>
  <c r="L16" i="184" s="1"/>
  <c r="M20" i="183"/>
  <c r="D20" i="184" s="1"/>
  <c r="L20" i="184" s="1"/>
  <c r="M27" i="277" l="1"/>
  <c r="N26" i="277"/>
  <c r="N27" i="277" s="1"/>
  <c r="M26" i="278"/>
  <c r="N15" i="184"/>
  <c r="L27" i="185"/>
  <c r="N7" i="185"/>
  <c r="N27" i="185" s="1"/>
  <c r="N9" i="184"/>
  <c r="N10" i="184"/>
  <c r="M27" i="184"/>
  <c r="N16" i="184"/>
  <c r="L27" i="184"/>
  <c r="N11" i="184"/>
  <c r="N20" i="184"/>
  <c r="N7" i="184"/>
  <c r="M9" i="182"/>
  <c r="E9" i="182"/>
  <c r="D26" i="279" l="1"/>
  <c r="M26" i="279" s="1"/>
  <c r="M27" i="278"/>
  <c r="N26" i="278"/>
  <c r="N27" i="278" s="1"/>
  <c r="N27" i="184"/>
  <c r="D4" i="183"/>
  <c r="E4" i="183" s="1"/>
  <c r="D8" i="183"/>
  <c r="L8" i="183" s="1"/>
  <c r="N8" i="183" s="1"/>
  <c r="D9" i="183"/>
  <c r="L9" i="183" s="1"/>
  <c r="N9" i="183" s="1"/>
  <c r="D10" i="183"/>
  <c r="D11" i="183"/>
  <c r="L11" i="183" s="1"/>
  <c r="N11" i="183" s="1"/>
  <c r="D13" i="183"/>
  <c r="L13" i="183" s="1"/>
  <c r="N13" i="183" s="1"/>
  <c r="D14" i="183"/>
  <c r="L14" i="183" s="1"/>
  <c r="N14" i="183" s="1"/>
  <c r="D15" i="183"/>
  <c r="L15" i="183" s="1"/>
  <c r="N15" i="183" s="1"/>
  <c r="D17" i="183"/>
  <c r="L17" i="183" s="1"/>
  <c r="N17" i="183" s="1"/>
  <c r="D18" i="183"/>
  <c r="L18" i="183" s="1"/>
  <c r="N18" i="183" s="1"/>
  <c r="D19" i="183"/>
  <c r="L19" i="183" s="1"/>
  <c r="N19" i="183" s="1"/>
  <c r="D20" i="183"/>
  <c r="D22" i="183"/>
  <c r="L22" i="183" s="1"/>
  <c r="N22" i="183" s="1"/>
  <c r="D23" i="183"/>
  <c r="D24" i="183"/>
  <c r="D25" i="183"/>
  <c r="D26" i="183"/>
  <c r="K27" i="183"/>
  <c r="J27" i="183"/>
  <c r="I27" i="183"/>
  <c r="H27" i="183"/>
  <c r="G27" i="183"/>
  <c r="F27" i="183"/>
  <c r="N26" i="183"/>
  <c r="N25" i="183"/>
  <c r="N24" i="183"/>
  <c r="N23" i="183"/>
  <c r="L20" i="183"/>
  <c r="N20" i="183" s="1"/>
  <c r="E27" i="183"/>
  <c r="L10" i="183"/>
  <c r="N10" i="183" s="1"/>
  <c r="M27" i="183"/>
  <c r="N26" i="279" l="1"/>
  <c r="N27" i="279" s="1"/>
  <c r="M27" i="279"/>
  <c r="M21" i="182"/>
  <c r="D21" i="183" s="1"/>
  <c r="L21" i="183" s="1"/>
  <c r="N21" i="183" s="1"/>
  <c r="M12" i="182"/>
  <c r="D12" i="183" s="1"/>
  <c r="L12" i="183" s="1"/>
  <c r="N12" i="183" s="1"/>
  <c r="M7" i="182"/>
  <c r="D7" i="183" s="1"/>
  <c r="L7" i="183" s="1"/>
  <c r="E12" i="182"/>
  <c r="E27" i="182" s="1"/>
  <c r="M16" i="182"/>
  <c r="D16" i="183" s="1"/>
  <c r="L16" i="183" s="1"/>
  <c r="N16" i="183" s="1"/>
  <c r="D10" i="182"/>
  <c r="L10" i="182" s="1"/>
  <c r="N10" i="182" s="1"/>
  <c r="D12" i="182"/>
  <c r="D13" i="182"/>
  <c r="L13" i="182" s="1"/>
  <c r="N13" i="182" s="1"/>
  <c r="D14" i="182"/>
  <c r="L14" i="182" s="1"/>
  <c r="N14" i="182" s="1"/>
  <c r="D17" i="182"/>
  <c r="L17" i="182" s="1"/>
  <c r="N17" i="182" s="1"/>
  <c r="D18" i="182"/>
  <c r="L18" i="182" s="1"/>
  <c r="N18" i="182" s="1"/>
  <c r="D19" i="182"/>
  <c r="L19" i="182" s="1"/>
  <c r="N19" i="182" s="1"/>
  <c r="D20" i="182"/>
  <c r="L20" i="182" s="1"/>
  <c r="N20" i="182" s="1"/>
  <c r="D21" i="182"/>
  <c r="L21" i="182" s="1"/>
  <c r="D22" i="182"/>
  <c r="L22" i="182" s="1"/>
  <c r="D23" i="182"/>
  <c r="D24" i="182"/>
  <c r="D25" i="182"/>
  <c r="D26" i="182"/>
  <c r="D4" i="182"/>
  <c r="E4" i="182" s="1"/>
  <c r="K27" i="182"/>
  <c r="J27" i="182"/>
  <c r="I27" i="182"/>
  <c r="H27" i="182"/>
  <c r="G27" i="182"/>
  <c r="F27" i="182"/>
  <c r="N26" i="182"/>
  <c r="N25" i="182"/>
  <c r="N24" i="182"/>
  <c r="N23" i="182"/>
  <c r="L12" i="182" l="1"/>
  <c r="N12" i="182" s="1"/>
  <c r="N21" i="182"/>
  <c r="L27" i="183"/>
  <c r="N7" i="183"/>
  <c r="N27" i="183" s="1"/>
  <c r="M27" i="182"/>
  <c r="N22" i="182"/>
  <c r="M8" i="181"/>
  <c r="D8" i="182" s="1"/>
  <c r="L8" i="182" s="1"/>
  <c r="N8" i="182" s="1"/>
  <c r="M7" i="181"/>
  <c r="D7" i="182" s="1"/>
  <c r="L7" i="182" s="1"/>
  <c r="M11" i="181"/>
  <c r="D11" i="182" s="1"/>
  <c r="L11" i="182" s="1"/>
  <c r="N11" i="182" s="1"/>
  <c r="M16" i="181"/>
  <c r="D16" i="182" s="1"/>
  <c r="L16" i="182" s="1"/>
  <c r="N16" i="182" s="1"/>
  <c r="M16" i="180"/>
  <c r="N7" i="182" l="1"/>
  <c r="E21" i="180"/>
  <c r="M15" i="181"/>
  <c r="D15" i="182" s="1"/>
  <c r="L15" i="182" s="1"/>
  <c r="N15" i="182" s="1"/>
  <c r="M9" i="181"/>
  <c r="D9" i="180"/>
  <c r="M9" i="180"/>
  <c r="D9" i="181" s="1"/>
  <c r="L9" i="181" s="1"/>
  <c r="M11" i="180"/>
  <c r="D11" i="181" s="1"/>
  <c r="L11" i="181" s="1"/>
  <c r="N11" i="181" s="1"/>
  <c r="D8" i="181"/>
  <c r="L8" i="181" s="1"/>
  <c r="N8" i="181" s="1"/>
  <c r="D12" i="181"/>
  <c r="L12" i="181" s="1"/>
  <c r="N12" i="181" s="1"/>
  <c r="D13" i="181"/>
  <c r="L13" i="181" s="1"/>
  <c r="N13" i="181" s="1"/>
  <c r="D14" i="181"/>
  <c r="L14" i="181" s="1"/>
  <c r="N14" i="181" s="1"/>
  <c r="D16" i="181"/>
  <c r="L16" i="181" s="1"/>
  <c r="D17" i="181"/>
  <c r="L17" i="181" s="1"/>
  <c r="N17" i="181" s="1"/>
  <c r="D19" i="181"/>
  <c r="L19" i="181" s="1"/>
  <c r="N19" i="181" s="1"/>
  <c r="D20" i="181"/>
  <c r="L20" i="181" s="1"/>
  <c r="N20" i="181" s="1"/>
  <c r="D21" i="181"/>
  <c r="L21" i="181" s="1"/>
  <c r="N21" i="181" s="1"/>
  <c r="D22" i="181"/>
  <c r="L22" i="181" s="1"/>
  <c r="D23" i="181"/>
  <c r="D24" i="181"/>
  <c r="D25" i="181"/>
  <c r="D26" i="181"/>
  <c r="D7" i="181"/>
  <c r="L7" i="181" s="1"/>
  <c r="D4" i="181"/>
  <c r="E4" i="181" s="1"/>
  <c r="K27" i="181"/>
  <c r="J27" i="181"/>
  <c r="I27" i="181"/>
  <c r="H27" i="181"/>
  <c r="G27" i="181"/>
  <c r="E27" i="181"/>
  <c r="N26" i="181"/>
  <c r="N25" i="181"/>
  <c r="N24" i="181"/>
  <c r="N23" i="181"/>
  <c r="F27" i="181"/>
  <c r="M27" i="181" l="1"/>
  <c r="D9" i="182"/>
  <c r="L9" i="182" s="1"/>
  <c r="N9" i="181"/>
  <c r="N16" i="181"/>
  <c r="N22" i="181"/>
  <c r="N7" i="181"/>
  <c r="F12" i="180"/>
  <c r="F27" i="180" s="1"/>
  <c r="M10" i="180"/>
  <c r="D10" i="181" s="1"/>
  <c r="L10" i="181" s="1"/>
  <c r="N10" i="181" s="1"/>
  <c r="M16" i="179"/>
  <c r="D16" i="180" s="1"/>
  <c r="L16" i="180" s="1"/>
  <c r="M18" i="180"/>
  <c r="D18" i="181" s="1"/>
  <c r="L18" i="181" s="1"/>
  <c r="N18" i="181" s="1"/>
  <c r="M15" i="180"/>
  <c r="D15" i="181" s="1"/>
  <c r="L15" i="181" s="1"/>
  <c r="N15" i="181" s="1"/>
  <c r="D8" i="180"/>
  <c r="L8" i="180" s="1"/>
  <c r="N8" i="180" s="1"/>
  <c r="L9" i="180"/>
  <c r="N9" i="180" s="1"/>
  <c r="D10" i="180"/>
  <c r="L10" i="180" s="1"/>
  <c r="D11" i="180"/>
  <c r="L11" i="180" s="1"/>
  <c r="N11" i="180" s="1"/>
  <c r="D12" i="180"/>
  <c r="D13" i="180"/>
  <c r="D14" i="180"/>
  <c r="L14" i="180" s="1"/>
  <c r="N14" i="180" s="1"/>
  <c r="D15" i="180"/>
  <c r="L15" i="180" s="1"/>
  <c r="D17" i="180"/>
  <c r="L17" i="180" s="1"/>
  <c r="N17" i="180" s="1"/>
  <c r="D18" i="180"/>
  <c r="L18" i="180" s="1"/>
  <c r="D19" i="180"/>
  <c r="L19" i="180" s="1"/>
  <c r="N19" i="180" s="1"/>
  <c r="D20" i="180"/>
  <c r="L20" i="180" s="1"/>
  <c r="N20" i="180" s="1"/>
  <c r="D21" i="180"/>
  <c r="L21" i="180" s="1"/>
  <c r="N21" i="180" s="1"/>
  <c r="D22" i="180"/>
  <c r="L22" i="180" s="1"/>
  <c r="N22" i="180" s="1"/>
  <c r="D23" i="180"/>
  <c r="D24" i="180"/>
  <c r="D25" i="180"/>
  <c r="D26" i="180"/>
  <c r="D4" i="180"/>
  <c r="E4" i="180" s="1"/>
  <c r="K27" i="180"/>
  <c r="J27" i="180"/>
  <c r="I27" i="180"/>
  <c r="H27" i="180"/>
  <c r="G27" i="180"/>
  <c r="E27" i="180"/>
  <c r="N26" i="180"/>
  <c r="N25" i="180"/>
  <c r="N24" i="180"/>
  <c r="N23" i="180"/>
  <c r="L13" i="180"/>
  <c r="N13" i="180" s="1"/>
  <c r="M7" i="179"/>
  <c r="D7" i="180" s="1"/>
  <c r="L7" i="180" s="1"/>
  <c r="D8" i="179"/>
  <c r="L8" i="179" s="1"/>
  <c r="N8" i="179" s="1"/>
  <c r="D9" i="179"/>
  <c r="L9" i="179" s="1"/>
  <c r="N9" i="179" s="1"/>
  <c r="D13" i="179"/>
  <c r="L13" i="179" s="1"/>
  <c r="N13" i="179" s="1"/>
  <c r="D14" i="179"/>
  <c r="L14" i="179" s="1"/>
  <c r="N14" i="179" s="1"/>
  <c r="D17" i="179"/>
  <c r="L17" i="179" s="1"/>
  <c r="N17" i="179" s="1"/>
  <c r="D18" i="179"/>
  <c r="L18" i="179" s="1"/>
  <c r="N18" i="179" s="1"/>
  <c r="D19" i="179"/>
  <c r="L19" i="179" s="1"/>
  <c r="N19" i="179" s="1"/>
  <c r="D20" i="179"/>
  <c r="L20" i="179" s="1"/>
  <c r="D21" i="179"/>
  <c r="L21" i="179" s="1"/>
  <c r="N21" i="179" s="1"/>
  <c r="D22" i="179"/>
  <c r="L22" i="179" s="1"/>
  <c r="N22" i="179" s="1"/>
  <c r="D23" i="179"/>
  <c r="D24" i="179"/>
  <c r="D25" i="179"/>
  <c r="D26" i="179"/>
  <c r="D4" i="179"/>
  <c r="E4" i="179" s="1"/>
  <c r="K27" i="179"/>
  <c r="J27" i="179"/>
  <c r="I27" i="179"/>
  <c r="H27" i="179"/>
  <c r="G27" i="179"/>
  <c r="F27" i="179"/>
  <c r="N26" i="179"/>
  <c r="N25" i="179"/>
  <c r="N24" i="179"/>
  <c r="N23" i="179"/>
  <c r="E27" i="179"/>
  <c r="L12" i="180" l="1"/>
  <c r="N12" i="180" s="1"/>
  <c r="M27" i="179"/>
  <c r="N18" i="180"/>
  <c r="L27" i="181"/>
  <c r="N9" i="182"/>
  <c r="N27" i="182" s="1"/>
  <c r="L27" i="182"/>
  <c r="N27" i="181"/>
  <c r="N10" i="180"/>
  <c r="N16" i="180"/>
  <c r="N15" i="180"/>
  <c r="M27" i="180"/>
  <c r="N7" i="180"/>
  <c r="N20" i="179"/>
  <c r="M16" i="178"/>
  <c r="D16" i="179" s="1"/>
  <c r="L16" i="179" s="1"/>
  <c r="N16" i="179" s="1"/>
  <c r="M10" i="178"/>
  <c r="D10" i="179" s="1"/>
  <c r="L10" i="179" s="1"/>
  <c r="N10" i="179" s="1"/>
  <c r="E10" i="178"/>
  <c r="M7" i="178"/>
  <c r="D7" i="179" s="1"/>
  <c r="L7" i="179" s="1"/>
  <c r="N7" i="179" s="1"/>
  <c r="L27" i="180" l="1"/>
  <c r="N27" i="180"/>
  <c r="M15" i="178"/>
  <c r="D15" i="179" s="1"/>
  <c r="L15" i="179" s="1"/>
  <c r="N15" i="179" s="1"/>
  <c r="M12" i="178"/>
  <c r="D12" i="179" s="1"/>
  <c r="L12" i="179" s="1"/>
  <c r="N12" i="179" s="1"/>
  <c r="M11" i="178"/>
  <c r="D8" i="178"/>
  <c r="L8" i="178" s="1"/>
  <c r="N8" i="178" s="1"/>
  <c r="D13" i="178"/>
  <c r="L13" i="178" s="1"/>
  <c r="N13" i="178" s="1"/>
  <c r="D14" i="178"/>
  <c r="L14" i="178" s="1"/>
  <c r="N14" i="178" s="1"/>
  <c r="D16" i="178"/>
  <c r="L16" i="178" s="1"/>
  <c r="N16" i="178" s="1"/>
  <c r="D17" i="178"/>
  <c r="L17" i="178" s="1"/>
  <c r="N17" i="178" s="1"/>
  <c r="D18" i="178"/>
  <c r="L18" i="178" s="1"/>
  <c r="N18" i="178" s="1"/>
  <c r="D19" i="178"/>
  <c r="L19" i="178" s="1"/>
  <c r="N19" i="178" s="1"/>
  <c r="D20" i="178"/>
  <c r="L20" i="178" s="1"/>
  <c r="N20" i="178" s="1"/>
  <c r="D21" i="178"/>
  <c r="L21" i="178" s="1"/>
  <c r="N21" i="178" s="1"/>
  <c r="D22" i="178"/>
  <c r="L22" i="178" s="1"/>
  <c r="N22" i="178" s="1"/>
  <c r="D23" i="178"/>
  <c r="D24" i="178"/>
  <c r="D25" i="178"/>
  <c r="D26" i="178"/>
  <c r="D7" i="178"/>
  <c r="L7" i="178" s="1"/>
  <c r="D4" i="178"/>
  <c r="E4" i="178" s="1"/>
  <c r="K27" i="178"/>
  <c r="J27" i="178"/>
  <c r="I27" i="178"/>
  <c r="H27" i="178"/>
  <c r="G27" i="178"/>
  <c r="F27" i="178"/>
  <c r="E27" i="178"/>
  <c r="N26" i="178"/>
  <c r="N25" i="178"/>
  <c r="N24" i="178"/>
  <c r="N23" i="178"/>
  <c r="M27" i="178" l="1"/>
  <c r="D11" i="179"/>
  <c r="L11" i="179" s="1"/>
  <c r="N7" i="178"/>
  <c r="M15" i="177"/>
  <c r="D15" i="178" s="1"/>
  <c r="L15" i="178" s="1"/>
  <c r="N15" i="178" s="1"/>
  <c r="M12" i="177"/>
  <c r="D12" i="178" s="1"/>
  <c r="L12" i="178" s="1"/>
  <c r="N12" i="178" s="1"/>
  <c r="M11" i="177"/>
  <c r="D11" i="178" s="1"/>
  <c r="L11" i="178" s="1"/>
  <c r="N11" i="178" s="1"/>
  <c r="M10" i="177"/>
  <c r="D10" i="178" s="1"/>
  <c r="L10" i="178" s="1"/>
  <c r="N10" i="178" s="1"/>
  <c r="M9" i="177"/>
  <c r="D9" i="178" s="1"/>
  <c r="L9" i="178" s="1"/>
  <c r="N9" i="178" s="1"/>
  <c r="D11" i="177"/>
  <c r="L11" i="177" s="1"/>
  <c r="D12" i="177"/>
  <c r="L12" i="177" s="1"/>
  <c r="D13" i="177"/>
  <c r="L13" i="177" s="1"/>
  <c r="N13" i="177" s="1"/>
  <c r="D14" i="177"/>
  <c r="L14" i="177" s="1"/>
  <c r="N14" i="177" s="1"/>
  <c r="D15" i="177"/>
  <c r="L15" i="177" s="1"/>
  <c r="D16" i="177"/>
  <c r="L16" i="177" s="1"/>
  <c r="N16" i="177" s="1"/>
  <c r="D17" i="177"/>
  <c r="L17" i="177" s="1"/>
  <c r="N17" i="177" s="1"/>
  <c r="D18" i="177"/>
  <c r="L18" i="177" s="1"/>
  <c r="N18" i="177" s="1"/>
  <c r="D19" i="177"/>
  <c r="L19" i="177" s="1"/>
  <c r="N19" i="177" s="1"/>
  <c r="D20" i="177"/>
  <c r="L20" i="177" s="1"/>
  <c r="N20" i="177" s="1"/>
  <c r="D22" i="177"/>
  <c r="L22" i="177" s="1"/>
  <c r="N22" i="177" s="1"/>
  <c r="D23" i="177"/>
  <c r="D24" i="177"/>
  <c r="D25" i="177"/>
  <c r="D26" i="177"/>
  <c r="D4" i="177"/>
  <c r="E4" i="177" s="1"/>
  <c r="K27" i="177"/>
  <c r="J27" i="177"/>
  <c r="I27" i="177"/>
  <c r="H27" i="177"/>
  <c r="G27" i="177"/>
  <c r="F27" i="177"/>
  <c r="E27" i="177"/>
  <c r="N26" i="177"/>
  <c r="N25" i="177"/>
  <c r="N24" i="177"/>
  <c r="N23" i="177"/>
  <c r="N11" i="177" l="1"/>
  <c r="N27" i="178"/>
  <c r="N11" i="179"/>
  <c r="N27" i="179" s="1"/>
  <c r="L27" i="179"/>
  <c r="L27" i="178"/>
  <c r="N15" i="177"/>
  <c r="N12" i="177"/>
  <c r="M27" i="177"/>
  <c r="M21" i="176"/>
  <c r="D21" i="177" s="1"/>
  <c r="L21" i="177" s="1"/>
  <c r="N21" i="177" s="1"/>
  <c r="M7" i="176"/>
  <c r="D7" i="177" s="1"/>
  <c r="L7" i="177" s="1"/>
  <c r="M9" i="176"/>
  <c r="D9" i="177" s="1"/>
  <c r="L9" i="177" s="1"/>
  <c r="N9" i="177" s="1"/>
  <c r="N7" i="177" l="1"/>
  <c r="M8" i="176"/>
  <c r="D8" i="177" s="1"/>
  <c r="L8" i="177" s="1"/>
  <c r="N8" i="177" s="1"/>
  <c r="M10" i="176"/>
  <c r="D10" i="177" s="1"/>
  <c r="L10" i="177" s="1"/>
  <c r="N10" i="177" s="1"/>
  <c r="D8" i="176"/>
  <c r="L8" i="176" s="1"/>
  <c r="D12" i="176"/>
  <c r="D13" i="176"/>
  <c r="L13" i="176" s="1"/>
  <c r="N13" i="176" s="1"/>
  <c r="D15" i="176"/>
  <c r="L15" i="176" s="1"/>
  <c r="N15" i="176" s="1"/>
  <c r="D17" i="176"/>
  <c r="L17" i="176" s="1"/>
  <c r="N17" i="176" s="1"/>
  <c r="D18" i="176"/>
  <c r="L18" i="176" s="1"/>
  <c r="N18" i="176" s="1"/>
  <c r="D19" i="176"/>
  <c r="L19" i="176" s="1"/>
  <c r="N19" i="176" s="1"/>
  <c r="D20" i="176"/>
  <c r="L20" i="176" s="1"/>
  <c r="N20" i="176" s="1"/>
  <c r="D21" i="176"/>
  <c r="D22" i="176"/>
  <c r="L22" i="176" s="1"/>
  <c r="N22" i="176" s="1"/>
  <c r="D23" i="176"/>
  <c r="D24" i="176"/>
  <c r="D25" i="176"/>
  <c r="D26" i="176"/>
  <c r="D4" i="176"/>
  <c r="E4" i="176" s="1"/>
  <c r="K27" i="176"/>
  <c r="J27" i="176"/>
  <c r="I27" i="176"/>
  <c r="H27" i="176"/>
  <c r="G27" i="176"/>
  <c r="F27" i="176"/>
  <c r="E27" i="176"/>
  <c r="N26" i="176"/>
  <c r="N25" i="176"/>
  <c r="N24" i="176"/>
  <c r="N23" i="176"/>
  <c r="L21" i="176"/>
  <c r="N21" i="176" s="1"/>
  <c r="L12" i="176"/>
  <c r="N12" i="176" s="1"/>
  <c r="N8" i="176" l="1"/>
  <c r="N27" i="177"/>
  <c r="L27" i="177"/>
  <c r="M27" i="176"/>
  <c r="M16" i="175"/>
  <c r="D16" i="176" s="1"/>
  <c r="L16" i="176" s="1"/>
  <c r="N16" i="176" s="1"/>
  <c r="M14" i="175"/>
  <c r="D14" i="176" s="1"/>
  <c r="L14" i="176" s="1"/>
  <c r="N14" i="176" s="1"/>
  <c r="M10" i="175"/>
  <c r="D10" i="176" s="1"/>
  <c r="L10" i="176" s="1"/>
  <c r="N10" i="176" s="1"/>
  <c r="M9" i="175"/>
  <c r="D9" i="176" s="1"/>
  <c r="L9" i="176" s="1"/>
  <c r="N9" i="176" s="1"/>
  <c r="M7" i="175"/>
  <c r="D7" i="176" s="1"/>
  <c r="L7" i="176" s="1"/>
  <c r="M11" i="175"/>
  <c r="D11" i="176" s="1"/>
  <c r="L11" i="176" s="1"/>
  <c r="N11" i="176" s="1"/>
  <c r="D9" i="175"/>
  <c r="L9" i="175" s="1"/>
  <c r="D10" i="175"/>
  <c r="L10" i="175" s="1"/>
  <c r="D12" i="175"/>
  <c r="L12" i="175" s="1"/>
  <c r="N12" i="175" s="1"/>
  <c r="D13" i="175"/>
  <c r="L13" i="175" s="1"/>
  <c r="N13" i="175" s="1"/>
  <c r="D14" i="175"/>
  <c r="L14" i="175" s="1"/>
  <c r="D15" i="175"/>
  <c r="L15" i="175" s="1"/>
  <c r="N15" i="175" s="1"/>
  <c r="D17" i="175"/>
  <c r="L17" i="175" s="1"/>
  <c r="N17" i="175" s="1"/>
  <c r="D19" i="175"/>
  <c r="L19" i="175" s="1"/>
  <c r="N19" i="175" s="1"/>
  <c r="D21" i="175"/>
  <c r="L21" i="175" s="1"/>
  <c r="N21" i="175" s="1"/>
  <c r="D22" i="175"/>
  <c r="L22" i="175" s="1"/>
  <c r="N22" i="175" s="1"/>
  <c r="D23" i="175"/>
  <c r="D24" i="175"/>
  <c r="D25" i="175"/>
  <c r="D26" i="175"/>
  <c r="D7" i="175"/>
  <c r="L7" i="175" s="1"/>
  <c r="D4" i="175"/>
  <c r="E4" i="175" s="1"/>
  <c r="K27" i="175"/>
  <c r="J27" i="175"/>
  <c r="I27" i="175"/>
  <c r="H27" i="175"/>
  <c r="G27" i="175"/>
  <c r="F27" i="175"/>
  <c r="N26" i="175"/>
  <c r="N25" i="175"/>
  <c r="N24" i="175"/>
  <c r="N23" i="175"/>
  <c r="E27" i="175"/>
  <c r="M27" i="175" l="1"/>
  <c r="N14" i="175"/>
  <c r="N9" i="175"/>
  <c r="N10" i="175"/>
  <c r="L27" i="176"/>
  <c r="N7" i="176"/>
  <c r="N27" i="176" s="1"/>
  <c r="N7" i="175"/>
  <c r="M16" i="174"/>
  <c r="D16" i="175" s="1"/>
  <c r="L16" i="175" s="1"/>
  <c r="N16" i="175" s="1"/>
  <c r="M11" i="174"/>
  <c r="D11" i="175" s="1"/>
  <c r="L11" i="175" s="1"/>
  <c r="N11" i="175" s="1"/>
  <c r="E11" i="174"/>
  <c r="E27" i="174" s="1"/>
  <c r="M20" i="174"/>
  <c r="D20" i="175" s="1"/>
  <c r="L20" i="175" s="1"/>
  <c r="N20" i="175" s="1"/>
  <c r="M18" i="174"/>
  <c r="D18" i="175" s="1"/>
  <c r="L18" i="175" s="1"/>
  <c r="N18" i="175" s="1"/>
  <c r="M8" i="174"/>
  <c r="D8" i="175" s="1"/>
  <c r="L8" i="175" s="1"/>
  <c r="N8" i="175" s="1"/>
  <c r="D10" i="174"/>
  <c r="L10" i="174" s="1"/>
  <c r="N10" i="174" s="1"/>
  <c r="D11" i="174"/>
  <c r="D12" i="174"/>
  <c r="L12" i="174" s="1"/>
  <c r="N12" i="174" s="1"/>
  <c r="D13" i="174"/>
  <c r="L13" i="174" s="1"/>
  <c r="N13" i="174" s="1"/>
  <c r="D14" i="174"/>
  <c r="L14" i="174" s="1"/>
  <c r="N14" i="174" s="1"/>
  <c r="D15" i="174"/>
  <c r="D17" i="174"/>
  <c r="D19" i="174"/>
  <c r="D21" i="174"/>
  <c r="D22" i="174"/>
  <c r="L22" i="174" s="1"/>
  <c r="N22" i="174" s="1"/>
  <c r="D23" i="174"/>
  <c r="D24" i="174"/>
  <c r="D25" i="174"/>
  <c r="D26" i="174"/>
  <c r="D7" i="174"/>
  <c r="D4" i="174"/>
  <c r="E4" i="174" s="1"/>
  <c r="K27" i="174"/>
  <c r="J27" i="174"/>
  <c r="I27" i="174"/>
  <c r="H27" i="174"/>
  <c r="G27" i="174"/>
  <c r="F27" i="174"/>
  <c r="N26" i="174"/>
  <c r="N25" i="174"/>
  <c r="N24" i="174"/>
  <c r="N23" i="174"/>
  <c r="L21" i="174"/>
  <c r="N21" i="174" s="1"/>
  <c r="L19" i="174"/>
  <c r="N19" i="174" s="1"/>
  <c r="L17" i="174"/>
  <c r="N17" i="174" s="1"/>
  <c r="L15" i="174"/>
  <c r="N15" i="174" s="1"/>
  <c r="L7" i="174"/>
  <c r="L11" i="174" l="1"/>
  <c r="N11" i="174" s="1"/>
  <c r="L27" i="175"/>
  <c r="N27" i="175"/>
  <c r="M27" i="174"/>
  <c r="N7" i="174"/>
  <c r="M20" i="173"/>
  <c r="D20" i="174" s="1"/>
  <c r="L20" i="174" s="1"/>
  <c r="N20" i="174" s="1"/>
  <c r="M18" i="173"/>
  <c r="D18" i="174" s="1"/>
  <c r="L18" i="174" s="1"/>
  <c r="N18" i="174" s="1"/>
  <c r="M16" i="173"/>
  <c r="D16" i="174" s="1"/>
  <c r="L16" i="174" s="1"/>
  <c r="N16" i="174" s="1"/>
  <c r="M20" i="171"/>
  <c r="D20" i="172" s="1"/>
  <c r="L20" i="172" s="1"/>
  <c r="M16" i="171"/>
  <c r="D16" i="172" s="1"/>
  <c r="M15" i="171"/>
  <c r="D15" i="172" s="1"/>
  <c r="L15" i="172" s="1"/>
  <c r="M7" i="171"/>
  <c r="D7" i="172" s="1"/>
  <c r="L7" i="172" s="1"/>
  <c r="M9" i="173"/>
  <c r="D9" i="174" s="1"/>
  <c r="L9" i="174" s="1"/>
  <c r="N9" i="174" s="1"/>
  <c r="M8" i="173"/>
  <c r="D8" i="174" s="1"/>
  <c r="L8" i="174" s="1"/>
  <c r="D23" i="173"/>
  <c r="D24" i="173"/>
  <c r="D25" i="173"/>
  <c r="D26" i="173"/>
  <c r="D4" i="173"/>
  <c r="E4" i="173" s="1"/>
  <c r="K27" i="173"/>
  <c r="J27" i="173"/>
  <c r="I27" i="173"/>
  <c r="H27" i="173"/>
  <c r="G27" i="173"/>
  <c r="F27" i="173"/>
  <c r="E27" i="173"/>
  <c r="N26" i="173"/>
  <c r="N25" i="173"/>
  <c r="N24" i="173"/>
  <c r="N23" i="173"/>
  <c r="D8" i="172"/>
  <c r="L8" i="172" s="1"/>
  <c r="D10" i="172"/>
  <c r="M10" i="172" s="1"/>
  <c r="D10" i="173" s="1"/>
  <c r="L10" i="173" s="1"/>
  <c r="N10" i="173" s="1"/>
  <c r="D11" i="172"/>
  <c r="M11" i="172" s="1"/>
  <c r="D11" i="173" s="1"/>
  <c r="L11" i="173" s="1"/>
  <c r="N11" i="173" s="1"/>
  <c r="D13" i="172"/>
  <c r="L13" i="172" s="1"/>
  <c r="D14" i="172"/>
  <c r="L14" i="172" s="1"/>
  <c r="D17" i="172"/>
  <c r="L17" i="172" s="1"/>
  <c r="D18" i="172"/>
  <c r="L18" i="172" s="1"/>
  <c r="D19" i="172"/>
  <c r="L19" i="172" s="1"/>
  <c r="D21" i="172"/>
  <c r="L21" i="172" s="1"/>
  <c r="D22" i="172"/>
  <c r="L22" i="172" s="1"/>
  <c r="D23" i="172"/>
  <c r="D24" i="172"/>
  <c r="D25" i="172"/>
  <c r="D26" i="172"/>
  <c r="D4" i="172"/>
  <c r="K27" i="172"/>
  <c r="J27" i="172"/>
  <c r="I27" i="172"/>
  <c r="H27" i="172"/>
  <c r="G27" i="172"/>
  <c r="F27" i="172"/>
  <c r="E27" i="172"/>
  <c r="N26" i="172"/>
  <c r="N25" i="172"/>
  <c r="N24" i="172"/>
  <c r="N23" i="172"/>
  <c r="E4" i="172"/>
  <c r="L27" i="174" l="1"/>
  <c r="M16" i="172"/>
  <c r="D16" i="173" s="1"/>
  <c r="L16" i="173" s="1"/>
  <c r="N16" i="173" s="1"/>
  <c r="L16" i="172"/>
  <c r="L10" i="172"/>
  <c r="N10" i="172" s="1"/>
  <c r="M27" i="173"/>
  <c r="M22" i="172"/>
  <c r="D22" i="173" s="1"/>
  <c r="L22" i="173" s="1"/>
  <c r="N22" i="173" s="1"/>
  <c r="M18" i="172"/>
  <c r="D18" i="173" s="1"/>
  <c r="L18" i="173" s="1"/>
  <c r="N18" i="173" s="1"/>
  <c r="M14" i="172"/>
  <c r="D14" i="173" s="1"/>
  <c r="L14" i="173" s="1"/>
  <c r="N14" i="173" s="1"/>
  <c r="N8" i="174"/>
  <c r="N27" i="174" s="1"/>
  <c r="M8" i="172"/>
  <c r="D8" i="173" s="1"/>
  <c r="L8" i="173" s="1"/>
  <c r="N8" i="173" s="1"/>
  <c r="M20" i="172"/>
  <c r="D20" i="173" s="1"/>
  <c r="L20" i="173" s="1"/>
  <c r="N20" i="173" s="1"/>
  <c r="L11" i="172"/>
  <c r="N11" i="172" s="1"/>
  <c r="M7" i="172"/>
  <c r="N7" i="172" s="1"/>
  <c r="M13" i="172"/>
  <c r="D13" i="173" s="1"/>
  <c r="L13" i="173" s="1"/>
  <c r="N13" i="173" s="1"/>
  <c r="M21" i="172"/>
  <c r="D21" i="173" s="1"/>
  <c r="L21" i="173" s="1"/>
  <c r="N21" i="173" s="1"/>
  <c r="M19" i="172"/>
  <c r="D19" i="173" s="1"/>
  <c r="L19" i="173" s="1"/>
  <c r="N19" i="173" s="1"/>
  <c r="M17" i="172"/>
  <c r="D17" i="173" s="1"/>
  <c r="L17" i="173" s="1"/>
  <c r="N17" i="173" s="1"/>
  <c r="M15" i="172"/>
  <c r="D15" i="173" s="1"/>
  <c r="L15" i="173" s="1"/>
  <c r="N15" i="173" s="1"/>
  <c r="M12" i="171"/>
  <c r="D12" i="172" s="1"/>
  <c r="M9" i="171"/>
  <c r="D9" i="172" s="1"/>
  <c r="L9" i="172" s="1"/>
  <c r="D8" i="171"/>
  <c r="L8" i="171" s="1"/>
  <c r="N8" i="171" s="1"/>
  <c r="D10" i="171"/>
  <c r="L10" i="171" s="1"/>
  <c r="N10" i="171" s="1"/>
  <c r="D13" i="171"/>
  <c r="L13" i="171" s="1"/>
  <c r="N13" i="171" s="1"/>
  <c r="D15" i="171"/>
  <c r="L15" i="171" s="1"/>
  <c r="N15" i="171" s="1"/>
  <c r="D17" i="171"/>
  <c r="L17" i="171" s="1"/>
  <c r="N17" i="171" s="1"/>
  <c r="D18" i="171"/>
  <c r="L18" i="171" s="1"/>
  <c r="N18" i="171" s="1"/>
  <c r="D19" i="171"/>
  <c r="L19" i="171" s="1"/>
  <c r="N19" i="171" s="1"/>
  <c r="D20" i="171"/>
  <c r="L20" i="171" s="1"/>
  <c r="N20" i="171" s="1"/>
  <c r="D21" i="171"/>
  <c r="L21" i="171" s="1"/>
  <c r="N21" i="171" s="1"/>
  <c r="D22" i="171"/>
  <c r="D23" i="171"/>
  <c r="D24" i="171"/>
  <c r="D25" i="171"/>
  <c r="D26" i="171"/>
  <c r="D7" i="171"/>
  <c r="L7" i="171" s="1"/>
  <c r="D4" i="171"/>
  <c r="E4" i="171" s="1"/>
  <c r="K27" i="171"/>
  <c r="J27" i="171"/>
  <c r="I27" i="171"/>
  <c r="H27" i="171"/>
  <c r="G27" i="171"/>
  <c r="N26" i="171"/>
  <c r="N25" i="171"/>
  <c r="N24" i="171"/>
  <c r="N23" i="171"/>
  <c r="L22" i="171"/>
  <c r="N22" i="171" s="1"/>
  <c r="E27" i="171"/>
  <c r="F27" i="171"/>
  <c r="M27" i="171" l="1"/>
  <c r="N22" i="172"/>
  <c r="N16" i="172"/>
  <c r="N14" i="172"/>
  <c r="N20" i="172"/>
  <c r="N8" i="172"/>
  <c r="N18" i="172"/>
  <c r="L12" i="172"/>
  <c r="L27" i="172" s="1"/>
  <c r="M12" i="172"/>
  <c r="M9" i="172"/>
  <c r="N13" i="172"/>
  <c r="N17" i="172"/>
  <c r="N21" i="172"/>
  <c r="D7" i="173"/>
  <c r="L7" i="173" s="1"/>
  <c r="N15" i="172"/>
  <c r="N19" i="172"/>
  <c r="N7" i="171"/>
  <c r="M14" i="170"/>
  <c r="D14" i="171" s="1"/>
  <c r="L14" i="171" s="1"/>
  <c r="N14" i="171" s="1"/>
  <c r="M9" i="170"/>
  <c r="D9" i="171" s="1"/>
  <c r="L9" i="171" s="1"/>
  <c r="N9" i="171" s="1"/>
  <c r="M27" i="172" l="1"/>
  <c r="D12" i="173"/>
  <c r="L12" i="173" s="1"/>
  <c r="N12" i="173" s="1"/>
  <c r="N12" i="172"/>
  <c r="D9" i="173"/>
  <c r="L9" i="173" s="1"/>
  <c r="N9" i="173" s="1"/>
  <c r="N9" i="172"/>
  <c r="N7" i="173"/>
  <c r="M12" i="170"/>
  <c r="D12" i="171" s="1"/>
  <c r="L12" i="171" s="1"/>
  <c r="N12" i="171" s="1"/>
  <c r="E12" i="170"/>
  <c r="M11" i="170"/>
  <c r="D11" i="171" s="1"/>
  <c r="L11" i="171" s="1"/>
  <c r="F7" i="170"/>
  <c r="N27" i="172" l="1"/>
  <c r="L27" i="173"/>
  <c r="N27" i="173"/>
  <c r="N11" i="171"/>
  <c r="M16" i="170"/>
  <c r="D16" i="171" s="1"/>
  <c r="L16" i="171" s="1"/>
  <c r="N16" i="171" s="1"/>
  <c r="D8" i="170"/>
  <c r="L8" i="170" s="1"/>
  <c r="N8" i="170" s="1"/>
  <c r="D9" i="170"/>
  <c r="L9" i="170" s="1"/>
  <c r="N9" i="170" s="1"/>
  <c r="D10" i="170"/>
  <c r="L10" i="170" s="1"/>
  <c r="N10" i="170" s="1"/>
  <c r="D11" i="170"/>
  <c r="L11" i="170" s="1"/>
  <c r="N11" i="170" s="1"/>
  <c r="D12" i="170"/>
  <c r="L12" i="170" s="1"/>
  <c r="N12" i="170" s="1"/>
  <c r="D13" i="170"/>
  <c r="L13" i="170" s="1"/>
  <c r="N13" i="170" s="1"/>
  <c r="D15" i="170"/>
  <c r="L15" i="170" s="1"/>
  <c r="N15" i="170" s="1"/>
  <c r="D17" i="170"/>
  <c r="L17" i="170" s="1"/>
  <c r="N17" i="170" s="1"/>
  <c r="D18" i="170"/>
  <c r="L18" i="170" s="1"/>
  <c r="N18" i="170" s="1"/>
  <c r="D19" i="170"/>
  <c r="D20" i="170"/>
  <c r="L20" i="170" s="1"/>
  <c r="N20" i="170" s="1"/>
  <c r="D23" i="170"/>
  <c r="D24" i="170"/>
  <c r="D25" i="170"/>
  <c r="D26" i="170"/>
  <c r="D4" i="170"/>
  <c r="E4" i="170" s="1"/>
  <c r="K27" i="170"/>
  <c r="J27" i="170"/>
  <c r="I27" i="170"/>
  <c r="H27" i="170"/>
  <c r="G27" i="170"/>
  <c r="F27" i="170"/>
  <c r="E27" i="170"/>
  <c r="N26" i="170"/>
  <c r="N25" i="170"/>
  <c r="N24" i="170"/>
  <c r="N23" i="170"/>
  <c r="L19" i="170"/>
  <c r="N19" i="170" s="1"/>
  <c r="L27" i="171" l="1"/>
  <c r="N27" i="171"/>
  <c r="M27" i="170"/>
  <c r="M7" i="169"/>
  <c r="D7" i="170" s="1"/>
  <c r="L7" i="170" s="1"/>
  <c r="N7" i="170" s="1"/>
  <c r="M21" i="169"/>
  <c r="D21" i="170" s="1"/>
  <c r="L21" i="170" s="1"/>
  <c r="N21" i="170" s="1"/>
  <c r="M14" i="169"/>
  <c r="D14" i="170" s="1"/>
  <c r="L14" i="170" s="1"/>
  <c r="N14" i="170" s="1"/>
  <c r="M22" i="169"/>
  <c r="D22" i="170" s="1"/>
  <c r="L22" i="170" s="1"/>
  <c r="N22" i="170" s="1"/>
  <c r="M16" i="169"/>
  <c r="D16" i="170" s="1"/>
  <c r="L16" i="170" s="1"/>
  <c r="N16" i="170" s="1"/>
  <c r="D8" i="169"/>
  <c r="L8" i="169" s="1"/>
  <c r="N8" i="169" s="1"/>
  <c r="D10" i="169"/>
  <c r="L10" i="169" s="1"/>
  <c r="N10" i="169" s="1"/>
  <c r="D11" i="169"/>
  <c r="L11" i="169" s="1"/>
  <c r="N11" i="169" s="1"/>
  <c r="D12" i="169"/>
  <c r="L12" i="169" s="1"/>
  <c r="N12" i="169" s="1"/>
  <c r="D13" i="169"/>
  <c r="L13" i="169" s="1"/>
  <c r="N13" i="169" s="1"/>
  <c r="D14" i="169"/>
  <c r="L14" i="169" s="1"/>
  <c r="N14" i="169" s="1"/>
  <c r="D15" i="169"/>
  <c r="L15" i="169" s="1"/>
  <c r="N15" i="169" s="1"/>
  <c r="D17" i="169"/>
  <c r="L17" i="169" s="1"/>
  <c r="N17" i="169" s="1"/>
  <c r="D18" i="169"/>
  <c r="L18" i="169" s="1"/>
  <c r="N18" i="169" s="1"/>
  <c r="D19" i="169"/>
  <c r="L19" i="169" s="1"/>
  <c r="N19" i="169" s="1"/>
  <c r="D20" i="169"/>
  <c r="L20" i="169" s="1"/>
  <c r="N20" i="169" s="1"/>
  <c r="D21" i="169"/>
  <c r="L21" i="169" s="1"/>
  <c r="D23" i="169"/>
  <c r="D24" i="169"/>
  <c r="D25" i="169"/>
  <c r="D26" i="169"/>
  <c r="D4" i="169"/>
  <c r="E4" i="169" s="1"/>
  <c r="K27" i="169"/>
  <c r="J27" i="169"/>
  <c r="I27" i="169"/>
  <c r="H27" i="169"/>
  <c r="G27" i="169"/>
  <c r="F27" i="169"/>
  <c r="E27" i="169"/>
  <c r="N26" i="169"/>
  <c r="N25" i="169"/>
  <c r="N24" i="169"/>
  <c r="N23" i="169"/>
  <c r="N21" i="169" l="1"/>
  <c r="L27" i="170"/>
  <c r="N27" i="170"/>
  <c r="M27" i="169"/>
  <c r="M16" i="168"/>
  <c r="D16" i="169" s="1"/>
  <c r="L16" i="169" s="1"/>
  <c r="N16" i="169" s="1"/>
  <c r="M7" i="168"/>
  <c r="D7" i="169" s="1"/>
  <c r="L7" i="169" s="1"/>
  <c r="M9" i="168"/>
  <c r="D9" i="169" s="1"/>
  <c r="L9" i="169" s="1"/>
  <c r="N9" i="169" s="1"/>
  <c r="M22" i="168"/>
  <c r="D22" i="169" s="1"/>
  <c r="L22" i="169" s="1"/>
  <c r="N22" i="169" s="1"/>
  <c r="D8" i="168"/>
  <c r="L8" i="168" s="1"/>
  <c r="N8" i="168" s="1"/>
  <c r="D9" i="168"/>
  <c r="L9" i="168" s="1"/>
  <c r="D10" i="168"/>
  <c r="L10" i="168" s="1"/>
  <c r="N10" i="168" s="1"/>
  <c r="D13" i="168"/>
  <c r="L13" i="168" s="1"/>
  <c r="N13" i="168" s="1"/>
  <c r="D14" i="168"/>
  <c r="L14" i="168" s="1"/>
  <c r="N14" i="168" s="1"/>
  <c r="D17" i="168"/>
  <c r="L17" i="168" s="1"/>
  <c r="N17" i="168" s="1"/>
  <c r="D18" i="168"/>
  <c r="L18" i="168" s="1"/>
  <c r="N18" i="168" s="1"/>
  <c r="D19" i="168"/>
  <c r="L19" i="168" s="1"/>
  <c r="N19" i="168" s="1"/>
  <c r="D23" i="168"/>
  <c r="D24" i="168"/>
  <c r="D25" i="168"/>
  <c r="D26" i="168"/>
  <c r="D4" i="168"/>
  <c r="E4" i="168" s="1"/>
  <c r="K27" i="168"/>
  <c r="J27" i="168"/>
  <c r="I27" i="168"/>
  <c r="H27" i="168"/>
  <c r="G27" i="168"/>
  <c r="F27" i="168"/>
  <c r="N26" i="168"/>
  <c r="N25" i="168"/>
  <c r="N24" i="168"/>
  <c r="N23" i="168"/>
  <c r="E27" i="168"/>
  <c r="M15" i="167"/>
  <c r="D15" i="168" s="1"/>
  <c r="L15" i="168" s="1"/>
  <c r="N15" i="168" s="1"/>
  <c r="N9" i="168" l="1"/>
  <c r="M27" i="168"/>
  <c r="L27" i="169"/>
  <c r="N7" i="169"/>
  <c r="N27" i="169" s="1"/>
  <c r="M7" i="167"/>
  <c r="D7" i="168" s="1"/>
  <c r="L7" i="168" s="1"/>
  <c r="M16" i="167"/>
  <c r="D16" i="168" s="1"/>
  <c r="L16" i="168" s="1"/>
  <c r="N16" i="168" s="1"/>
  <c r="M11" i="167"/>
  <c r="D11" i="168" s="1"/>
  <c r="L11" i="168" s="1"/>
  <c r="N11" i="168" s="1"/>
  <c r="E10" i="167"/>
  <c r="N7" i="168" l="1"/>
  <c r="M21" i="167"/>
  <c r="D21" i="168" s="1"/>
  <c r="L21" i="168" s="1"/>
  <c r="N21" i="168" s="1"/>
  <c r="M20" i="167"/>
  <c r="D20" i="168" s="1"/>
  <c r="L20" i="168" s="1"/>
  <c r="N20" i="168" s="1"/>
  <c r="M12" i="166"/>
  <c r="M12" i="165"/>
  <c r="M12" i="163"/>
  <c r="M12" i="162"/>
  <c r="M12" i="161"/>
  <c r="M12" i="160"/>
  <c r="M12" i="164"/>
  <c r="M12" i="167"/>
  <c r="D12" i="168" s="1"/>
  <c r="L12" i="168" s="1"/>
  <c r="N12" i="168" s="1"/>
  <c r="M22" i="167" l="1"/>
  <c r="D22" i="168" s="1"/>
  <c r="L22" i="168" s="1"/>
  <c r="N22" i="168" s="1"/>
  <c r="N27" i="168" s="1"/>
  <c r="D8" i="167"/>
  <c r="L8" i="167" s="1"/>
  <c r="N8" i="167" s="1"/>
  <c r="D10" i="167"/>
  <c r="L10" i="167" s="1"/>
  <c r="N10" i="167" s="1"/>
  <c r="D11" i="167"/>
  <c r="L11" i="167" s="1"/>
  <c r="N11" i="167" s="1"/>
  <c r="D12" i="167"/>
  <c r="L12" i="167" s="1"/>
  <c r="N12" i="167" s="1"/>
  <c r="D13" i="167"/>
  <c r="D14" i="167"/>
  <c r="L14" i="167" s="1"/>
  <c r="N14" i="167" s="1"/>
  <c r="D17" i="167"/>
  <c r="D18" i="167"/>
  <c r="L18" i="167" s="1"/>
  <c r="N18" i="167" s="1"/>
  <c r="D19" i="167"/>
  <c r="D23" i="167"/>
  <c r="D24" i="167"/>
  <c r="D25" i="167"/>
  <c r="D26" i="167"/>
  <c r="D4" i="167"/>
  <c r="E4" i="167" s="1"/>
  <c r="K27" i="167"/>
  <c r="J27" i="167"/>
  <c r="I27" i="167"/>
  <c r="H27" i="167"/>
  <c r="G27" i="167"/>
  <c r="F27" i="167"/>
  <c r="N26" i="167"/>
  <c r="N25" i="167"/>
  <c r="N24" i="167"/>
  <c r="N23" i="167"/>
  <c r="L19" i="167"/>
  <c r="N19" i="167" s="1"/>
  <c r="L17" i="167"/>
  <c r="N17" i="167" s="1"/>
  <c r="E27" i="167"/>
  <c r="L13" i="167"/>
  <c r="N13" i="167" s="1"/>
  <c r="M27" i="167" l="1"/>
  <c r="L27" i="168"/>
  <c r="M9" i="166"/>
  <c r="D9" i="167" s="1"/>
  <c r="L9" i="167" s="1"/>
  <c r="N9" i="167" s="1"/>
  <c r="M16" i="166"/>
  <c r="D16" i="167" s="1"/>
  <c r="L16" i="167" s="1"/>
  <c r="N16" i="167" s="1"/>
  <c r="M7" i="166"/>
  <c r="D7" i="167" s="1"/>
  <c r="L7" i="167" s="1"/>
  <c r="E16" i="166"/>
  <c r="M22" i="166"/>
  <c r="D22" i="167" s="1"/>
  <c r="L22" i="167" s="1"/>
  <c r="N22" i="167" s="1"/>
  <c r="M21" i="166"/>
  <c r="D21" i="167" s="1"/>
  <c r="L21" i="167" s="1"/>
  <c r="N21" i="167" s="1"/>
  <c r="M20" i="166"/>
  <c r="D20" i="167" s="1"/>
  <c r="L20" i="167" s="1"/>
  <c r="N20" i="167" s="1"/>
  <c r="M15" i="166"/>
  <c r="D15" i="167" s="1"/>
  <c r="L15" i="167" s="1"/>
  <c r="N15" i="167" s="1"/>
  <c r="D4" i="166"/>
  <c r="D8" i="166"/>
  <c r="D9" i="166"/>
  <c r="D10" i="166"/>
  <c r="D11" i="166"/>
  <c r="D12" i="166"/>
  <c r="D13" i="166"/>
  <c r="D17" i="166"/>
  <c r="D18" i="166"/>
  <c r="D19" i="166"/>
  <c r="D23" i="166"/>
  <c r="D24" i="166"/>
  <c r="D25" i="166"/>
  <c r="D26" i="166"/>
  <c r="M22" i="165"/>
  <c r="D22" i="166" s="1"/>
  <c r="L27" i="167" l="1"/>
  <c r="N7" i="167"/>
  <c r="N27" i="167" s="1"/>
  <c r="K27" i="166"/>
  <c r="J27" i="166"/>
  <c r="I27" i="166"/>
  <c r="H27" i="166"/>
  <c r="G27" i="166"/>
  <c r="F27" i="166"/>
  <c r="E27" i="166"/>
  <c r="N26" i="166"/>
  <c r="N25" i="166"/>
  <c r="N24" i="166"/>
  <c r="N23" i="166"/>
  <c r="L22" i="166"/>
  <c r="N22" i="166" s="1"/>
  <c r="L19" i="166"/>
  <c r="N19" i="166" s="1"/>
  <c r="L18" i="166"/>
  <c r="N18" i="166" s="1"/>
  <c r="L17" i="166"/>
  <c r="N17" i="166" s="1"/>
  <c r="L13" i="166"/>
  <c r="N13" i="166" s="1"/>
  <c r="L12" i="166"/>
  <c r="N12" i="166" s="1"/>
  <c r="L11" i="166"/>
  <c r="N11" i="166" s="1"/>
  <c r="L10" i="166"/>
  <c r="N10" i="166" s="1"/>
  <c r="L9" i="166"/>
  <c r="N9" i="166" s="1"/>
  <c r="L8" i="166"/>
  <c r="N8" i="166" s="1"/>
  <c r="M27" i="166"/>
  <c r="E4" i="166"/>
  <c r="D8" i="165"/>
  <c r="L8" i="165" s="1"/>
  <c r="N8" i="165" s="1"/>
  <c r="D9" i="165"/>
  <c r="L9" i="165" s="1"/>
  <c r="N9" i="165" s="1"/>
  <c r="D10" i="165"/>
  <c r="L10" i="165" s="1"/>
  <c r="N10" i="165" s="1"/>
  <c r="D11" i="165"/>
  <c r="L11" i="165" s="1"/>
  <c r="N11" i="165" s="1"/>
  <c r="D12" i="165"/>
  <c r="L12" i="165" s="1"/>
  <c r="N12" i="165" s="1"/>
  <c r="D13" i="165"/>
  <c r="L13" i="165" s="1"/>
  <c r="N13" i="165" s="1"/>
  <c r="D17" i="165"/>
  <c r="D18" i="165"/>
  <c r="D19" i="165"/>
  <c r="D22" i="165"/>
  <c r="D23" i="165"/>
  <c r="D24" i="165"/>
  <c r="D25" i="165"/>
  <c r="D26" i="165"/>
  <c r="K27" i="165"/>
  <c r="J27" i="165"/>
  <c r="I27" i="165"/>
  <c r="H27" i="165"/>
  <c r="G27" i="165"/>
  <c r="F27" i="165"/>
  <c r="E27" i="165"/>
  <c r="N26" i="165"/>
  <c r="N25" i="165"/>
  <c r="N24" i="165"/>
  <c r="N23" i="165"/>
  <c r="L22" i="165"/>
  <c r="N22" i="165" s="1"/>
  <c r="M21" i="165"/>
  <c r="D21" i="166" s="1"/>
  <c r="L21" i="166" s="1"/>
  <c r="N21" i="166" s="1"/>
  <c r="M20" i="165"/>
  <c r="D20" i="166" s="1"/>
  <c r="L20" i="166" s="1"/>
  <c r="N20" i="166" s="1"/>
  <c r="L19" i="165"/>
  <c r="N19" i="165" s="1"/>
  <c r="L18" i="165"/>
  <c r="N18" i="165" s="1"/>
  <c r="L17" i="165"/>
  <c r="N17" i="165" s="1"/>
  <c r="M16" i="165"/>
  <c r="D16" i="166" s="1"/>
  <c r="L16" i="166" s="1"/>
  <c r="N16" i="166" s="1"/>
  <c r="M15" i="165"/>
  <c r="D15" i="166" s="1"/>
  <c r="L15" i="166" s="1"/>
  <c r="N15" i="166" s="1"/>
  <c r="M14" i="165"/>
  <c r="D14" i="166" s="1"/>
  <c r="L14" i="166" s="1"/>
  <c r="N14" i="166" s="1"/>
  <c r="M7" i="165"/>
  <c r="D4" i="165"/>
  <c r="E4" i="165" s="1"/>
  <c r="M27" i="165" l="1"/>
  <c r="D7" i="166"/>
  <c r="L7" i="166" s="1"/>
  <c r="N7" i="166" s="1"/>
  <c r="N27" i="166" s="1"/>
  <c r="M7" i="164"/>
  <c r="D7" i="165" s="1"/>
  <c r="L7" i="165" s="1"/>
  <c r="N7" i="165" s="1"/>
  <c r="M16" i="164"/>
  <c r="D16" i="165" s="1"/>
  <c r="L16" i="165" s="1"/>
  <c r="N16" i="165" s="1"/>
  <c r="M20" i="164"/>
  <c r="D20" i="165" s="1"/>
  <c r="L20" i="165" s="1"/>
  <c r="N20" i="165" s="1"/>
  <c r="L27" i="166" l="1"/>
  <c r="D4" i="164"/>
  <c r="E4" i="164" s="1"/>
  <c r="D8" i="164"/>
  <c r="L8" i="164" s="1"/>
  <c r="N8" i="164" s="1"/>
  <c r="D10" i="164"/>
  <c r="L10" i="164" s="1"/>
  <c r="N10" i="164" s="1"/>
  <c r="D12" i="164"/>
  <c r="L12" i="164" s="1"/>
  <c r="N12" i="164" s="1"/>
  <c r="D13" i="164"/>
  <c r="L13" i="164" s="1"/>
  <c r="N13" i="164" s="1"/>
  <c r="D16" i="164"/>
  <c r="L16" i="164" s="1"/>
  <c r="N16" i="164" s="1"/>
  <c r="D17" i="164"/>
  <c r="L17" i="164" s="1"/>
  <c r="N17" i="164" s="1"/>
  <c r="D18" i="164"/>
  <c r="L18" i="164" s="1"/>
  <c r="N18" i="164" s="1"/>
  <c r="D19" i="164"/>
  <c r="L19" i="164" s="1"/>
  <c r="N19" i="164" s="1"/>
  <c r="D20" i="164"/>
  <c r="L20" i="164" s="1"/>
  <c r="N20" i="164" s="1"/>
  <c r="D22" i="164"/>
  <c r="L22" i="164" s="1"/>
  <c r="N22" i="164" s="1"/>
  <c r="D23" i="164"/>
  <c r="D24" i="164"/>
  <c r="D25" i="164"/>
  <c r="D26" i="164"/>
  <c r="K27" i="164"/>
  <c r="J27" i="164"/>
  <c r="I27" i="164"/>
  <c r="H27" i="164"/>
  <c r="G27" i="164"/>
  <c r="F27" i="164"/>
  <c r="E27" i="164"/>
  <c r="N26" i="164"/>
  <c r="N25" i="164"/>
  <c r="N24" i="164"/>
  <c r="N23" i="164"/>
  <c r="M21" i="164"/>
  <c r="D21" i="165" s="1"/>
  <c r="L21" i="165" s="1"/>
  <c r="N21" i="165" s="1"/>
  <c r="M15" i="164"/>
  <c r="D15" i="165" s="1"/>
  <c r="L15" i="165" s="1"/>
  <c r="N15" i="165" s="1"/>
  <c r="M14" i="164"/>
  <c r="D14" i="165" s="1"/>
  <c r="L14" i="165" s="1"/>
  <c r="N14" i="165" s="1"/>
  <c r="M27" i="164" l="1"/>
  <c r="N27" i="165"/>
  <c r="L27" i="165"/>
  <c r="M7" i="163"/>
  <c r="D7" i="164" s="1"/>
  <c r="L7" i="164" s="1"/>
  <c r="M11" i="163"/>
  <c r="D11" i="164" s="1"/>
  <c r="L11" i="164" s="1"/>
  <c r="N11" i="164" s="1"/>
  <c r="M15" i="163"/>
  <c r="D15" i="164" s="1"/>
  <c r="L15" i="164" s="1"/>
  <c r="N15" i="164" s="1"/>
  <c r="M9" i="163"/>
  <c r="D9" i="164" s="1"/>
  <c r="L9" i="164" s="1"/>
  <c r="N9" i="164" s="1"/>
  <c r="N7" i="164" l="1"/>
  <c r="M21" i="163"/>
  <c r="D21" i="164" s="1"/>
  <c r="L21" i="164" s="1"/>
  <c r="N21" i="164" s="1"/>
  <c r="M14" i="163"/>
  <c r="D14" i="164" s="1"/>
  <c r="L14" i="164" s="1"/>
  <c r="N14" i="164" s="1"/>
  <c r="N27" i="164" l="1"/>
  <c r="L27" i="164"/>
  <c r="D8" i="163"/>
  <c r="L8" i="163" s="1"/>
  <c r="N8" i="163" s="1"/>
  <c r="D10" i="163"/>
  <c r="L10" i="163" s="1"/>
  <c r="N10" i="163" s="1"/>
  <c r="D11" i="163"/>
  <c r="L11" i="163" s="1"/>
  <c r="N11" i="163" s="1"/>
  <c r="D12" i="163"/>
  <c r="L12" i="163" s="1"/>
  <c r="D13" i="163"/>
  <c r="D15" i="163"/>
  <c r="L15" i="163" s="1"/>
  <c r="N15" i="163" s="1"/>
  <c r="D16" i="163"/>
  <c r="L16" i="163" s="1"/>
  <c r="N16" i="163" s="1"/>
  <c r="D17" i="163"/>
  <c r="L17" i="163" s="1"/>
  <c r="N17" i="163" s="1"/>
  <c r="D18" i="163"/>
  <c r="L18" i="163" s="1"/>
  <c r="N18" i="163" s="1"/>
  <c r="D19" i="163"/>
  <c r="L19" i="163" s="1"/>
  <c r="N19" i="163" s="1"/>
  <c r="D20" i="163"/>
  <c r="L20" i="163" s="1"/>
  <c r="N20" i="163" s="1"/>
  <c r="D22" i="163"/>
  <c r="D23" i="163"/>
  <c r="D24" i="163"/>
  <c r="D25" i="163"/>
  <c r="D26" i="163"/>
  <c r="D4" i="163"/>
  <c r="E4" i="163" s="1"/>
  <c r="K27" i="163"/>
  <c r="J27" i="163"/>
  <c r="I27" i="163"/>
  <c r="H27" i="163"/>
  <c r="G27" i="163"/>
  <c r="F27" i="163"/>
  <c r="N26" i="163"/>
  <c r="N25" i="163"/>
  <c r="N24" i="163"/>
  <c r="N23" i="163"/>
  <c r="L22" i="163"/>
  <c r="N22" i="163" s="1"/>
  <c r="L13" i="163"/>
  <c r="N13" i="163" s="1"/>
  <c r="E27" i="163"/>
  <c r="N12" i="163" l="1"/>
  <c r="M27" i="163"/>
  <c r="M21" i="162"/>
  <c r="D21" i="163" s="1"/>
  <c r="L21" i="163" s="1"/>
  <c r="N21" i="163" s="1"/>
  <c r="M9" i="162"/>
  <c r="D9" i="163" s="1"/>
  <c r="L9" i="163" s="1"/>
  <c r="N9" i="163" s="1"/>
  <c r="E9" i="162"/>
  <c r="E21" i="162"/>
  <c r="M7" i="162"/>
  <c r="D7" i="163" s="1"/>
  <c r="L7" i="163" s="1"/>
  <c r="M14" i="162"/>
  <c r="D14" i="163" s="1"/>
  <c r="L14" i="163" s="1"/>
  <c r="N14" i="163" s="1"/>
  <c r="D8" i="162"/>
  <c r="L8" i="162" s="1"/>
  <c r="N8" i="162" s="1"/>
  <c r="D10" i="162"/>
  <c r="L10" i="162" s="1"/>
  <c r="N10" i="162" s="1"/>
  <c r="D11" i="162"/>
  <c r="L11" i="162" s="1"/>
  <c r="N11" i="162" s="1"/>
  <c r="D12" i="162"/>
  <c r="D13" i="162"/>
  <c r="L13" i="162" s="1"/>
  <c r="N13" i="162" s="1"/>
  <c r="D15" i="162"/>
  <c r="L15" i="162" s="1"/>
  <c r="N15" i="162" s="1"/>
  <c r="D17" i="162"/>
  <c r="L17" i="162" s="1"/>
  <c r="N17" i="162" s="1"/>
  <c r="D18" i="162"/>
  <c r="L18" i="162" s="1"/>
  <c r="N18" i="162" s="1"/>
  <c r="D19" i="162"/>
  <c r="L19" i="162" s="1"/>
  <c r="N19" i="162" s="1"/>
  <c r="D20" i="162"/>
  <c r="L20" i="162" s="1"/>
  <c r="N20" i="162" s="1"/>
  <c r="D21" i="162"/>
  <c r="D22" i="162"/>
  <c r="L22" i="162" s="1"/>
  <c r="N22" i="162" s="1"/>
  <c r="D23" i="162"/>
  <c r="D24" i="162"/>
  <c r="D25" i="162"/>
  <c r="D26" i="162"/>
  <c r="D4" i="162"/>
  <c r="E4" i="162" s="1"/>
  <c r="K27" i="162"/>
  <c r="J27" i="162"/>
  <c r="I27" i="162"/>
  <c r="H27" i="162"/>
  <c r="G27" i="162"/>
  <c r="F27" i="162"/>
  <c r="N26" i="162"/>
  <c r="N25" i="162"/>
  <c r="N24" i="162"/>
  <c r="N23" i="162"/>
  <c r="L12" i="162"/>
  <c r="L27" i="163" l="1"/>
  <c r="N7" i="163"/>
  <c r="N27" i="163" s="1"/>
  <c r="E27" i="162"/>
  <c r="L21" i="162"/>
  <c r="N21" i="162" s="1"/>
  <c r="M27" i="162"/>
  <c r="N12" i="162"/>
  <c r="M16" i="161"/>
  <c r="D16" i="162" s="1"/>
  <c r="L16" i="162" s="1"/>
  <c r="N16" i="162" s="1"/>
  <c r="M7" i="161"/>
  <c r="D7" i="162" s="1"/>
  <c r="L7" i="162" s="1"/>
  <c r="N7" i="162" s="1"/>
  <c r="M14" i="161"/>
  <c r="D14" i="162" s="1"/>
  <c r="L14" i="162" s="1"/>
  <c r="N14" i="162" s="1"/>
  <c r="M9" i="161"/>
  <c r="D9" i="162" s="1"/>
  <c r="L9" i="162" s="1"/>
  <c r="N9" i="162" s="1"/>
  <c r="D8" i="161"/>
  <c r="L8" i="161" s="1"/>
  <c r="N8" i="161" s="1"/>
  <c r="D10" i="161"/>
  <c r="L10" i="161" s="1"/>
  <c r="N10" i="161" s="1"/>
  <c r="D12" i="161"/>
  <c r="L12" i="161" s="1"/>
  <c r="N12" i="161" s="1"/>
  <c r="D13" i="161"/>
  <c r="L13" i="161" s="1"/>
  <c r="N13" i="161" s="1"/>
  <c r="D14" i="161"/>
  <c r="L14" i="161" s="1"/>
  <c r="D15" i="161"/>
  <c r="D17" i="161"/>
  <c r="L17" i="161" s="1"/>
  <c r="N17" i="161" s="1"/>
  <c r="D18" i="161"/>
  <c r="L18" i="161" s="1"/>
  <c r="N18" i="161" s="1"/>
  <c r="D19" i="161"/>
  <c r="L19" i="161" s="1"/>
  <c r="N19" i="161" s="1"/>
  <c r="D20" i="161"/>
  <c r="L20" i="161" s="1"/>
  <c r="N20" i="161" s="1"/>
  <c r="D21" i="161"/>
  <c r="L21" i="161" s="1"/>
  <c r="N21" i="161" s="1"/>
  <c r="D22" i="161"/>
  <c r="L22" i="161" s="1"/>
  <c r="N22" i="161" s="1"/>
  <c r="D23" i="161"/>
  <c r="D24" i="161"/>
  <c r="D25" i="161"/>
  <c r="D26" i="161"/>
  <c r="D7" i="161"/>
  <c r="L7" i="161" s="1"/>
  <c r="D4" i="161"/>
  <c r="E4" i="161" s="1"/>
  <c r="K27" i="161"/>
  <c r="J27" i="161"/>
  <c r="I27" i="161"/>
  <c r="H27" i="161"/>
  <c r="G27" i="161"/>
  <c r="F27" i="161"/>
  <c r="E27" i="161"/>
  <c r="N26" i="161"/>
  <c r="N25" i="161"/>
  <c r="N24" i="161"/>
  <c r="N23" i="161"/>
  <c r="L15" i="161"/>
  <c r="N15" i="161" s="1"/>
  <c r="M16" i="160"/>
  <c r="D16" i="161" s="1"/>
  <c r="L16" i="161" s="1"/>
  <c r="M11" i="160"/>
  <c r="D11" i="161" s="1"/>
  <c r="L11" i="161" s="1"/>
  <c r="N11" i="161" s="1"/>
  <c r="M9" i="160"/>
  <c r="D9" i="161" s="1"/>
  <c r="L9" i="161" s="1"/>
  <c r="D10" i="160"/>
  <c r="L10" i="160" s="1"/>
  <c r="N10" i="160" s="1"/>
  <c r="D11" i="160"/>
  <c r="L11" i="160" s="1"/>
  <c r="D12" i="160"/>
  <c r="L12" i="160" s="1"/>
  <c r="D13" i="160"/>
  <c r="L13" i="160" s="1"/>
  <c r="N13" i="160" s="1"/>
  <c r="D15" i="160"/>
  <c r="D17" i="160"/>
  <c r="L17" i="160" s="1"/>
  <c r="N17" i="160" s="1"/>
  <c r="D18" i="160"/>
  <c r="L18" i="160" s="1"/>
  <c r="N18" i="160" s="1"/>
  <c r="D19" i="160"/>
  <c r="L19" i="160" s="1"/>
  <c r="N19" i="160" s="1"/>
  <c r="D20" i="160"/>
  <c r="L20" i="160" s="1"/>
  <c r="N20" i="160" s="1"/>
  <c r="D21" i="160"/>
  <c r="L21" i="160" s="1"/>
  <c r="N21" i="160" s="1"/>
  <c r="D22" i="160"/>
  <c r="L22" i="160" s="1"/>
  <c r="N22" i="160" s="1"/>
  <c r="D23" i="160"/>
  <c r="D24" i="160"/>
  <c r="D25" i="160"/>
  <c r="D26" i="160"/>
  <c r="D7" i="160"/>
  <c r="L7" i="160" s="1"/>
  <c r="D4" i="160"/>
  <c r="E4" i="160" s="1"/>
  <c r="K27" i="160"/>
  <c r="J27" i="160"/>
  <c r="I27" i="160"/>
  <c r="H27" i="160"/>
  <c r="G27" i="160"/>
  <c r="F27" i="160"/>
  <c r="E27" i="160"/>
  <c r="N26" i="160"/>
  <c r="N25" i="160"/>
  <c r="N24" i="160"/>
  <c r="N23" i="160"/>
  <c r="L15" i="160"/>
  <c r="N15" i="160" s="1"/>
  <c r="M16" i="159"/>
  <c r="D16" i="160" s="1"/>
  <c r="L16" i="160" s="1"/>
  <c r="M14" i="159"/>
  <c r="D14" i="160" s="1"/>
  <c r="L14" i="160" s="1"/>
  <c r="N14" i="160" s="1"/>
  <c r="M9" i="159"/>
  <c r="D9" i="160" s="1"/>
  <c r="L9" i="160" s="1"/>
  <c r="M8" i="159"/>
  <c r="D8" i="160" s="1"/>
  <c r="L8" i="160" s="1"/>
  <c r="D8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25" i="159"/>
  <c r="D26" i="159"/>
  <c r="D7" i="159"/>
  <c r="L27" i="162" l="1"/>
  <c r="N27" i="162"/>
  <c r="N14" i="161"/>
  <c r="M27" i="161"/>
  <c r="L27" i="161"/>
  <c r="N7" i="161"/>
  <c r="N16" i="161"/>
  <c r="N9" i="161"/>
  <c r="N11" i="160"/>
  <c r="M27" i="160"/>
  <c r="N8" i="160"/>
  <c r="N9" i="160"/>
  <c r="L27" i="160"/>
  <c r="N12" i="160"/>
  <c r="N16" i="160"/>
  <c r="N7" i="160"/>
  <c r="D4" i="159"/>
  <c r="E4" i="159" s="1"/>
  <c r="M27" i="159"/>
  <c r="K27" i="159"/>
  <c r="J27" i="159"/>
  <c r="I27" i="159"/>
  <c r="H27" i="159"/>
  <c r="G27" i="159"/>
  <c r="F27" i="159"/>
  <c r="E27" i="159"/>
  <c r="N26" i="159"/>
  <c r="N25" i="159"/>
  <c r="N24" i="159"/>
  <c r="N23" i="159"/>
  <c r="L22" i="159"/>
  <c r="N22" i="159" s="1"/>
  <c r="L21" i="159"/>
  <c r="N21" i="159" s="1"/>
  <c r="L20" i="159"/>
  <c r="N20" i="159" s="1"/>
  <c r="L19" i="159"/>
  <c r="N19" i="159" s="1"/>
  <c r="L18" i="159"/>
  <c r="N18" i="159" s="1"/>
  <c r="L17" i="159"/>
  <c r="N17" i="159" s="1"/>
  <c r="L16" i="159"/>
  <c r="N16" i="159" s="1"/>
  <c r="L15" i="159"/>
  <c r="N15" i="159" s="1"/>
  <c r="L14" i="159"/>
  <c r="N14" i="159" s="1"/>
  <c r="L13" i="159"/>
  <c r="N13" i="159" s="1"/>
  <c r="L12" i="159"/>
  <c r="N12" i="159" s="1"/>
  <c r="L11" i="159"/>
  <c r="N11" i="159" s="1"/>
  <c r="L10" i="159"/>
  <c r="N10" i="159" s="1"/>
  <c r="L9" i="159"/>
  <c r="N9" i="159" s="1"/>
  <c r="L8" i="159"/>
  <c r="N8" i="159" s="1"/>
  <c r="L7" i="159"/>
  <c r="D8" i="158"/>
  <c r="L8" i="158" s="1"/>
  <c r="N8" i="158" s="1"/>
  <c r="D9" i="158"/>
  <c r="L9" i="158" s="1"/>
  <c r="N9" i="158" s="1"/>
  <c r="D10" i="158"/>
  <c r="L10" i="158" s="1"/>
  <c r="N10" i="158" s="1"/>
  <c r="D11" i="158"/>
  <c r="L11" i="158" s="1"/>
  <c r="N11" i="158" s="1"/>
  <c r="D12" i="158"/>
  <c r="L12" i="158" s="1"/>
  <c r="N12" i="158" s="1"/>
  <c r="D13" i="158"/>
  <c r="L13" i="158" s="1"/>
  <c r="N13" i="158" s="1"/>
  <c r="D14" i="158"/>
  <c r="L14" i="158" s="1"/>
  <c r="N14" i="158" s="1"/>
  <c r="D15" i="158"/>
  <c r="L15" i="158" s="1"/>
  <c r="N15" i="158" s="1"/>
  <c r="D16" i="158"/>
  <c r="L16" i="158" s="1"/>
  <c r="N16" i="158" s="1"/>
  <c r="D17" i="158"/>
  <c r="L17" i="158" s="1"/>
  <c r="N17" i="158" s="1"/>
  <c r="D18" i="158"/>
  <c r="L18" i="158" s="1"/>
  <c r="N18" i="158" s="1"/>
  <c r="D19" i="158"/>
  <c r="L19" i="158" s="1"/>
  <c r="N19" i="158" s="1"/>
  <c r="D20" i="158"/>
  <c r="L20" i="158" s="1"/>
  <c r="N20" i="158" s="1"/>
  <c r="D21" i="158"/>
  <c r="D22" i="158"/>
  <c r="L22" i="158" s="1"/>
  <c r="N22" i="158" s="1"/>
  <c r="D23" i="158"/>
  <c r="D24" i="158"/>
  <c r="D25" i="158"/>
  <c r="D26" i="158"/>
  <c r="D7" i="158"/>
  <c r="L7" i="158" s="1"/>
  <c r="D4" i="158"/>
  <c r="E4" i="158" s="1"/>
  <c r="M27" i="158"/>
  <c r="K27" i="158"/>
  <c r="J27" i="158"/>
  <c r="I27" i="158"/>
  <c r="H27" i="158"/>
  <c r="G27" i="158"/>
  <c r="F27" i="158"/>
  <c r="E27" i="158"/>
  <c r="N26" i="158"/>
  <c r="N25" i="158"/>
  <c r="N24" i="158"/>
  <c r="N23" i="158"/>
  <c r="L21" i="158"/>
  <c r="N21" i="158" s="1"/>
  <c r="D8" i="157"/>
  <c r="L8" i="157" s="1"/>
  <c r="N8" i="157" s="1"/>
  <c r="D10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7" i="157"/>
  <c r="L7" i="157" s="1"/>
  <c r="D4" i="157"/>
  <c r="E4" i="157" s="1"/>
  <c r="K27" i="157"/>
  <c r="J27" i="157"/>
  <c r="I27" i="157"/>
  <c r="H27" i="157"/>
  <c r="G27" i="157"/>
  <c r="F27" i="157"/>
  <c r="E27" i="157"/>
  <c r="N26" i="157"/>
  <c r="N25" i="157"/>
  <c r="N24" i="157"/>
  <c r="N23" i="157"/>
  <c r="L22" i="157"/>
  <c r="N22" i="157" s="1"/>
  <c r="L21" i="157"/>
  <c r="N21" i="157" s="1"/>
  <c r="L20" i="157"/>
  <c r="N20" i="157" s="1"/>
  <c r="L19" i="157"/>
  <c r="N19" i="157" s="1"/>
  <c r="L18" i="157"/>
  <c r="N18" i="157" s="1"/>
  <c r="L17" i="157"/>
  <c r="N17" i="157" s="1"/>
  <c r="L16" i="157"/>
  <c r="N16" i="157" s="1"/>
  <c r="L15" i="157"/>
  <c r="N15" i="157" s="1"/>
  <c r="L14" i="157"/>
  <c r="N14" i="157" s="1"/>
  <c r="L13" i="157"/>
  <c r="N13" i="157" s="1"/>
  <c r="L12" i="157"/>
  <c r="N12" i="157" s="1"/>
  <c r="L10" i="157"/>
  <c r="N10" i="157" s="1"/>
  <c r="M27" i="157"/>
  <c r="N27" i="161" l="1"/>
  <c r="N27" i="160"/>
  <c r="L27" i="159"/>
  <c r="N7" i="159"/>
  <c r="N27" i="159" s="1"/>
  <c r="L27" i="158"/>
  <c r="N7" i="158"/>
  <c r="N27" i="158" s="1"/>
  <c r="N7" i="157"/>
  <c r="M11" i="156" l="1"/>
  <c r="D11" i="157" s="1"/>
  <c r="L11" i="157" s="1"/>
  <c r="N11" i="157" s="1"/>
  <c r="M9" i="156"/>
  <c r="D9" i="157" s="1"/>
  <c r="L9" i="157" s="1"/>
  <c r="L27" i="157" l="1"/>
  <c r="N9" i="157"/>
  <c r="N27" i="157" s="1"/>
  <c r="M27" i="156"/>
  <c r="D10" i="156"/>
  <c r="L10" i="156" s="1"/>
  <c r="N10" i="156" s="1"/>
  <c r="D8" i="156"/>
  <c r="L8" i="156" s="1"/>
  <c r="N8" i="156" s="1"/>
  <c r="D9" i="156"/>
  <c r="L9" i="156" s="1"/>
  <c r="D11" i="156"/>
  <c r="L11" i="156" s="1"/>
  <c r="N11" i="156" s="1"/>
  <c r="D12" i="156"/>
  <c r="L12" i="156" s="1"/>
  <c r="N12" i="156" s="1"/>
  <c r="D13" i="156"/>
  <c r="L13" i="156" s="1"/>
  <c r="N13" i="156" s="1"/>
  <c r="D14" i="156"/>
  <c r="L14" i="156" s="1"/>
  <c r="N14" i="156" s="1"/>
  <c r="D15" i="156"/>
  <c r="L15" i="156" s="1"/>
  <c r="N15" i="156" s="1"/>
  <c r="D16" i="156"/>
  <c r="L16" i="156" s="1"/>
  <c r="N16" i="156" s="1"/>
  <c r="D17" i="156"/>
  <c r="L17" i="156" s="1"/>
  <c r="N17" i="156" s="1"/>
  <c r="D18" i="156"/>
  <c r="L18" i="156" s="1"/>
  <c r="N18" i="156" s="1"/>
  <c r="D19" i="156"/>
  <c r="L19" i="156" s="1"/>
  <c r="N19" i="156" s="1"/>
  <c r="D20" i="156"/>
  <c r="L20" i="156" s="1"/>
  <c r="N20" i="156" s="1"/>
  <c r="D21" i="156"/>
  <c r="L21" i="156" s="1"/>
  <c r="N21" i="156" s="1"/>
  <c r="D22" i="156"/>
  <c r="L22" i="156" s="1"/>
  <c r="N22" i="156" s="1"/>
  <c r="D23" i="156"/>
  <c r="D24" i="156"/>
  <c r="D25" i="156"/>
  <c r="D26" i="156"/>
  <c r="D7" i="156"/>
  <c r="L7" i="156" s="1"/>
  <c r="D4" i="156"/>
  <c r="E4" i="156" s="1"/>
  <c r="K27" i="156"/>
  <c r="J27" i="156"/>
  <c r="I27" i="156"/>
  <c r="H27" i="156"/>
  <c r="G27" i="156"/>
  <c r="F27" i="156"/>
  <c r="N26" i="156"/>
  <c r="N25" i="156"/>
  <c r="N24" i="156"/>
  <c r="N23" i="156"/>
  <c r="E27" i="156"/>
  <c r="N9" i="156" l="1"/>
  <c r="L27" i="156"/>
  <c r="N7" i="156"/>
  <c r="N27" i="156" s="1"/>
  <c r="E15" i="155"/>
  <c r="E27" i="155" s="1"/>
  <c r="D8" i="155"/>
  <c r="L8" i="155" s="1"/>
  <c r="N8" i="155" s="1"/>
  <c r="D9" i="155"/>
  <c r="L9" i="155" s="1"/>
  <c r="N9" i="155" s="1"/>
  <c r="D10" i="155"/>
  <c r="L10" i="155" s="1"/>
  <c r="N10" i="155" s="1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N20" i="155" s="1"/>
  <c r="D21" i="155"/>
  <c r="L21" i="155" s="1"/>
  <c r="N21" i="155" s="1"/>
  <c r="D22" i="155"/>
  <c r="L22" i="155" s="1"/>
  <c r="N22" i="155" s="1"/>
  <c r="D23" i="155"/>
  <c r="D24" i="155"/>
  <c r="D25" i="155"/>
  <c r="D26" i="155"/>
  <c r="D7" i="155"/>
  <c r="L7" i="155" s="1"/>
  <c r="D4" i="155"/>
  <c r="E4" i="155" s="1"/>
  <c r="M27" i="155"/>
  <c r="K27" i="155"/>
  <c r="J27" i="155"/>
  <c r="I27" i="155"/>
  <c r="H27" i="155"/>
  <c r="G27" i="155"/>
  <c r="F27" i="155"/>
  <c r="N26" i="155"/>
  <c r="N25" i="155"/>
  <c r="N24" i="155"/>
  <c r="N23" i="155"/>
  <c r="L27" i="155" l="1"/>
  <c r="N7" i="155"/>
  <c r="N27" i="155" s="1"/>
  <c r="E11" i="154"/>
  <c r="D4" i="154" l="1"/>
  <c r="E4" i="154" s="1"/>
  <c r="D8" i="154"/>
  <c r="L8" i="154" s="1"/>
  <c r="N8" i="154" s="1"/>
  <c r="D10" i="154"/>
  <c r="L10" i="154" s="1"/>
  <c r="N10" i="154" s="1"/>
  <c r="D11" i="154"/>
  <c r="L11" i="154" s="1"/>
  <c r="N11" i="154" s="1"/>
  <c r="D12" i="154"/>
  <c r="L12" i="154" s="1"/>
  <c r="N12" i="154" s="1"/>
  <c r="D13" i="154"/>
  <c r="L13" i="154" s="1"/>
  <c r="N13" i="154" s="1"/>
  <c r="D14" i="154"/>
  <c r="L14" i="154" s="1"/>
  <c r="N14" i="154" s="1"/>
  <c r="D15" i="154"/>
  <c r="L15" i="154" s="1"/>
  <c r="N15" i="154" s="1"/>
  <c r="D17" i="154"/>
  <c r="L17" i="154" s="1"/>
  <c r="N17" i="154" s="1"/>
  <c r="D18" i="154"/>
  <c r="L18" i="154" s="1"/>
  <c r="N18" i="154" s="1"/>
  <c r="D19" i="154"/>
  <c r="L19" i="154" s="1"/>
  <c r="N19" i="154" s="1"/>
  <c r="D20" i="154"/>
  <c r="L20" i="154" s="1"/>
  <c r="N20" i="154" s="1"/>
  <c r="D21" i="154"/>
  <c r="L21" i="154" s="1"/>
  <c r="N21" i="154" s="1"/>
  <c r="D22" i="154"/>
  <c r="L22" i="154" s="1"/>
  <c r="N22" i="154" s="1"/>
  <c r="D23" i="154"/>
  <c r="D24" i="154"/>
  <c r="D25" i="154"/>
  <c r="D26" i="154"/>
  <c r="D7" i="154"/>
  <c r="L7" i="154" s="1"/>
  <c r="K27" i="154"/>
  <c r="J27" i="154"/>
  <c r="I27" i="154"/>
  <c r="H27" i="154"/>
  <c r="G27" i="154"/>
  <c r="F27" i="154"/>
  <c r="N26" i="154"/>
  <c r="N25" i="154"/>
  <c r="N24" i="154"/>
  <c r="N23" i="154"/>
  <c r="M27" i="154"/>
  <c r="E27" i="154"/>
  <c r="N7" i="154" l="1"/>
  <c r="M16" i="153"/>
  <c r="D16" i="154" s="1"/>
  <c r="L16" i="154" s="1"/>
  <c r="N16" i="154" s="1"/>
  <c r="M9" i="153"/>
  <c r="D9" i="154" s="1"/>
  <c r="L9" i="154" s="1"/>
  <c r="N9" i="154" s="1"/>
  <c r="E21" i="153"/>
  <c r="E8" i="153"/>
  <c r="N27" i="154" l="1"/>
  <c r="L27" i="154"/>
  <c r="D4" i="153"/>
  <c r="E4" i="153" s="1"/>
  <c r="D8" i="153"/>
  <c r="D9" i="153"/>
  <c r="D10" i="153"/>
  <c r="D12" i="153"/>
  <c r="D13" i="153"/>
  <c r="D14" i="153"/>
  <c r="D15" i="153"/>
  <c r="D17" i="153"/>
  <c r="D18" i="153"/>
  <c r="D19" i="153"/>
  <c r="D21" i="153"/>
  <c r="D22" i="153"/>
  <c r="L22" i="153" s="1"/>
  <c r="N22" i="153" s="1"/>
  <c r="D23" i="153"/>
  <c r="D24" i="153"/>
  <c r="D25" i="153"/>
  <c r="D26" i="153"/>
  <c r="M11" i="152"/>
  <c r="D11" i="153" s="1"/>
  <c r="L11" i="153" s="1"/>
  <c r="N11" i="153" s="1"/>
  <c r="K27" i="153"/>
  <c r="J27" i="153"/>
  <c r="I27" i="153"/>
  <c r="H27" i="153"/>
  <c r="G27" i="153"/>
  <c r="F27" i="153"/>
  <c r="E27" i="153"/>
  <c r="N26" i="153"/>
  <c r="N25" i="153"/>
  <c r="N24" i="153"/>
  <c r="N23" i="153"/>
  <c r="L21" i="153"/>
  <c r="N21" i="153" s="1"/>
  <c r="L19" i="153"/>
  <c r="N19" i="153" s="1"/>
  <c r="L18" i="153"/>
  <c r="N18" i="153" s="1"/>
  <c r="L17" i="153"/>
  <c r="N17" i="153" s="1"/>
  <c r="L15" i="153"/>
  <c r="N15" i="153" s="1"/>
  <c r="L14" i="153"/>
  <c r="N14" i="153" s="1"/>
  <c r="L13" i="153"/>
  <c r="N13" i="153" s="1"/>
  <c r="L12" i="153"/>
  <c r="N12" i="153" s="1"/>
  <c r="L10" i="153"/>
  <c r="N10" i="153" s="1"/>
  <c r="L9" i="153"/>
  <c r="N9" i="153" s="1"/>
  <c r="L8" i="153"/>
  <c r="N8" i="153" s="1"/>
  <c r="M27" i="153"/>
  <c r="M7" i="152" l="1"/>
  <c r="D7" i="153" s="1"/>
  <c r="L7" i="153" s="1"/>
  <c r="M16" i="152"/>
  <c r="D16" i="153" s="1"/>
  <c r="L16" i="153" s="1"/>
  <c r="N16" i="153" s="1"/>
  <c r="M20" i="152"/>
  <c r="D20" i="153" s="1"/>
  <c r="L20" i="153" s="1"/>
  <c r="N20" i="153" s="1"/>
  <c r="L27" i="153" l="1"/>
  <c r="N7" i="153"/>
  <c r="N27" i="153" s="1"/>
  <c r="D8" i="152"/>
  <c r="L8" i="152" s="1"/>
  <c r="N8" i="152" s="1"/>
  <c r="D10" i="152"/>
  <c r="D11" i="152"/>
  <c r="L11" i="152" s="1"/>
  <c r="N11" i="152" s="1"/>
  <c r="D12" i="152"/>
  <c r="L12" i="152" s="1"/>
  <c r="N12" i="152" s="1"/>
  <c r="D13" i="152"/>
  <c r="L13" i="152" s="1"/>
  <c r="N13" i="152" s="1"/>
  <c r="D17" i="152"/>
  <c r="L17" i="152" s="1"/>
  <c r="N17" i="152" s="1"/>
  <c r="D18" i="152"/>
  <c r="L18" i="152" s="1"/>
  <c r="N18" i="152" s="1"/>
  <c r="D19" i="152"/>
  <c r="L19" i="152" s="1"/>
  <c r="N19" i="152" s="1"/>
  <c r="D20" i="152"/>
  <c r="L20" i="152" s="1"/>
  <c r="N20" i="152" s="1"/>
  <c r="D21" i="152"/>
  <c r="L21" i="152" s="1"/>
  <c r="N21" i="152" s="1"/>
  <c r="D22" i="152"/>
  <c r="L22" i="152" s="1"/>
  <c r="N22" i="152" s="1"/>
  <c r="D23" i="152"/>
  <c r="D24" i="152"/>
  <c r="D25" i="152"/>
  <c r="D26" i="152"/>
  <c r="M16" i="151"/>
  <c r="D16" i="152" s="1"/>
  <c r="L16" i="152" s="1"/>
  <c r="M9" i="151"/>
  <c r="D9" i="152" s="1"/>
  <c r="L9" i="152" s="1"/>
  <c r="M14" i="151"/>
  <c r="D14" i="152" s="1"/>
  <c r="L14" i="152" s="1"/>
  <c r="N14" i="152" s="1"/>
  <c r="M15" i="151"/>
  <c r="D15" i="152" s="1"/>
  <c r="L15" i="152" s="1"/>
  <c r="N15" i="152" s="1"/>
  <c r="D4" i="152"/>
  <c r="E4" i="152" s="1"/>
  <c r="D4" i="151"/>
  <c r="E4" i="151" s="1"/>
  <c r="L10" i="152"/>
  <c r="N10" i="152" s="1"/>
  <c r="D7" i="152"/>
  <c r="L7" i="152" s="1"/>
  <c r="M27" i="152"/>
  <c r="K27" i="152"/>
  <c r="J27" i="152"/>
  <c r="I27" i="152"/>
  <c r="H27" i="152"/>
  <c r="G27" i="152"/>
  <c r="F27" i="152"/>
  <c r="E27" i="152"/>
  <c r="N26" i="152"/>
  <c r="N25" i="152"/>
  <c r="N24" i="152"/>
  <c r="N23" i="152"/>
  <c r="D8" i="151"/>
  <c r="L8" i="151" s="1"/>
  <c r="N8" i="151" s="1"/>
  <c r="D10" i="151"/>
  <c r="L10" i="151" s="1"/>
  <c r="N10" i="151" s="1"/>
  <c r="D11" i="151"/>
  <c r="L11" i="151" s="1"/>
  <c r="N11" i="151" s="1"/>
  <c r="D13" i="151"/>
  <c r="L13" i="151" s="1"/>
  <c r="N13" i="151" s="1"/>
  <c r="D14" i="151"/>
  <c r="L14" i="151" s="1"/>
  <c r="D15" i="151"/>
  <c r="L15" i="151" s="1"/>
  <c r="D16" i="151"/>
  <c r="L16" i="151" s="1"/>
  <c r="D17" i="151"/>
  <c r="L17" i="151" s="1"/>
  <c r="N17" i="151" s="1"/>
  <c r="D18" i="151"/>
  <c r="L18" i="151" s="1"/>
  <c r="N18" i="151" s="1"/>
  <c r="D19" i="151"/>
  <c r="L19" i="151" s="1"/>
  <c r="N19" i="151" s="1"/>
  <c r="D20" i="151"/>
  <c r="L20" i="151" s="1"/>
  <c r="N20" i="151" s="1"/>
  <c r="D21" i="151"/>
  <c r="D22" i="151"/>
  <c r="L22" i="151" s="1"/>
  <c r="N22" i="151" s="1"/>
  <c r="D23" i="151"/>
  <c r="D24" i="151"/>
  <c r="D25" i="151"/>
  <c r="D26" i="151"/>
  <c r="D7" i="151"/>
  <c r="L7" i="151" s="1"/>
  <c r="K27" i="151"/>
  <c r="J27" i="151"/>
  <c r="I27" i="151"/>
  <c r="H27" i="151"/>
  <c r="G27" i="151"/>
  <c r="F27" i="151"/>
  <c r="E27" i="151"/>
  <c r="N26" i="151"/>
  <c r="N25" i="151"/>
  <c r="N24" i="151"/>
  <c r="N23" i="151"/>
  <c r="L21" i="151"/>
  <c r="N21" i="151" s="1"/>
  <c r="N15" i="151" l="1"/>
  <c r="M27" i="151"/>
  <c r="N16" i="151"/>
  <c r="N14" i="151"/>
  <c r="N16" i="152"/>
  <c r="N9" i="152"/>
  <c r="L27" i="152"/>
  <c r="N7" i="152"/>
  <c r="N7" i="151"/>
  <c r="M9" i="150"/>
  <c r="D9" i="151" s="1"/>
  <c r="L9" i="151" s="1"/>
  <c r="N9" i="151" s="1"/>
  <c r="N27" i="152" l="1"/>
  <c r="M12" i="150"/>
  <c r="D12" i="151" s="1"/>
  <c r="L12" i="151" s="1"/>
  <c r="N12" i="151" s="1"/>
  <c r="N27" i="151" s="1"/>
  <c r="D8" i="150"/>
  <c r="L8" i="150" s="1"/>
  <c r="N8" i="150" s="1"/>
  <c r="D9" i="150"/>
  <c r="L9" i="150" s="1"/>
  <c r="N9" i="150" s="1"/>
  <c r="D10" i="150"/>
  <c r="D11" i="150"/>
  <c r="L11" i="150" s="1"/>
  <c r="N11" i="150" s="1"/>
  <c r="D13" i="150"/>
  <c r="L13" i="150" s="1"/>
  <c r="N13" i="150" s="1"/>
  <c r="D14" i="150"/>
  <c r="L14" i="150" s="1"/>
  <c r="N14" i="150" s="1"/>
  <c r="D15" i="150"/>
  <c r="L15" i="150" s="1"/>
  <c r="N15" i="150" s="1"/>
  <c r="D16" i="150"/>
  <c r="L16" i="150" s="1"/>
  <c r="N16" i="150" s="1"/>
  <c r="D17" i="150"/>
  <c r="L17" i="150" s="1"/>
  <c r="N17" i="150" s="1"/>
  <c r="D18" i="150"/>
  <c r="L18" i="150" s="1"/>
  <c r="N18" i="150" s="1"/>
  <c r="D19" i="150"/>
  <c r="L19" i="150" s="1"/>
  <c r="N19" i="150" s="1"/>
  <c r="D20" i="150"/>
  <c r="L20" i="150" s="1"/>
  <c r="N20" i="150" s="1"/>
  <c r="D21" i="150"/>
  <c r="L21" i="150" s="1"/>
  <c r="N21" i="150" s="1"/>
  <c r="D22" i="150"/>
  <c r="D23" i="150"/>
  <c r="D24" i="150"/>
  <c r="D25" i="150"/>
  <c r="D26" i="150"/>
  <c r="D7" i="150"/>
  <c r="L7" i="150" s="1"/>
  <c r="D4" i="150"/>
  <c r="E4" i="150" s="1"/>
  <c r="D4" i="149"/>
  <c r="E4" i="149" s="1"/>
  <c r="K27" i="150"/>
  <c r="J27" i="150"/>
  <c r="I27" i="150"/>
  <c r="H27" i="150"/>
  <c r="G27" i="150"/>
  <c r="F27" i="150"/>
  <c r="N26" i="150"/>
  <c r="N25" i="150"/>
  <c r="N24" i="150"/>
  <c r="N23" i="150"/>
  <c r="L22" i="150"/>
  <c r="N22" i="150" s="1"/>
  <c r="E27" i="150"/>
  <c r="M27" i="150"/>
  <c r="L10" i="150"/>
  <c r="N10" i="150" s="1"/>
  <c r="L27" i="151" l="1"/>
  <c r="N7" i="150"/>
  <c r="M12" i="149"/>
  <c r="D12" i="150" s="1"/>
  <c r="L12" i="150" s="1"/>
  <c r="N12" i="150" s="1"/>
  <c r="E21" i="149"/>
  <c r="F18" i="148"/>
  <c r="D8" i="149"/>
  <c r="L8" i="149" s="1"/>
  <c r="N8" i="149" s="1"/>
  <c r="D10" i="149"/>
  <c r="L10" i="149" s="1"/>
  <c r="N10" i="149" s="1"/>
  <c r="D12" i="149"/>
  <c r="L12" i="149" s="1"/>
  <c r="D13" i="149"/>
  <c r="L13" i="149" s="1"/>
  <c r="N13" i="149" s="1"/>
  <c r="D14" i="149"/>
  <c r="L14" i="149" s="1"/>
  <c r="N14" i="149" s="1"/>
  <c r="D15" i="149"/>
  <c r="L15" i="149" s="1"/>
  <c r="N15" i="149" s="1"/>
  <c r="D16" i="149"/>
  <c r="L16" i="149" s="1"/>
  <c r="N16" i="149" s="1"/>
  <c r="D17" i="149"/>
  <c r="L17" i="149" s="1"/>
  <c r="N17" i="149" s="1"/>
  <c r="D18" i="149"/>
  <c r="L18" i="149" s="1"/>
  <c r="N18" i="149" s="1"/>
  <c r="D19" i="149"/>
  <c r="L19" i="149" s="1"/>
  <c r="N19" i="149" s="1"/>
  <c r="D20" i="149"/>
  <c r="L20" i="149" s="1"/>
  <c r="N20" i="149" s="1"/>
  <c r="D21" i="149"/>
  <c r="D22" i="149"/>
  <c r="L22" i="149" s="1"/>
  <c r="N22" i="149" s="1"/>
  <c r="D23" i="149"/>
  <c r="D24" i="149"/>
  <c r="D25" i="149"/>
  <c r="D26" i="149"/>
  <c r="D7" i="149"/>
  <c r="L7" i="149" s="1"/>
  <c r="K27" i="149"/>
  <c r="J27" i="149"/>
  <c r="I27" i="149"/>
  <c r="H27" i="149"/>
  <c r="G27" i="149"/>
  <c r="F27" i="149"/>
  <c r="E27" i="149"/>
  <c r="N26" i="149"/>
  <c r="N25" i="149"/>
  <c r="N24" i="149"/>
  <c r="N23" i="149"/>
  <c r="M27" i="149" l="1"/>
  <c r="L21" i="149"/>
  <c r="N21" i="149" s="1"/>
  <c r="L27" i="150"/>
  <c r="N27" i="150"/>
  <c r="N12" i="149"/>
  <c r="N7" i="149"/>
  <c r="M11" i="148"/>
  <c r="D11" i="149" s="1"/>
  <c r="L11" i="149" s="1"/>
  <c r="N11" i="149" s="1"/>
  <c r="M9" i="148"/>
  <c r="D9" i="149" s="1"/>
  <c r="L9" i="149" s="1"/>
  <c r="N9" i="149" s="1"/>
  <c r="L27" i="149" l="1"/>
  <c r="N27" i="149"/>
  <c r="D8" i="148"/>
  <c r="L8" i="148" s="1"/>
  <c r="N8" i="148" s="1"/>
  <c r="D9" i="148"/>
  <c r="L9" i="148" s="1"/>
  <c r="N9" i="148" s="1"/>
  <c r="D10" i="148"/>
  <c r="L10" i="148" s="1"/>
  <c r="N10" i="148" s="1"/>
  <c r="D11" i="148"/>
  <c r="L11" i="148" s="1"/>
  <c r="N11" i="148" s="1"/>
  <c r="D12" i="148"/>
  <c r="L12" i="148" s="1"/>
  <c r="N12" i="148" s="1"/>
  <c r="D13" i="148"/>
  <c r="L13" i="148" s="1"/>
  <c r="N13" i="148" s="1"/>
  <c r="D14" i="148"/>
  <c r="L14" i="148" s="1"/>
  <c r="N14" i="148" s="1"/>
  <c r="D16" i="148"/>
  <c r="L16" i="148" s="1"/>
  <c r="N16" i="148" s="1"/>
  <c r="D17" i="148"/>
  <c r="L17" i="148" s="1"/>
  <c r="N17" i="148" s="1"/>
  <c r="D18" i="148"/>
  <c r="L18" i="148" s="1"/>
  <c r="D19" i="148"/>
  <c r="L19" i="148" s="1"/>
  <c r="N19" i="148" s="1"/>
  <c r="D20" i="148"/>
  <c r="D22" i="148"/>
  <c r="L22" i="148" s="1"/>
  <c r="N22" i="148" s="1"/>
  <c r="D23" i="148"/>
  <c r="D24" i="148"/>
  <c r="D25" i="148"/>
  <c r="D26" i="148"/>
  <c r="D4" i="148"/>
  <c r="E4" i="148" s="1"/>
  <c r="D7" i="148"/>
  <c r="L7" i="148" s="1"/>
  <c r="K27" i="148"/>
  <c r="J27" i="148"/>
  <c r="I27" i="148"/>
  <c r="H27" i="148"/>
  <c r="G27" i="148"/>
  <c r="F27" i="148"/>
  <c r="N26" i="148"/>
  <c r="N25" i="148"/>
  <c r="N24" i="148"/>
  <c r="N23" i="148"/>
  <c r="L20" i="148"/>
  <c r="N20" i="148" s="1"/>
  <c r="M27" i="148"/>
  <c r="E27" i="148"/>
  <c r="N18" i="148" l="1"/>
  <c r="N7" i="148"/>
  <c r="E22" i="147"/>
  <c r="E9" i="147"/>
  <c r="M21" i="147"/>
  <c r="D21" i="148" s="1"/>
  <c r="L21" i="148" s="1"/>
  <c r="N21" i="148" s="1"/>
  <c r="M15" i="147"/>
  <c r="D15" i="148" s="1"/>
  <c r="L15" i="148" s="1"/>
  <c r="N15" i="148" s="1"/>
  <c r="D8" i="147"/>
  <c r="L8" i="147" s="1"/>
  <c r="N8" i="147" s="1"/>
  <c r="D9" i="147"/>
  <c r="L9" i="147" s="1"/>
  <c r="N9" i="147" s="1"/>
  <c r="D10" i="147"/>
  <c r="L10" i="147" s="1"/>
  <c r="N10" i="147" s="1"/>
  <c r="D11" i="147"/>
  <c r="L11" i="147" s="1"/>
  <c r="N11" i="147" s="1"/>
  <c r="D12" i="147"/>
  <c r="L12" i="147" s="1"/>
  <c r="N12" i="147" s="1"/>
  <c r="D13" i="147"/>
  <c r="L13" i="147" s="1"/>
  <c r="N13" i="147" s="1"/>
  <c r="D14" i="147"/>
  <c r="L14" i="147" s="1"/>
  <c r="N14" i="147" s="1"/>
  <c r="D15" i="147"/>
  <c r="L15" i="147" s="1"/>
  <c r="N15" i="147" s="1"/>
  <c r="D16" i="147"/>
  <c r="L16" i="147" s="1"/>
  <c r="N16" i="147" s="1"/>
  <c r="D17" i="147"/>
  <c r="L17" i="147" s="1"/>
  <c r="N17" i="147" s="1"/>
  <c r="D18" i="147"/>
  <c r="L18" i="147" s="1"/>
  <c r="N18" i="147" s="1"/>
  <c r="D19" i="147"/>
  <c r="L19" i="147" s="1"/>
  <c r="N19" i="147" s="1"/>
  <c r="D20" i="147"/>
  <c r="L20" i="147" s="1"/>
  <c r="N20" i="147" s="1"/>
  <c r="D21" i="147"/>
  <c r="L21" i="147" s="1"/>
  <c r="D22" i="147"/>
  <c r="D23" i="147"/>
  <c r="D24" i="147"/>
  <c r="D25" i="147"/>
  <c r="D26" i="147"/>
  <c r="D7" i="147"/>
  <c r="L7" i="147" s="1"/>
  <c r="D4" i="147"/>
  <c r="E4" i="147" s="1"/>
  <c r="K27" i="147"/>
  <c r="J27" i="147"/>
  <c r="I27" i="147"/>
  <c r="H27" i="147"/>
  <c r="G27" i="147"/>
  <c r="F27" i="147"/>
  <c r="N26" i="147"/>
  <c r="N25" i="147"/>
  <c r="N24" i="147"/>
  <c r="N23" i="147"/>
  <c r="L22" i="147" l="1"/>
  <c r="N22" i="147" s="1"/>
  <c r="M27" i="147"/>
  <c r="N21" i="147"/>
  <c r="E27" i="147"/>
  <c r="L27" i="148"/>
  <c r="N27" i="148"/>
  <c r="L27" i="147"/>
  <c r="N7" i="147"/>
  <c r="D8" i="146"/>
  <c r="L8" i="146" s="1"/>
  <c r="N8" i="146" s="1"/>
  <c r="D9" i="146"/>
  <c r="L9" i="146" s="1"/>
  <c r="N9" i="146" s="1"/>
  <c r="D10" i="146"/>
  <c r="L10" i="146" s="1"/>
  <c r="N10" i="146" s="1"/>
  <c r="D12" i="146"/>
  <c r="L12" i="146" s="1"/>
  <c r="D13" i="146"/>
  <c r="L13" i="146" s="1"/>
  <c r="N13" i="146" s="1"/>
  <c r="D14" i="146"/>
  <c r="L14" i="146" s="1"/>
  <c r="N14" i="146" s="1"/>
  <c r="D15" i="146"/>
  <c r="L15" i="146" s="1"/>
  <c r="N15" i="146" s="1"/>
  <c r="D16" i="146"/>
  <c r="L16" i="146" s="1"/>
  <c r="N16" i="146" s="1"/>
  <c r="D17" i="146"/>
  <c r="L17" i="146" s="1"/>
  <c r="N17" i="146" s="1"/>
  <c r="D18" i="146"/>
  <c r="L18" i="146" s="1"/>
  <c r="N18" i="146" s="1"/>
  <c r="D19" i="146"/>
  <c r="L19" i="146" s="1"/>
  <c r="N19" i="146" s="1"/>
  <c r="D20" i="146"/>
  <c r="L20" i="146" s="1"/>
  <c r="N20" i="146" s="1"/>
  <c r="D21" i="146"/>
  <c r="L21" i="146" s="1"/>
  <c r="N21" i="146" s="1"/>
  <c r="D22" i="146"/>
  <c r="L22" i="146" s="1"/>
  <c r="N22" i="146" s="1"/>
  <c r="D23" i="146"/>
  <c r="D24" i="146"/>
  <c r="D25" i="146"/>
  <c r="D26" i="146"/>
  <c r="D7" i="146"/>
  <c r="L7" i="146" s="1"/>
  <c r="D4" i="146"/>
  <c r="E4" i="146" s="1"/>
  <c r="K27" i="146"/>
  <c r="J27" i="146"/>
  <c r="I27" i="146"/>
  <c r="H27" i="146"/>
  <c r="G27" i="146"/>
  <c r="F27" i="146"/>
  <c r="E27" i="146"/>
  <c r="N26" i="146"/>
  <c r="N25" i="146"/>
  <c r="N24" i="146"/>
  <c r="N23" i="146"/>
  <c r="M27" i="146"/>
  <c r="M11" i="145"/>
  <c r="D11" i="146" s="1"/>
  <c r="L11" i="146" s="1"/>
  <c r="N27" i="147" l="1"/>
  <c r="L27" i="146"/>
  <c r="N11" i="146"/>
  <c r="N12" i="146"/>
  <c r="N7" i="146"/>
  <c r="D8" i="145"/>
  <c r="L8" i="145" s="1"/>
  <c r="N8" i="145" s="1"/>
  <c r="D9" i="145"/>
  <c r="L9" i="145" s="1"/>
  <c r="N9" i="145" s="1"/>
  <c r="D10" i="145"/>
  <c r="L10" i="145" s="1"/>
  <c r="N10" i="145" s="1"/>
  <c r="D11" i="145"/>
  <c r="L11" i="145" s="1"/>
  <c r="N11" i="145" s="1"/>
  <c r="D12" i="145"/>
  <c r="L12" i="145" s="1"/>
  <c r="N12" i="145" s="1"/>
  <c r="D13" i="145"/>
  <c r="L13" i="145" s="1"/>
  <c r="N13" i="145" s="1"/>
  <c r="D14" i="145"/>
  <c r="L14" i="145" s="1"/>
  <c r="N14" i="145" s="1"/>
  <c r="D15" i="145"/>
  <c r="L15" i="145" s="1"/>
  <c r="N15" i="145" s="1"/>
  <c r="D16" i="145"/>
  <c r="L16" i="145" s="1"/>
  <c r="N16" i="145" s="1"/>
  <c r="D17" i="145"/>
  <c r="L17" i="145" s="1"/>
  <c r="N17" i="145" s="1"/>
  <c r="D18" i="145"/>
  <c r="L18" i="145" s="1"/>
  <c r="N18" i="145" s="1"/>
  <c r="D19" i="145"/>
  <c r="L19" i="145" s="1"/>
  <c r="N19" i="145" s="1"/>
  <c r="D20" i="145"/>
  <c r="L20" i="145" s="1"/>
  <c r="N20" i="145" s="1"/>
  <c r="D21" i="145"/>
  <c r="L21" i="145" s="1"/>
  <c r="N21" i="145" s="1"/>
  <c r="D22" i="145"/>
  <c r="L22" i="145" s="1"/>
  <c r="N22" i="145" s="1"/>
  <c r="D23" i="145"/>
  <c r="D24" i="145"/>
  <c r="D25" i="145"/>
  <c r="D26" i="145"/>
  <c r="D7" i="145"/>
  <c r="L7" i="145" s="1"/>
  <c r="D4" i="145"/>
  <c r="E4" i="145" s="1"/>
  <c r="M27" i="145"/>
  <c r="K27" i="145"/>
  <c r="J27" i="145"/>
  <c r="I27" i="145"/>
  <c r="H27" i="145"/>
  <c r="G27" i="145"/>
  <c r="F27" i="145"/>
  <c r="E27" i="145"/>
  <c r="N26" i="145"/>
  <c r="N25" i="145"/>
  <c r="N24" i="145"/>
  <c r="N23" i="145"/>
  <c r="D8" i="144"/>
  <c r="L8" i="144" s="1"/>
  <c r="N8" i="144" s="1"/>
  <c r="D9" i="144"/>
  <c r="L9" i="144" s="1"/>
  <c r="N9" i="144" s="1"/>
  <c r="D10" i="144"/>
  <c r="L10" i="144" s="1"/>
  <c r="N10" i="144" s="1"/>
  <c r="D11" i="144"/>
  <c r="L11" i="144" s="1"/>
  <c r="N11" i="144" s="1"/>
  <c r="D12" i="144"/>
  <c r="L12" i="144" s="1"/>
  <c r="N12" i="144" s="1"/>
  <c r="D13" i="144"/>
  <c r="L13" i="144" s="1"/>
  <c r="N13" i="144" s="1"/>
  <c r="D14" i="144"/>
  <c r="L14" i="144" s="1"/>
  <c r="N14" i="144" s="1"/>
  <c r="D15" i="144"/>
  <c r="L15" i="144" s="1"/>
  <c r="N15" i="144" s="1"/>
  <c r="D16" i="144"/>
  <c r="L16" i="144" s="1"/>
  <c r="N16" i="144" s="1"/>
  <c r="D17" i="144"/>
  <c r="L17" i="144" s="1"/>
  <c r="N17" i="144" s="1"/>
  <c r="D18" i="144"/>
  <c r="L18" i="144" s="1"/>
  <c r="N18" i="144" s="1"/>
  <c r="D19" i="144"/>
  <c r="L19" i="144" s="1"/>
  <c r="N19" i="144" s="1"/>
  <c r="D20" i="144"/>
  <c r="L20" i="144" s="1"/>
  <c r="N20" i="144" s="1"/>
  <c r="D21" i="144"/>
  <c r="D22" i="144"/>
  <c r="L22" i="144" s="1"/>
  <c r="N22" i="144" s="1"/>
  <c r="D23" i="144"/>
  <c r="D24" i="144"/>
  <c r="D25" i="144"/>
  <c r="D26" i="144"/>
  <c r="D7" i="144"/>
  <c r="L7" i="144" s="1"/>
  <c r="D4" i="144"/>
  <c r="E4" i="144" s="1"/>
  <c r="M27" i="144"/>
  <c r="K27" i="144"/>
  <c r="J27" i="144"/>
  <c r="I27" i="144"/>
  <c r="H27" i="144"/>
  <c r="G27" i="144"/>
  <c r="F27" i="144"/>
  <c r="E27" i="144"/>
  <c r="N26" i="144"/>
  <c r="N25" i="144"/>
  <c r="N24" i="144"/>
  <c r="N23" i="144"/>
  <c r="L21" i="144"/>
  <c r="N21" i="144" s="1"/>
  <c r="A17" i="144"/>
  <c r="N27" i="146" l="1"/>
  <c r="L27" i="145"/>
  <c r="N7" i="145"/>
  <c r="N27" i="145" s="1"/>
  <c r="L27" i="144"/>
  <c r="N7" i="144"/>
  <c r="N27" i="144" s="1"/>
  <c r="D8" i="143"/>
  <c r="L8" i="143" s="1"/>
  <c r="N8" i="143" s="1"/>
  <c r="D9" i="143"/>
  <c r="L9" i="143" s="1"/>
  <c r="N9" i="143" s="1"/>
  <c r="D10" i="143"/>
  <c r="L10" i="143" s="1"/>
  <c r="N10" i="143" s="1"/>
  <c r="D11" i="143"/>
  <c r="L11" i="143" s="1"/>
  <c r="N11" i="143" s="1"/>
  <c r="D12" i="143"/>
  <c r="L12" i="143" s="1"/>
  <c r="N12" i="143" s="1"/>
  <c r="D13" i="143"/>
  <c r="L13" i="143" s="1"/>
  <c r="N13" i="143" s="1"/>
  <c r="D14" i="143"/>
  <c r="L14" i="143" s="1"/>
  <c r="N14" i="143" s="1"/>
  <c r="D15" i="143"/>
  <c r="L15" i="143" s="1"/>
  <c r="N15" i="143" s="1"/>
  <c r="D16" i="143"/>
  <c r="L16" i="143" s="1"/>
  <c r="N16" i="143" s="1"/>
  <c r="D17" i="143"/>
  <c r="L17" i="143" s="1"/>
  <c r="N17" i="143" s="1"/>
  <c r="D18" i="143"/>
  <c r="L18" i="143" s="1"/>
  <c r="N18" i="143" s="1"/>
  <c r="D19" i="143"/>
  <c r="L19" i="143" s="1"/>
  <c r="N19" i="143" s="1"/>
  <c r="D20" i="143"/>
  <c r="L20" i="143" s="1"/>
  <c r="N20" i="143" s="1"/>
  <c r="D21" i="143"/>
  <c r="L21" i="143" s="1"/>
  <c r="N21" i="143" s="1"/>
  <c r="D22" i="143"/>
  <c r="L22" i="143" s="1"/>
  <c r="N22" i="143" s="1"/>
  <c r="D23" i="143"/>
  <c r="D24" i="143"/>
  <c r="D25" i="143"/>
  <c r="D26" i="143"/>
  <c r="D7" i="143"/>
  <c r="L7" i="143" s="1"/>
  <c r="D4" i="143"/>
  <c r="E4" i="143" s="1"/>
  <c r="M27" i="143"/>
  <c r="K27" i="143"/>
  <c r="J27" i="143"/>
  <c r="I27" i="143"/>
  <c r="H27" i="143"/>
  <c r="G27" i="143"/>
  <c r="F27" i="143"/>
  <c r="E27" i="143"/>
  <c r="N26" i="143"/>
  <c r="N25" i="143"/>
  <c r="N24" i="143"/>
  <c r="N23" i="143"/>
  <c r="A17" i="143"/>
  <c r="L27" i="143" l="1"/>
  <c r="N7" i="143"/>
  <c r="N27" i="143" s="1"/>
  <c r="D8" i="142"/>
  <c r="L8" i="142" s="1"/>
  <c r="N8" i="142" s="1"/>
  <c r="D9" i="142"/>
  <c r="L9" i="142" s="1"/>
  <c r="N9" i="142" s="1"/>
  <c r="D10" i="142"/>
  <c r="L10" i="142" s="1"/>
  <c r="N10" i="142" s="1"/>
  <c r="D11" i="142"/>
  <c r="L11" i="142" s="1"/>
  <c r="N11" i="142" s="1"/>
  <c r="D12" i="142"/>
  <c r="L12" i="142" s="1"/>
  <c r="N12" i="142" s="1"/>
  <c r="D13" i="142"/>
  <c r="L13" i="142" s="1"/>
  <c r="N13" i="142" s="1"/>
  <c r="D17" i="142"/>
  <c r="L17" i="142" s="1"/>
  <c r="N17" i="142" s="1"/>
  <c r="D18" i="142"/>
  <c r="L18" i="142" s="1"/>
  <c r="N18" i="142" s="1"/>
  <c r="D19" i="142"/>
  <c r="L19" i="142" s="1"/>
  <c r="N19" i="142" s="1"/>
  <c r="D20" i="142"/>
  <c r="L20" i="142" s="1"/>
  <c r="N20" i="142" s="1"/>
  <c r="D21" i="142"/>
  <c r="L21" i="142" s="1"/>
  <c r="N21" i="142" s="1"/>
  <c r="D22" i="142"/>
  <c r="L22" i="142" s="1"/>
  <c r="N22" i="142" s="1"/>
  <c r="D23" i="142"/>
  <c r="D24" i="142"/>
  <c r="D25" i="142"/>
  <c r="D26" i="142"/>
  <c r="D4" i="142"/>
  <c r="E4" i="142" s="1"/>
  <c r="K27" i="142"/>
  <c r="J27" i="142"/>
  <c r="I27" i="142"/>
  <c r="H27" i="142"/>
  <c r="G27" i="142"/>
  <c r="F27" i="142"/>
  <c r="N26" i="142"/>
  <c r="N25" i="142"/>
  <c r="N24" i="142"/>
  <c r="N23" i="142"/>
  <c r="A17" i="142"/>
  <c r="E27" i="142"/>
  <c r="M27" i="142"/>
  <c r="M15" i="141" l="1"/>
  <c r="D15" i="142" s="1"/>
  <c r="L15" i="142" s="1"/>
  <c r="N15" i="142" s="1"/>
  <c r="E9" i="140"/>
  <c r="M16" i="141"/>
  <c r="D16" i="142" s="1"/>
  <c r="L16" i="142" s="1"/>
  <c r="N16" i="142" s="1"/>
  <c r="M14" i="141"/>
  <c r="D14" i="142" s="1"/>
  <c r="L14" i="142" s="1"/>
  <c r="N14" i="142" s="1"/>
  <c r="M7" i="141"/>
  <c r="D7" i="142" s="1"/>
  <c r="L7" i="142" s="1"/>
  <c r="E9" i="141"/>
  <c r="E27" i="141" s="1"/>
  <c r="D8" i="141"/>
  <c r="L8" i="141" s="1"/>
  <c r="N8" i="141" s="1"/>
  <c r="D9" i="141"/>
  <c r="D10" i="141"/>
  <c r="L10" i="141" s="1"/>
  <c r="N10" i="141" s="1"/>
  <c r="D12" i="141"/>
  <c r="L12" i="141" s="1"/>
  <c r="N12" i="141" s="1"/>
  <c r="D13" i="141"/>
  <c r="L13" i="141" s="1"/>
  <c r="N13" i="141" s="1"/>
  <c r="D14" i="141"/>
  <c r="L14" i="141" s="1"/>
  <c r="N14" i="141" s="1"/>
  <c r="D15" i="141"/>
  <c r="L15" i="141" s="1"/>
  <c r="N15" i="141" s="1"/>
  <c r="D16" i="141"/>
  <c r="L16" i="141" s="1"/>
  <c r="D17" i="141"/>
  <c r="L17" i="141" s="1"/>
  <c r="N17" i="141" s="1"/>
  <c r="D18" i="141"/>
  <c r="L18" i="141" s="1"/>
  <c r="N18" i="141" s="1"/>
  <c r="D19" i="141"/>
  <c r="L19" i="141" s="1"/>
  <c r="N19" i="141" s="1"/>
  <c r="D21" i="141"/>
  <c r="L21" i="141" s="1"/>
  <c r="N21" i="141" s="1"/>
  <c r="D22" i="141"/>
  <c r="L22" i="141" s="1"/>
  <c r="N22" i="141" s="1"/>
  <c r="D23" i="141"/>
  <c r="D24" i="141"/>
  <c r="D25" i="141"/>
  <c r="D26" i="141"/>
  <c r="D7" i="141"/>
  <c r="L7" i="141" s="1"/>
  <c r="D4" i="141"/>
  <c r="E4" i="141" s="1"/>
  <c r="K27" i="141"/>
  <c r="J27" i="141"/>
  <c r="I27" i="141"/>
  <c r="H27" i="141"/>
  <c r="G27" i="141"/>
  <c r="F27" i="141"/>
  <c r="N26" i="141"/>
  <c r="N25" i="141"/>
  <c r="N24" i="141"/>
  <c r="N23" i="141"/>
  <c r="A17" i="141"/>
  <c r="N16" i="141" l="1"/>
  <c r="M27" i="141"/>
  <c r="L27" i="142"/>
  <c r="N7" i="142"/>
  <c r="N27" i="142" s="1"/>
  <c r="L9" i="141"/>
  <c r="N9" i="141" s="1"/>
  <c r="N7" i="141"/>
  <c r="M20" i="140"/>
  <c r="D20" i="141" s="1"/>
  <c r="L20" i="141" s="1"/>
  <c r="N20" i="141" s="1"/>
  <c r="M11" i="140"/>
  <c r="D11" i="141" s="1"/>
  <c r="L11" i="141" s="1"/>
  <c r="N11" i="141" s="1"/>
  <c r="D8" i="140"/>
  <c r="D9" i="140"/>
  <c r="D10" i="140"/>
  <c r="D11" i="140"/>
  <c r="D12" i="140"/>
  <c r="D13" i="140"/>
  <c r="D14" i="140"/>
  <c r="D15" i="140"/>
  <c r="D16" i="140"/>
  <c r="D17" i="140"/>
  <c r="D19" i="140"/>
  <c r="D20" i="140"/>
  <c r="D21" i="140"/>
  <c r="D22" i="140"/>
  <c r="D23" i="140"/>
  <c r="D24" i="140"/>
  <c r="D25" i="140"/>
  <c r="D26" i="140"/>
  <c r="D7" i="140"/>
  <c r="D4" i="138"/>
  <c r="D4" i="139"/>
  <c r="D4" i="140"/>
  <c r="L27" i="141" l="1"/>
  <c r="N27" i="141"/>
  <c r="K27" i="140"/>
  <c r="J27" i="140"/>
  <c r="I27" i="140"/>
  <c r="H27" i="140"/>
  <c r="G27" i="140"/>
  <c r="F27" i="140"/>
  <c r="E27" i="140"/>
  <c r="N26" i="140"/>
  <c r="N25" i="140"/>
  <c r="N24" i="140"/>
  <c r="N23" i="140"/>
  <c r="L22" i="140"/>
  <c r="N22" i="140" s="1"/>
  <c r="L21" i="140"/>
  <c r="N21" i="140" s="1"/>
  <c r="L20" i="140"/>
  <c r="N20" i="140" s="1"/>
  <c r="L19" i="140"/>
  <c r="N19" i="140" s="1"/>
  <c r="L17" i="140"/>
  <c r="N17" i="140" s="1"/>
  <c r="A17" i="140"/>
  <c r="L16" i="140"/>
  <c r="N16" i="140" s="1"/>
  <c r="L15" i="140"/>
  <c r="N15" i="140" s="1"/>
  <c r="L14" i="140"/>
  <c r="N14" i="140" s="1"/>
  <c r="L13" i="140"/>
  <c r="N13" i="140" s="1"/>
  <c r="L12" i="140"/>
  <c r="N12" i="140" s="1"/>
  <c r="L11" i="140"/>
  <c r="N11" i="140" s="1"/>
  <c r="L10" i="140"/>
  <c r="N10" i="140" s="1"/>
  <c r="L9" i="140"/>
  <c r="N9" i="140" s="1"/>
  <c r="L8" i="140"/>
  <c r="N8" i="140" s="1"/>
  <c r="M27" i="140"/>
  <c r="L7" i="140"/>
  <c r="E4" i="140"/>
  <c r="N7" i="140" l="1"/>
  <c r="M18" i="139"/>
  <c r="D18" i="140" s="1"/>
  <c r="L18" i="140" s="1"/>
  <c r="N18" i="140" s="1"/>
  <c r="D8" i="139"/>
  <c r="L8" i="139" s="1"/>
  <c r="N8" i="139" s="1"/>
  <c r="D9" i="139"/>
  <c r="L9" i="139" s="1"/>
  <c r="N9" i="139" s="1"/>
  <c r="D10" i="139"/>
  <c r="L10" i="139" s="1"/>
  <c r="N10" i="139" s="1"/>
  <c r="D11" i="139"/>
  <c r="L11" i="139" s="1"/>
  <c r="N11" i="139" s="1"/>
  <c r="D12" i="139"/>
  <c r="L12" i="139" s="1"/>
  <c r="N12" i="139" s="1"/>
  <c r="D13" i="139"/>
  <c r="L13" i="139" s="1"/>
  <c r="N13" i="139" s="1"/>
  <c r="D14" i="139"/>
  <c r="D15" i="139"/>
  <c r="L15" i="139" s="1"/>
  <c r="N15" i="139" s="1"/>
  <c r="D16" i="139"/>
  <c r="L16" i="139" s="1"/>
  <c r="N16" i="139" s="1"/>
  <c r="D17" i="139"/>
  <c r="L17" i="139" s="1"/>
  <c r="N17" i="139" s="1"/>
  <c r="D18" i="139"/>
  <c r="L18" i="139" s="1"/>
  <c r="D19" i="139"/>
  <c r="L19" i="139" s="1"/>
  <c r="N19" i="139" s="1"/>
  <c r="D20" i="139"/>
  <c r="L20" i="139" s="1"/>
  <c r="N20" i="139" s="1"/>
  <c r="D21" i="139"/>
  <c r="L21" i="139" s="1"/>
  <c r="N21" i="139" s="1"/>
  <c r="D22" i="139"/>
  <c r="L22" i="139" s="1"/>
  <c r="N22" i="139" s="1"/>
  <c r="D23" i="139"/>
  <c r="D24" i="139"/>
  <c r="D25" i="139"/>
  <c r="D26" i="139"/>
  <c r="D7" i="139"/>
  <c r="L7" i="139" s="1"/>
  <c r="K27" i="139"/>
  <c r="J27" i="139"/>
  <c r="I27" i="139"/>
  <c r="H27" i="139"/>
  <c r="G27" i="139"/>
  <c r="F27" i="139"/>
  <c r="E27" i="139"/>
  <c r="N26" i="139"/>
  <c r="N25" i="139"/>
  <c r="N24" i="139"/>
  <c r="N23" i="139"/>
  <c r="A17" i="139"/>
  <c r="L14" i="139"/>
  <c r="N14" i="139" s="1"/>
  <c r="E4" i="139"/>
  <c r="D8" i="138"/>
  <c r="L8" i="138" s="1"/>
  <c r="N8" i="138" s="1"/>
  <c r="D9" i="138"/>
  <c r="L9" i="138" s="1"/>
  <c r="N9" i="138" s="1"/>
  <c r="D10" i="138"/>
  <c r="L10" i="138" s="1"/>
  <c r="N10" i="138" s="1"/>
  <c r="D12" i="138"/>
  <c r="L12" i="138" s="1"/>
  <c r="N12" i="138" s="1"/>
  <c r="D13" i="138"/>
  <c r="L13" i="138" s="1"/>
  <c r="N13" i="138" s="1"/>
  <c r="D14" i="138"/>
  <c r="L14" i="138" s="1"/>
  <c r="N14" i="138" s="1"/>
  <c r="D15" i="138"/>
  <c r="L15" i="138" s="1"/>
  <c r="N15" i="138" s="1"/>
  <c r="D16" i="138"/>
  <c r="L16" i="138" s="1"/>
  <c r="N16" i="138" s="1"/>
  <c r="D17" i="138"/>
  <c r="L17" i="138" s="1"/>
  <c r="N17" i="138" s="1"/>
  <c r="D18" i="138"/>
  <c r="L18" i="138" s="1"/>
  <c r="N18" i="138" s="1"/>
  <c r="D19" i="138"/>
  <c r="L19" i="138" s="1"/>
  <c r="N19" i="138" s="1"/>
  <c r="D20" i="138"/>
  <c r="L20" i="138" s="1"/>
  <c r="N20" i="138" s="1"/>
  <c r="D21" i="138"/>
  <c r="L21" i="138" s="1"/>
  <c r="N21" i="138" s="1"/>
  <c r="D22" i="138"/>
  <c r="L22" i="138" s="1"/>
  <c r="N22" i="138" s="1"/>
  <c r="D23" i="138"/>
  <c r="D24" i="138"/>
  <c r="D25" i="138"/>
  <c r="D26" i="138"/>
  <c r="D7" i="138"/>
  <c r="L7" i="138" s="1"/>
  <c r="K27" i="138"/>
  <c r="J27" i="138"/>
  <c r="I27" i="138"/>
  <c r="H27" i="138"/>
  <c r="G27" i="138"/>
  <c r="F27" i="138"/>
  <c r="E27" i="138"/>
  <c r="N26" i="138"/>
  <c r="N25" i="138"/>
  <c r="N24" i="138"/>
  <c r="N23" i="138"/>
  <c r="A17" i="138"/>
  <c r="M27" i="138"/>
  <c r="E4" i="138"/>
  <c r="D8" i="137"/>
  <c r="L8" i="137" s="1"/>
  <c r="N8" i="137" s="1"/>
  <c r="D10" i="137"/>
  <c r="L10" i="137" s="1"/>
  <c r="N10" i="137" s="1"/>
  <c r="D12" i="137"/>
  <c r="L12" i="137" s="1"/>
  <c r="N12" i="137" s="1"/>
  <c r="D13" i="137"/>
  <c r="L13" i="137" s="1"/>
  <c r="N13" i="137" s="1"/>
  <c r="D14" i="137"/>
  <c r="L14" i="137" s="1"/>
  <c r="N14" i="137" s="1"/>
  <c r="D15" i="137"/>
  <c r="L15" i="137" s="1"/>
  <c r="N15" i="137" s="1"/>
  <c r="D16" i="137"/>
  <c r="L16" i="137" s="1"/>
  <c r="N16" i="137" s="1"/>
  <c r="D17" i="137"/>
  <c r="L17" i="137" s="1"/>
  <c r="N17" i="137" s="1"/>
  <c r="D18" i="137"/>
  <c r="L18" i="137" s="1"/>
  <c r="N18" i="137" s="1"/>
  <c r="D19" i="137"/>
  <c r="L19" i="137" s="1"/>
  <c r="N19" i="137" s="1"/>
  <c r="D20" i="137"/>
  <c r="L20" i="137" s="1"/>
  <c r="N20" i="137" s="1"/>
  <c r="D21" i="137"/>
  <c r="L21" i="137" s="1"/>
  <c r="N21" i="137" s="1"/>
  <c r="D22" i="137"/>
  <c r="L22" i="137" s="1"/>
  <c r="N22" i="137" s="1"/>
  <c r="D23" i="137"/>
  <c r="D24" i="137"/>
  <c r="D25" i="137"/>
  <c r="D26" i="137"/>
  <c r="D7" i="137"/>
  <c r="L7" i="137" s="1"/>
  <c r="D4" i="137"/>
  <c r="K27" i="137"/>
  <c r="J27" i="137"/>
  <c r="I27" i="137"/>
  <c r="H27" i="137"/>
  <c r="G27" i="137"/>
  <c r="F27" i="137"/>
  <c r="E27" i="137"/>
  <c r="N26" i="137"/>
  <c r="N25" i="137"/>
  <c r="N24" i="137"/>
  <c r="N23" i="137"/>
  <c r="A17" i="137"/>
  <c r="M11" i="137"/>
  <c r="D11" i="138" s="1"/>
  <c r="L11" i="138" s="1"/>
  <c r="E4" i="137"/>
  <c r="N27" i="140" l="1"/>
  <c r="L27" i="140"/>
  <c r="M27" i="139"/>
  <c r="N18" i="139"/>
  <c r="L27" i="139"/>
  <c r="N7" i="139"/>
  <c r="L27" i="138"/>
  <c r="N7" i="138"/>
  <c r="N11" i="138"/>
  <c r="N7" i="137"/>
  <c r="M27" i="137"/>
  <c r="N27" i="139" l="1"/>
  <c r="N27" i="138"/>
  <c r="M9" i="136"/>
  <c r="D9" i="137" s="1"/>
  <c r="L9" i="137" s="1"/>
  <c r="N9" i="137" l="1"/>
  <c r="M11" i="136"/>
  <c r="D11" i="137" s="1"/>
  <c r="L11" i="137" s="1"/>
  <c r="N11" i="137" s="1"/>
  <c r="D11" i="136"/>
  <c r="L11" i="136" s="1"/>
  <c r="D8" i="136"/>
  <c r="L8" i="136" s="1"/>
  <c r="N8" i="136" s="1"/>
  <c r="D9" i="136"/>
  <c r="L9" i="136" s="1"/>
  <c r="D10" i="136"/>
  <c r="L10" i="136" s="1"/>
  <c r="N10" i="136" s="1"/>
  <c r="D12" i="136"/>
  <c r="L12" i="136" s="1"/>
  <c r="N12" i="136" s="1"/>
  <c r="D13" i="136"/>
  <c r="L13" i="136" s="1"/>
  <c r="N13" i="136" s="1"/>
  <c r="D14" i="136"/>
  <c r="L14" i="136" s="1"/>
  <c r="N14" i="136" s="1"/>
  <c r="D15" i="136"/>
  <c r="L15" i="136" s="1"/>
  <c r="N15" i="136" s="1"/>
  <c r="D16" i="136"/>
  <c r="L16" i="136" s="1"/>
  <c r="N16" i="136" s="1"/>
  <c r="D17" i="136"/>
  <c r="L17" i="136" s="1"/>
  <c r="N17" i="136" s="1"/>
  <c r="D18" i="136"/>
  <c r="L18" i="136" s="1"/>
  <c r="N18" i="136" s="1"/>
  <c r="D19" i="136"/>
  <c r="L19" i="136" s="1"/>
  <c r="N19" i="136" s="1"/>
  <c r="D20" i="136"/>
  <c r="L20" i="136" s="1"/>
  <c r="D21" i="136"/>
  <c r="L21" i="136" s="1"/>
  <c r="N21" i="136" s="1"/>
  <c r="D22" i="136"/>
  <c r="L22" i="136" s="1"/>
  <c r="N22" i="136" s="1"/>
  <c r="D23" i="136"/>
  <c r="D24" i="136"/>
  <c r="D25" i="136"/>
  <c r="D26" i="136"/>
  <c r="D7" i="136"/>
  <c r="L7" i="136" s="1"/>
  <c r="D4" i="136"/>
  <c r="E4" i="136" s="1"/>
  <c r="K27" i="136"/>
  <c r="J27" i="136"/>
  <c r="I27" i="136"/>
  <c r="H27" i="136"/>
  <c r="G27" i="136"/>
  <c r="F27" i="136"/>
  <c r="N26" i="136"/>
  <c r="N25" i="136"/>
  <c r="N24" i="136"/>
  <c r="N23" i="136"/>
  <c r="A17" i="136"/>
  <c r="E27" i="136"/>
  <c r="M27" i="136" l="1"/>
  <c r="N11" i="136"/>
  <c r="L27" i="137"/>
  <c r="N27" i="137"/>
  <c r="N20" i="136"/>
  <c r="L27" i="136"/>
  <c r="N7" i="136"/>
  <c r="N9" i="136"/>
  <c r="N27" i="136" l="1"/>
  <c r="D8" i="131" l="1"/>
  <c r="D9" i="131"/>
  <c r="D10" i="131"/>
  <c r="D11" i="131"/>
  <c r="D12" i="131"/>
  <c r="D13" i="131"/>
  <c r="D14" i="131"/>
  <c r="D15" i="131"/>
  <c r="D16" i="131"/>
  <c r="D17" i="131"/>
  <c r="D18" i="131"/>
  <c r="D19" i="131"/>
  <c r="D20" i="131"/>
  <c r="D21" i="131"/>
  <c r="D22" i="131"/>
  <c r="D23" i="131"/>
  <c r="D24" i="131"/>
  <c r="D25" i="131"/>
  <c r="D26" i="131"/>
  <c r="D8" i="126"/>
  <c r="D9" i="126"/>
  <c r="D10" i="126"/>
  <c r="D11" i="126"/>
  <c r="D12" i="126"/>
  <c r="D13" i="126"/>
  <c r="D14" i="126"/>
  <c r="D15" i="126"/>
  <c r="D16" i="126"/>
  <c r="D17" i="126"/>
  <c r="D18" i="126"/>
  <c r="D19" i="126"/>
  <c r="D20" i="126"/>
  <c r="D21" i="126"/>
  <c r="D22" i="126"/>
  <c r="D23" i="126"/>
  <c r="D24" i="126"/>
  <c r="D25" i="126"/>
  <c r="D26" i="126"/>
  <c r="D8" i="132" l="1"/>
  <c r="D9" i="132"/>
  <c r="D10" i="132"/>
  <c r="D11" i="132"/>
  <c r="D12" i="132"/>
  <c r="D13" i="132"/>
  <c r="D14" i="132"/>
  <c r="D15" i="132"/>
  <c r="D16" i="132"/>
  <c r="D17" i="132"/>
  <c r="D18" i="132"/>
  <c r="D19" i="132"/>
  <c r="D20" i="132"/>
  <c r="D21" i="132"/>
  <c r="D22" i="132"/>
  <c r="D23" i="132"/>
  <c r="D24" i="132"/>
  <c r="D25" i="132"/>
  <c r="D26" i="132"/>
  <c r="M27" i="135" l="1"/>
  <c r="E21" i="135"/>
  <c r="D8" i="134"/>
  <c r="D9" i="134"/>
  <c r="D10" i="134"/>
  <c r="D11" i="134"/>
  <c r="D12" i="134"/>
  <c r="D13" i="134"/>
  <c r="D14" i="134"/>
  <c r="D15" i="134"/>
  <c r="D16" i="134"/>
  <c r="D17" i="134"/>
  <c r="D18" i="134"/>
  <c r="D19" i="134"/>
  <c r="D20" i="134"/>
  <c r="D21" i="134"/>
  <c r="D22" i="134"/>
  <c r="D23" i="134"/>
  <c r="D24" i="134"/>
  <c r="D25" i="134"/>
  <c r="D26" i="134"/>
  <c r="D8" i="133"/>
  <c r="D9" i="133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D26" i="133"/>
  <c r="D4" i="134"/>
  <c r="E4" i="134" s="1"/>
  <c r="D8" i="135"/>
  <c r="L8" i="135" s="1"/>
  <c r="N8" i="135" s="1"/>
  <c r="D9" i="135"/>
  <c r="L9" i="135" s="1"/>
  <c r="N9" i="135" s="1"/>
  <c r="D10" i="135"/>
  <c r="L10" i="135" s="1"/>
  <c r="N10" i="135" s="1"/>
  <c r="D11" i="135"/>
  <c r="L11" i="135" s="1"/>
  <c r="D12" i="135"/>
  <c r="L12" i="135" s="1"/>
  <c r="N12" i="135" s="1"/>
  <c r="D13" i="135"/>
  <c r="L13" i="135" s="1"/>
  <c r="N13" i="135" s="1"/>
  <c r="D14" i="135"/>
  <c r="L14" i="135" s="1"/>
  <c r="N14" i="135" s="1"/>
  <c r="D15" i="135"/>
  <c r="L15" i="135" s="1"/>
  <c r="N15" i="135" s="1"/>
  <c r="D16" i="135"/>
  <c r="L16" i="135" s="1"/>
  <c r="N16" i="135" s="1"/>
  <c r="D17" i="135"/>
  <c r="L17" i="135" s="1"/>
  <c r="N17" i="135" s="1"/>
  <c r="D18" i="135"/>
  <c r="L18" i="135" s="1"/>
  <c r="N18" i="135" s="1"/>
  <c r="D19" i="135"/>
  <c r="L19" i="135" s="1"/>
  <c r="N19" i="135" s="1"/>
  <c r="D20" i="135"/>
  <c r="L20" i="135" s="1"/>
  <c r="N20" i="135" s="1"/>
  <c r="D21" i="135"/>
  <c r="D22" i="135"/>
  <c r="L22" i="135" s="1"/>
  <c r="N22" i="135" s="1"/>
  <c r="D23" i="135"/>
  <c r="D24" i="135"/>
  <c r="D25" i="135"/>
  <c r="D26" i="135"/>
  <c r="D7" i="135"/>
  <c r="L7" i="135" s="1"/>
  <c r="D4" i="135"/>
  <c r="E4" i="135" s="1"/>
  <c r="K27" i="135"/>
  <c r="J27" i="135"/>
  <c r="I27" i="135"/>
  <c r="H27" i="135"/>
  <c r="G27" i="135"/>
  <c r="F27" i="135"/>
  <c r="N26" i="135"/>
  <c r="N25" i="135"/>
  <c r="N24" i="135"/>
  <c r="N23" i="135"/>
  <c r="A17" i="135"/>
  <c r="L21" i="135" l="1"/>
  <c r="N21" i="135" s="1"/>
  <c r="N11" i="135"/>
  <c r="E27" i="135"/>
  <c r="N7" i="135"/>
  <c r="L27" i="135" l="1"/>
  <c r="N27" i="135"/>
  <c r="L8" i="134"/>
  <c r="N8" i="134" s="1"/>
  <c r="L10" i="134"/>
  <c r="N10" i="134" s="1"/>
  <c r="L12" i="134"/>
  <c r="N12" i="134" s="1"/>
  <c r="L14" i="134"/>
  <c r="N14" i="134" s="1"/>
  <c r="L16" i="134"/>
  <c r="N16" i="134" s="1"/>
  <c r="D7" i="134"/>
  <c r="L7" i="134" s="1"/>
  <c r="M27" i="134"/>
  <c r="K27" i="134"/>
  <c r="J27" i="134"/>
  <c r="I27" i="134"/>
  <c r="H27" i="134"/>
  <c r="G27" i="134"/>
  <c r="F27" i="134"/>
  <c r="N26" i="134"/>
  <c r="N25" i="134"/>
  <c r="N24" i="134"/>
  <c r="N23" i="134"/>
  <c r="L22" i="134"/>
  <c r="N22" i="134" s="1"/>
  <c r="L21" i="134"/>
  <c r="N21" i="134" s="1"/>
  <c r="L20" i="134"/>
  <c r="N20" i="134" s="1"/>
  <c r="L19" i="134"/>
  <c r="N19" i="134" s="1"/>
  <c r="L18" i="134"/>
  <c r="N18" i="134" s="1"/>
  <c r="L17" i="134"/>
  <c r="N17" i="134" s="1"/>
  <c r="A17" i="134"/>
  <c r="L15" i="134"/>
  <c r="N15" i="134" s="1"/>
  <c r="L13" i="134"/>
  <c r="N13" i="134" s="1"/>
  <c r="E27" i="134"/>
  <c r="L11" i="134"/>
  <c r="N11" i="134" s="1"/>
  <c r="L9" i="134"/>
  <c r="N9" i="134" s="1"/>
  <c r="L27" i="134" l="1"/>
  <c r="N7" i="134"/>
  <c r="N27" i="134" s="1"/>
  <c r="E21" i="133"/>
  <c r="L8" i="133"/>
  <c r="N8" i="133" s="1"/>
  <c r="L10" i="133"/>
  <c r="N10" i="133" s="1"/>
  <c r="L12" i="133"/>
  <c r="N12" i="133" s="1"/>
  <c r="L14" i="133"/>
  <c r="N14" i="133" s="1"/>
  <c r="L16" i="133"/>
  <c r="N16" i="133" s="1"/>
  <c r="D7" i="133"/>
  <c r="L7" i="133" s="1"/>
  <c r="D4" i="133"/>
  <c r="E4" i="133" s="1"/>
  <c r="M27" i="133"/>
  <c r="K27" i="133"/>
  <c r="J27" i="133"/>
  <c r="I27" i="133"/>
  <c r="H27" i="133"/>
  <c r="G27" i="133"/>
  <c r="F27" i="133"/>
  <c r="N26" i="133"/>
  <c r="N25" i="133"/>
  <c r="N24" i="133"/>
  <c r="N23" i="133"/>
  <c r="L22" i="133"/>
  <c r="N22" i="133" s="1"/>
  <c r="L21" i="133"/>
  <c r="N21" i="133" s="1"/>
  <c r="L20" i="133"/>
  <c r="N20" i="133" s="1"/>
  <c r="L19" i="133"/>
  <c r="N19" i="133" s="1"/>
  <c r="L18" i="133"/>
  <c r="N18" i="133" s="1"/>
  <c r="L17" i="133"/>
  <c r="N17" i="133" s="1"/>
  <c r="A17" i="133"/>
  <c r="L15" i="133"/>
  <c r="N15" i="133" s="1"/>
  <c r="L13" i="133"/>
  <c r="N13" i="133" s="1"/>
  <c r="L11" i="133"/>
  <c r="N11" i="133" s="1"/>
  <c r="L9" i="133"/>
  <c r="N9" i="133" s="1"/>
  <c r="E27" i="133" l="1"/>
  <c r="L27" i="133"/>
  <c r="N7" i="133"/>
  <c r="N27" i="133" s="1"/>
  <c r="L8" i="132"/>
  <c r="N8" i="132" s="1"/>
  <c r="L9" i="132"/>
  <c r="N9" i="132" s="1"/>
  <c r="L10" i="132"/>
  <c r="N10" i="132" s="1"/>
  <c r="L11" i="132"/>
  <c r="N11" i="132" s="1"/>
  <c r="L12" i="132"/>
  <c r="N12" i="132" s="1"/>
  <c r="L13" i="132"/>
  <c r="N13" i="132" s="1"/>
  <c r="L14" i="132"/>
  <c r="N14" i="132" s="1"/>
  <c r="L16" i="132"/>
  <c r="N16" i="132" s="1"/>
  <c r="D7" i="132"/>
  <c r="L7" i="132" s="1"/>
  <c r="D4" i="132"/>
  <c r="E4" i="132" s="1"/>
  <c r="M27" i="132"/>
  <c r="K27" i="132"/>
  <c r="J27" i="132"/>
  <c r="I27" i="132"/>
  <c r="H27" i="132"/>
  <c r="G27" i="132"/>
  <c r="F27" i="132"/>
  <c r="E27" i="132"/>
  <c r="N26" i="132"/>
  <c r="N25" i="132"/>
  <c r="N24" i="132"/>
  <c r="N23" i="132"/>
  <c r="L22" i="132"/>
  <c r="N22" i="132" s="1"/>
  <c r="L21" i="132"/>
  <c r="N21" i="132" s="1"/>
  <c r="L20" i="132"/>
  <c r="N20" i="132" s="1"/>
  <c r="L19" i="132"/>
  <c r="N19" i="132" s="1"/>
  <c r="L18" i="132"/>
  <c r="N18" i="132" s="1"/>
  <c r="L17" i="132"/>
  <c r="N17" i="132" s="1"/>
  <c r="A17" i="132"/>
  <c r="L15" i="132"/>
  <c r="N15" i="132" s="1"/>
  <c r="L8" i="131"/>
  <c r="N8" i="131" s="1"/>
  <c r="L9" i="131"/>
  <c r="N9" i="131" s="1"/>
  <c r="L10" i="131"/>
  <c r="N10" i="131" s="1"/>
  <c r="L11" i="131"/>
  <c r="N11" i="131" s="1"/>
  <c r="L12" i="131"/>
  <c r="N12" i="131" s="1"/>
  <c r="L13" i="131"/>
  <c r="N13" i="131" s="1"/>
  <c r="L14" i="131"/>
  <c r="N14" i="131" s="1"/>
  <c r="L16" i="131"/>
  <c r="N16" i="131" s="1"/>
  <c r="D7" i="131"/>
  <c r="L7" i="131" s="1"/>
  <c r="D4" i="131"/>
  <c r="E4" i="131" s="1"/>
  <c r="M27" i="131"/>
  <c r="K27" i="131"/>
  <c r="J27" i="131"/>
  <c r="I27" i="131"/>
  <c r="H27" i="131"/>
  <c r="G27" i="131"/>
  <c r="F27" i="131"/>
  <c r="E27" i="131"/>
  <c r="N26" i="131"/>
  <c r="N25" i="131"/>
  <c r="N24" i="131"/>
  <c r="N23" i="131"/>
  <c r="L22" i="131"/>
  <c r="N22" i="131" s="1"/>
  <c r="L21" i="131"/>
  <c r="N21" i="131" s="1"/>
  <c r="L20" i="131"/>
  <c r="N20" i="131" s="1"/>
  <c r="L19" i="131"/>
  <c r="N19" i="131" s="1"/>
  <c r="L18" i="131"/>
  <c r="N18" i="131" s="1"/>
  <c r="L17" i="131"/>
  <c r="N17" i="131" s="1"/>
  <c r="A17" i="131"/>
  <c r="L15" i="131"/>
  <c r="N15" i="131" s="1"/>
  <c r="D8" i="130"/>
  <c r="L8" i="130" s="1"/>
  <c r="N8" i="130" s="1"/>
  <c r="D9" i="130"/>
  <c r="L9" i="130" s="1"/>
  <c r="N9" i="130" s="1"/>
  <c r="D10" i="130"/>
  <c r="L10" i="130" s="1"/>
  <c r="N10" i="130" s="1"/>
  <c r="D11" i="130"/>
  <c r="L11" i="130" s="1"/>
  <c r="N11" i="130" s="1"/>
  <c r="D12" i="130"/>
  <c r="L12" i="130" s="1"/>
  <c r="N12" i="130" s="1"/>
  <c r="D13" i="130"/>
  <c r="L13" i="130" s="1"/>
  <c r="N13" i="130" s="1"/>
  <c r="D14" i="130"/>
  <c r="L14" i="130" s="1"/>
  <c r="N14" i="130" s="1"/>
  <c r="D15" i="130"/>
  <c r="L15" i="130" s="1"/>
  <c r="N15" i="130" s="1"/>
  <c r="D16" i="130"/>
  <c r="L16" i="130" s="1"/>
  <c r="N16" i="130" s="1"/>
  <c r="D17" i="130"/>
  <c r="L17" i="130" s="1"/>
  <c r="N17" i="130" s="1"/>
  <c r="D18" i="130"/>
  <c r="L18" i="130" s="1"/>
  <c r="N18" i="130" s="1"/>
  <c r="D19" i="130"/>
  <c r="L19" i="130" s="1"/>
  <c r="N19" i="130" s="1"/>
  <c r="D20" i="130"/>
  <c r="L20" i="130" s="1"/>
  <c r="N20" i="130" s="1"/>
  <c r="D21" i="130"/>
  <c r="L21" i="130" s="1"/>
  <c r="N21" i="130" s="1"/>
  <c r="D22" i="130"/>
  <c r="L22" i="130" s="1"/>
  <c r="N22" i="130" s="1"/>
  <c r="D23" i="130"/>
  <c r="D24" i="130"/>
  <c r="D25" i="130"/>
  <c r="D26" i="130"/>
  <c r="D7" i="130"/>
  <c r="L7" i="130" s="1"/>
  <c r="D4" i="130"/>
  <c r="E4" i="130" s="1"/>
  <c r="D4" i="129"/>
  <c r="M27" i="130"/>
  <c r="K27" i="130"/>
  <c r="J27" i="130"/>
  <c r="I27" i="130"/>
  <c r="H27" i="130"/>
  <c r="G27" i="130"/>
  <c r="F27" i="130"/>
  <c r="N26" i="130"/>
  <c r="N25" i="130"/>
  <c r="N24" i="130"/>
  <c r="N23" i="130"/>
  <c r="A17" i="130"/>
  <c r="E27" i="130"/>
  <c r="L27" i="132" l="1"/>
  <c r="N7" i="132"/>
  <c r="N27" i="132" s="1"/>
  <c r="L27" i="131"/>
  <c r="N7" i="131"/>
  <c r="N27" i="131" s="1"/>
  <c r="L27" i="130"/>
  <c r="N7" i="130"/>
  <c r="N27" i="130" s="1"/>
  <c r="D8" i="129"/>
  <c r="L8" i="129" s="1"/>
  <c r="N8" i="129" s="1"/>
  <c r="D9" i="129"/>
  <c r="L9" i="129" s="1"/>
  <c r="N9" i="129" s="1"/>
  <c r="D10" i="129"/>
  <c r="L10" i="129" s="1"/>
  <c r="N10" i="129" s="1"/>
  <c r="D11" i="129"/>
  <c r="L11" i="129" s="1"/>
  <c r="N11" i="129" s="1"/>
  <c r="D12" i="129"/>
  <c r="L12" i="129" s="1"/>
  <c r="N12" i="129" s="1"/>
  <c r="D13" i="129"/>
  <c r="L13" i="129" s="1"/>
  <c r="N13" i="129" s="1"/>
  <c r="D14" i="129"/>
  <c r="L14" i="129" s="1"/>
  <c r="N14" i="129" s="1"/>
  <c r="D15" i="129"/>
  <c r="L15" i="129" s="1"/>
  <c r="N15" i="129" s="1"/>
  <c r="D16" i="129"/>
  <c r="D17" i="129"/>
  <c r="L17" i="129" s="1"/>
  <c r="N17" i="129" s="1"/>
  <c r="D18" i="129"/>
  <c r="L18" i="129" s="1"/>
  <c r="N18" i="129" s="1"/>
  <c r="D19" i="129"/>
  <c r="L19" i="129" s="1"/>
  <c r="N19" i="129" s="1"/>
  <c r="D20" i="129"/>
  <c r="L20" i="129" s="1"/>
  <c r="N20" i="129" s="1"/>
  <c r="D21" i="129"/>
  <c r="L21" i="129" s="1"/>
  <c r="N21" i="129" s="1"/>
  <c r="D22" i="129"/>
  <c r="L22" i="129" s="1"/>
  <c r="N22" i="129" s="1"/>
  <c r="D23" i="129"/>
  <c r="D24" i="129"/>
  <c r="D25" i="129"/>
  <c r="D26" i="129"/>
  <c r="D7" i="129"/>
  <c r="L7" i="129" s="1"/>
  <c r="E16" i="129"/>
  <c r="E27" i="129" s="1"/>
  <c r="M27" i="129"/>
  <c r="K27" i="129"/>
  <c r="J27" i="129"/>
  <c r="I27" i="129"/>
  <c r="H27" i="129"/>
  <c r="G27" i="129"/>
  <c r="F27" i="129"/>
  <c r="N26" i="129"/>
  <c r="N25" i="129"/>
  <c r="N24" i="129"/>
  <c r="N23" i="129"/>
  <c r="A17" i="129"/>
  <c r="E4" i="129"/>
  <c r="L16" i="129" l="1"/>
  <c r="N16" i="129" s="1"/>
  <c r="N7" i="129"/>
  <c r="D8" i="128"/>
  <c r="D9" i="128"/>
  <c r="L9" i="128" s="1"/>
  <c r="N9" i="128" s="1"/>
  <c r="D10" i="128"/>
  <c r="L10" i="128" s="1"/>
  <c r="N10" i="128" s="1"/>
  <c r="D11" i="128"/>
  <c r="L11" i="128" s="1"/>
  <c r="N11" i="128" s="1"/>
  <c r="D12" i="128"/>
  <c r="L12" i="128" s="1"/>
  <c r="N12" i="128" s="1"/>
  <c r="D13" i="128"/>
  <c r="L13" i="128" s="1"/>
  <c r="N13" i="128" s="1"/>
  <c r="D14" i="128"/>
  <c r="L14" i="128" s="1"/>
  <c r="N14" i="128" s="1"/>
  <c r="D15" i="128"/>
  <c r="L15" i="128" s="1"/>
  <c r="N15" i="128" s="1"/>
  <c r="D16" i="128"/>
  <c r="L16" i="128" s="1"/>
  <c r="N16" i="128" s="1"/>
  <c r="D17" i="128"/>
  <c r="L17" i="128" s="1"/>
  <c r="N17" i="128" s="1"/>
  <c r="D18" i="128"/>
  <c r="L18" i="128" s="1"/>
  <c r="N18" i="128" s="1"/>
  <c r="D19" i="128"/>
  <c r="L19" i="128" s="1"/>
  <c r="N19" i="128" s="1"/>
  <c r="D20" i="128"/>
  <c r="L20" i="128" s="1"/>
  <c r="N20" i="128" s="1"/>
  <c r="D21" i="128"/>
  <c r="L21" i="128" s="1"/>
  <c r="N21" i="128" s="1"/>
  <c r="D22" i="128"/>
  <c r="D23" i="128"/>
  <c r="D24" i="128"/>
  <c r="D25" i="128"/>
  <c r="D26" i="128"/>
  <c r="E22" i="128"/>
  <c r="E27" i="128" s="1"/>
  <c r="L8" i="128"/>
  <c r="N8" i="128" s="1"/>
  <c r="D7" i="128"/>
  <c r="L7" i="128" s="1"/>
  <c r="D4" i="128"/>
  <c r="E4" i="128" s="1"/>
  <c r="M27" i="128"/>
  <c r="K27" i="128"/>
  <c r="J27" i="128"/>
  <c r="I27" i="128"/>
  <c r="H27" i="128"/>
  <c r="G27" i="128"/>
  <c r="F27" i="128"/>
  <c r="N26" i="128"/>
  <c r="N25" i="128"/>
  <c r="N24" i="128"/>
  <c r="N23" i="128"/>
  <c r="A17" i="128"/>
  <c r="L22" i="128" l="1"/>
  <c r="N22" i="128" s="1"/>
  <c r="N27" i="129"/>
  <c r="L27" i="129"/>
  <c r="N7" i="128"/>
  <c r="D9" i="127"/>
  <c r="L9" i="127" s="1"/>
  <c r="N9" i="127" s="1"/>
  <c r="D10" i="127"/>
  <c r="L10" i="127" s="1"/>
  <c r="N10" i="127" s="1"/>
  <c r="D13" i="127"/>
  <c r="L13" i="127" s="1"/>
  <c r="N13" i="127" s="1"/>
  <c r="D14" i="127"/>
  <c r="L14" i="127" s="1"/>
  <c r="N14" i="127" s="1"/>
  <c r="D16" i="127"/>
  <c r="L16" i="127" s="1"/>
  <c r="N16" i="127" s="1"/>
  <c r="D17" i="127"/>
  <c r="L17" i="127" s="1"/>
  <c r="N17" i="127" s="1"/>
  <c r="D18" i="127"/>
  <c r="L18" i="127" s="1"/>
  <c r="N18" i="127" s="1"/>
  <c r="D19" i="127"/>
  <c r="L19" i="127" s="1"/>
  <c r="N19" i="127" s="1"/>
  <c r="D20" i="127"/>
  <c r="L20" i="127" s="1"/>
  <c r="N20" i="127" s="1"/>
  <c r="D21" i="127"/>
  <c r="L21" i="127" s="1"/>
  <c r="N21" i="127" s="1"/>
  <c r="D22" i="127"/>
  <c r="L22" i="127" s="1"/>
  <c r="N22" i="127" s="1"/>
  <c r="D23" i="127"/>
  <c r="D24" i="127"/>
  <c r="D25" i="127"/>
  <c r="D26" i="127"/>
  <c r="D7" i="127"/>
  <c r="L7" i="127" s="1"/>
  <c r="N7" i="127" s="1"/>
  <c r="D4" i="127"/>
  <c r="E4" i="127" s="1"/>
  <c r="K27" i="127"/>
  <c r="J27" i="127"/>
  <c r="I27" i="127"/>
  <c r="H27" i="127"/>
  <c r="G27" i="127"/>
  <c r="F27" i="127"/>
  <c r="E27" i="127"/>
  <c r="N26" i="127"/>
  <c r="N25" i="127"/>
  <c r="N24" i="127"/>
  <c r="N23" i="127"/>
  <c r="A17" i="127"/>
  <c r="M27" i="127"/>
  <c r="N27" i="128" l="1"/>
  <c r="L27" i="128"/>
  <c r="M15" i="126"/>
  <c r="D15" i="127" s="1"/>
  <c r="L15" i="127" s="1"/>
  <c r="N15" i="127" s="1"/>
  <c r="M12" i="126"/>
  <c r="D12" i="127" s="1"/>
  <c r="L12" i="127" s="1"/>
  <c r="N12" i="127" s="1"/>
  <c r="M11" i="126"/>
  <c r="D11" i="127" s="1"/>
  <c r="L11" i="127" s="1"/>
  <c r="N11" i="127" s="1"/>
  <c r="M8" i="126"/>
  <c r="D8" i="127" s="1"/>
  <c r="L8" i="127" s="1"/>
  <c r="N8" i="127" s="1"/>
  <c r="L8" i="126"/>
  <c r="L9" i="126"/>
  <c r="N9" i="126" s="1"/>
  <c r="L10" i="126"/>
  <c r="N10" i="126" s="1"/>
  <c r="L11" i="126"/>
  <c r="L12" i="126"/>
  <c r="L14" i="126"/>
  <c r="N14" i="126" s="1"/>
  <c r="L15" i="126"/>
  <c r="L16" i="126"/>
  <c r="N16" i="126" s="1"/>
  <c r="L17" i="126"/>
  <c r="N17" i="126" s="1"/>
  <c r="L18" i="126"/>
  <c r="N18" i="126" s="1"/>
  <c r="L20" i="126"/>
  <c r="N20" i="126" s="1"/>
  <c r="L21" i="126"/>
  <c r="N21" i="126" s="1"/>
  <c r="L22" i="126"/>
  <c r="N22" i="126" s="1"/>
  <c r="D7" i="126"/>
  <c r="L7" i="126" s="1"/>
  <c r="D4" i="126"/>
  <c r="E4" i="126" s="1"/>
  <c r="K27" i="126"/>
  <c r="J27" i="126"/>
  <c r="I27" i="126"/>
  <c r="H27" i="126"/>
  <c r="G27" i="126"/>
  <c r="F27" i="126"/>
  <c r="E27" i="126"/>
  <c r="N26" i="126"/>
  <c r="N25" i="126"/>
  <c r="N24" i="126"/>
  <c r="N23" i="126"/>
  <c r="L19" i="126"/>
  <c r="N19" i="126" s="1"/>
  <c r="A17" i="126"/>
  <c r="L13" i="126"/>
  <c r="N13" i="126" s="1"/>
  <c r="N11" i="126" l="1"/>
  <c r="L27" i="127"/>
  <c r="N27" i="127"/>
  <c r="N15" i="126"/>
  <c r="N12" i="126"/>
  <c r="M27" i="126"/>
  <c r="N8" i="126"/>
  <c r="L27" i="126"/>
  <c r="N7" i="126"/>
  <c r="E10" i="116"/>
  <c r="E8" i="124"/>
  <c r="E27" i="124" s="1"/>
  <c r="M15" i="124"/>
  <c r="D8" i="125"/>
  <c r="L8" i="125" s="1"/>
  <c r="N8" i="125" s="1"/>
  <c r="D9" i="125"/>
  <c r="L9" i="125" s="1"/>
  <c r="N9" i="125" s="1"/>
  <c r="D10" i="125"/>
  <c r="L10" i="125" s="1"/>
  <c r="N10" i="125" s="1"/>
  <c r="D11" i="125"/>
  <c r="L11" i="125" s="1"/>
  <c r="N11" i="125" s="1"/>
  <c r="D12" i="125"/>
  <c r="L12" i="125" s="1"/>
  <c r="N12" i="125" s="1"/>
  <c r="D13" i="125"/>
  <c r="L13" i="125" s="1"/>
  <c r="N13" i="125" s="1"/>
  <c r="D14" i="125"/>
  <c r="L14" i="125" s="1"/>
  <c r="N14" i="125" s="1"/>
  <c r="D15" i="125"/>
  <c r="L15" i="125" s="1"/>
  <c r="N15" i="125" s="1"/>
  <c r="D16" i="125"/>
  <c r="L16" i="125" s="1"/>
  <c r="N16" i="125" s="1"/>
  <c r="D17" i="125"/>
  <c r="L17" i="125" s="1"/>
  <c r="N17" i="125" s="1"/>
  <c r="D18" i="125"/>
  <c r="L18" i="125" s="1"/>
  <c r="N18" i="125" s="1"/>
  <c r="D19" i="125"/>
  <c r="L19" i="125" s="1"/>
  <c r="N19" i="125" s="1"/>
  <c r="D20" i="125"/>
  <c r="L20" i="125" s="1"/>
  <c r="N20" i="125" s="1"/>
  <c r="D21" i="125"/>
  <c r="L21" i="125" s="1"/>
  <c r="N21" i="125" s="1"/>
  <c r="D22" i="125"/>
  <c r="L22" i="125" s="1"/>
  <c r="N22" i="125" s="1"/>
  <c r="D23" i="125"/>
  <c r="D24" i="125"/>
  <c r="D25" i="125"/>
  <c r="D26" i="125"/>
  <c r="D7" i="125"/>
  <c r="L7" i="125" s="1"/>
  <c r="D4" i="125"/>
  <c r="E4" i="125" s="1"/>
  <c r="M27" i="125"/>
  <c r="K27" i="125"/>
  <c r="J27" i="125"/>
  <c r="I27" i="125"/>
  <c r="H27" i="125"/>
  <c r="G27" i="125"/>
  <c r="F27" i="125"/>
  <c r="N26" i="125"/>
  <c r="N25" i="125"/>
  <c r="N24" i="125"/>
  <c r="N23" i="125"/>
  <c r="A17" i="125"/>
  <c r="E27" i="125"/>
  <c r="D4" i="124"/>
  <c r="E4" i="124" s="1"/>
  <c r="D8" i="124"/>
  <c r="D9" i="124"/>
  <c r="L9" i="124" s="1"/>
  <c r="N9" i="124" s="1"/>
  <c r="D10" i="124"/>
  <c r="L10" i="124" s="1"/>
  <c r="N10" i="124" s="1"/>
  <c r="D11" i="124"/>
  <c r="L11" i="124" s="1"/>
  <c r="N11" i="124" s="1"/>
  <c r="D12" i="124"/>
  <c r="L12" i="124" s="1"/>
  <c r="N12" i="124" s="1"/>
  <c r="D13" i="124"/>
  <c r="L13" i="124" s="1"/>
  <c r="N13" i="124" s="1"/>
  <c r="D14" i="124"/>
  <c r="L14" i="124" s="1"/>
  <c r="N14" i="124" s="1"/>
  <c r="D15" i="124"/>
  <c r="L15" i="124" s="1"/>
  <c r="D16" i="124"/>
  <c r="L16" i="124" s="1"/>
  <c r="N16" i="124" s="1"/>
  <c r="D17" i="124"/>
  <c r="L17" i="124" s="1"/>
  <c r="N17" i="124" s="1"/>
  <c r="D18" i="124"/>
  <c r="L18" i="124" s="1"/>
  <c r="N18" i="124" s="1"/>
  <c r="D19" i="124"/>
  <c r="L19" i="124" s="1"/>
  <c r="N19" i="124" s="1"/>
  <c r="D20" i="124"/>
  <c r="L20" i="124" s="1"/>
  <c r="N20" i="124" s="1"/>
  <c r="D21" i="124"/>
  <c r="L21" i="124" s="1"/>
  <c r="N21" i="124" s="1"/>
  <c r="D22" i="124"/>
  <c r="L22" i="124" s="1"/>
  <c r="N22" i="124" s="1"/>
  <c r="D23" i="124"/>
  <c r="D24" i="124"/>
  <c r="D25" i="124"/>
  <c r="D26" i="124"/>
  <c r="D7" i="124"/>
  <c r="L7" i="124" s="1"/>
  <c r="M27" i="124"/>
  <c r="K27" i="124"/>
  <c r="J27" i="124"/>
  <c r="I27" i="124"/>
  <c r="H27" i="124"/>
  <c r="G27" i="124"/>
  <c r="F27" i="124"/>
  <c r="N26" i="124"/>
  <c r="N25" i="124"/>
  <c r="N24" i="124"/>
  <c r="N23" i="124"/>
  <c r="A17" i="124"/>
  <c r="D8" i="122"/>
  <c r="L8" i="122" s="1"/>
  <c r="N8" i="122" s="1"/>
  <c r="D9" i="122"/>
  <c r="L9" i="122" s="1"/>
  <c r="N9" i="122" s="1"/>
  <c r="D10" i="122"/>
  <c r="L10" i="122" s="1"/>
  <c r="N10" i="122" s="1"/>
  <c r="D11" i="122"/>
  <c r="L11" i="122" s="1"/>
  <c r="N11" i="122" s="1"/>
  <c r="D12" i="122"/>
  <c r="L12" i="122" s="1"/>
  <c r="N12" i="122" s="1"/>
  <c r="D13" i="122"/>
  <c r="L13" i="122" s="1"/>
  <c r="N13" i="122" s="1"/>
  <c r="D14" i="122"/>
  <c r="L14" i="122" s="1"/>
  <c r="N14" i="122" s="1"/>
  <c r="D15" i="122"/>
  <c r="L15" i="122" s="1"/>
  <c r="N15" i="122" s="1"/>
  <c r="D16" i="122"/>
  <c r="L16" i="122" s="1"/>
  <c r="N16" i="122" s="1"/>
  <c r="D17" i="122"/>
  <c r="L17" i="122" s="1"/>
  <c r="N17" i="122" s="1"/>
  <c r="D18" i="122"/>
  <c r="L18" i="122" s="1"/>
  <c r="N18" i="122" s="1"/>
  <c r="D19" i="122"/>
  <c r="L19" i="122" s="1"/>
  <c r="N19" i="122" s="1"/>
  <c r="D20" i="122"/>
  <c r="L20" i="122" s="1"/>
  <c r="N20" i="122" s="1"/>
  <c r="D21" i="122"/>
  <c r="L21" i="122" s="1"/>
  <c r="N21" i="122" s="1"/>
  <c r="D22" i="122"/>
  <c r="L22" i="122" s="1"/>
  <c r="N22" i="122" s="1"/>
  <c r="D23" i="122"/>
  <c r="D24" i="122"/>
  <c r="D25" i="122"/>
  <c r="D26" i="122"/>
  <c r="D7" i="122"/>
  <c r="L7" i="122" s="1"/>
  <c r="D4" i="122"/>
  <c r="E4" i="122" s="1"/>
  <c r="M27" i="122"/>
  <c r="K27" i="122"/>
  <c r="J27" i="122"/>
  <c r="I27" i="122"/>
  <c r="H27" i="122"/>
  <c r="G27" i="122"/>
  <c r="F27" i="122"/>
  <c r="N26" i="122"/>
  <c r="N25" i="122"/>
  <c r="N24" i="122"/>
  <c r="N23" i="122"/>
  <c r="E27" i="122"/>
  <c r="A17" i="122"/>
  <c r="L8" i="124" l="1"/>
  <c r="N8" i="124" s="1"/>
  <c r="N15" i="124"/>
  <c r="N27" i="126"/>
  <c r="L27" i="125"/>
  <c r="N7" i="125"/>
  <c r="N27" i="125" s="1"/>
  <c r="N7" i="124"/>
  <c r="L27" i="122"/>
  <c r="N7" i="122"/>
  <c r="N27" i="122" s="1"/>
  <c r="E21" i="121"/>
  <c r="D8" i="121"/>
  <c r="D9" i="121"/>
  <c r="D10" i="121"/>
  <c r="D11" i="121"/>
  <c r="D12" i="121"/>
  <c r="D13" i="121"/>
  <c r="D14" i="121"/>
  <c r="D15" i="121"/>
  <c r="D16" i="121"/>
  <c r="D17" i="121"/>
  <c r="D18" i="121"/>
  <c r="D19" i="121"/>
  <c r="D20" i="121"/>
  <c r="D21" i="121"/>
  <c r="D22" i="121"/>
  <c r="D23" i="121"/>
  <c r="D24" i="121"/>
  <c r="D25" i="121"/>
  <c r="D26" i="121"/>
  <c r="D7" i="121"/>
  <c r="L27" i="124" l="1"/>
  <c r="N27" i="124"/>
  <c r="M27" i="121"/>
  <c r="K27" i="121"/>
  <c r="J27" i="121"/>
  <c r="I27" i="121"/>
  <c r="H27" i="121"/>
  <c r="G27" i="121"/>
  <c r="F27" i="121"/>
  <c r="E27" i="121"/>
  <c r="N26" i="121"/>
  <c r="N25" i="121"/>
  <c r="N24" i="121"/>
  <c r="N23" i="121"/>
  <c r="L22" i="121"/>
  <c r="N22" i="121" s="1"/>
  <c r="L21" i="121"/>
  <c r="N21" i="121" s="1"/>
  <c r="L20" i="121"/>
  <c r="N20" i="121" s="1"/>
  <c r="L19" i="121"/>
  <c r="N19" i="121" s="1"/>
  <c r="L18" i="121"/>
  <c r="N18" i="121" s="1"/>
  <c r="L17" i="121"/>
  <c r="N17" i="121" s="1"/>
  <c r="A17" i="121"/>
  <c r="L16" i="121"/>
  <c r="N16" i="121" s="1"/>
  <c r="L15" i="121"/>
  <c r="N15" i="121" s="1"/>
  <c r="L14" i="121"/>
  <c r="N14" i="121" s="1"/>
  <c r="L13" i="121"/>
  <c r="N13" i="121" s="1"/>
  <c r="L12" i="121"/>
  <c r="N12" i="121" s="1"/>
  <c r="L11" i="121"/>
  <c r="N11" i="121" s="1"/>
  <c r="L10" i="121"/>
  <c r="N10" i="121" s="1"/>
  <c r="L9" i="121"/>
  <c r="N9" i="121" s="1"/>
  <c r="L8" i="121"/>
  <c r="N8" i="121" s="1"/>
  <c r="L7" i="121"/>
  <c r="D4" i="121"/>
  <c r="E4" i="121" s="1"/>
  <c r="L27" i="121" l="1"/>
  <c r="N7" i="121"/>
  <c r="N27" i="121" s="1"/>
  <c r="D8" i="120"/>
  <c r="D9" i="120"/>
  <c r="D10" i="120"/>
  <c r="D11" i="120"/>
  <c r="D12" i="120"/>
  <c r="D13" i="120"/>
  <c r="D14" i="120"/>
  <c r="D15" i="120"/>
  <c r="D16" i="120"/>
  <c r="D17" i="120"/>
  <c r="D18" i="120"/>
  <c r="D19" i="120"/>
  <c r="D20" i="120"/>
  <c r="D21" i="120"/>
  <c r="D22" i="120"/>
  <c r="D23" i="120"/>
  <c r="D24" i="120"/>
  <c r="D25" i="120"/>
  <c r="D26" i="120"/>
  <c r="L8" i="120" l="1"/>
  <c r="N8" i="120" s="1"/>
  <c r="L18" i="120"/>
  <c r="N18" i="120" s="1"/>
  <c r="L20" i="120"/>
  <c r="N20" i="120" s="1"/>
  <c r="L22" i="120"/>
  <c r="N22" i="120" s="1"/>
  <c r="D7" i="120"/>
  <c r="L7" i="120" s="1"/>
  <c r="D4" i="120"/>
  <c r="E4" i="120" s="1"/>
  <c r="M27" i="120"/>
  <c r="K27" i="120"/>
  <c r="J27" i="120"/>
  <c r="I27" i="120"/>
  <c r="H27" i="120"/>
  <c r="G27" i="120"/>
  <c r="F27" i="120"/>
  <c r="N26" i="120"/>
  <c r="N25" i="120"/>
  <c r="N24" i="120"/>
  <c r="N23" i="120"/>
  <c r="L21" i="120"/>
  <c r="N21" i="120" s="1"/>
  <c r="L19" i="120"/>
  <c r="N19" i="120" s="1"/>
  <c r="L17" i="120"/>
  <c r="N17" i="120" s="1"/>
  <c r="A17" i="120"/>
  <c r="L16" i="120"/>
  <c r="N16" i="120" s="1"/>
  <c r="L15" i="120"/>
  <c r="N15" i="120" s="1"/>
  <c r="L14" i="120"/>
  <c r="N14" i="120" s="1"/>
  <c r="L13" i="120"/>
  <c r="N13" i="120" s="1"/>
  <c r="L12" i="120"/>
  <c r="N12" i="120" s="1"/>
  <c r="L11" i="120"/>
  <c r="N11" i="120" s="1"/>
  <c r="L10" i="120"/>
  <c r="N10" i="120" s="1"/>
  <c r="E27" i="120"/>
  <c r="L9" i="120"/>
  <c r="N9" i="120" s="1"/>
  <c r="L27" i="120" l="1"/>
  <c r="N7" i="120"/>
  <c r="N27" i="120" s="1"/>
  <c r="E9" i="119"/>
  <c r="D8" i="115"/>
  <c r="D9" i="115"/>
  <c r="D10" i="115"/>
  <c r="D12" i="115"/>
  <c r="D13" i="115"/>
  <c r="D14" i="115"/>
  <c r="D16" i="115"/>
  <c r="D17" i="115"/>
  <c r="D18" i="115"/>
  <c r="D19" i="115"/>
  <c r="D20" i="115"/>
  <c r="D21" i="115"/>
  <c r="D22" i="115"/>
  <c r="D23" i="115"/>
  <c r="D24" i="115"/>
  <c r="D25" i="115"/>
  <c r="D26" i="115"/>
  <c r="D4" i="115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D20" i="118"/>
  <c r="D21" i="118"/>
  <c r="D22" i="118"/>
  <c r="D23" i="118"/>
  <c r="D24" i="118"/>
  <c r="D25" i="118"/>
  <c r="D26" i="118"/>
  <c r="D8" i="119"/>
  <c r="D9" i="119"/>
  <c r="D10" i="119"/>
  <c r="L10" i="119" s="1"/>
  <c r="N10" i="119" s="1"/>
  <c r="D11" i="119"/>
  <c r="L11" i="119" s="1"/>
  <c r="N11" i="119" s="1"/>
  <c r="D12" i="119"/>
  <c r="L12" i="119" s="1"/>
  <c r="N12" i="119" s="1"/>
  <c r="D13" i="119"/>
  <c r="L13" i="119" s="1"/>
  <c r="N13" i="119" s="1"/>
  <c r="D14" i="119"/>
  <c r="L14" i="119" s="1"/>
  <c r="N14" i="119" s="1"/>
  <c r="D15" i="119"/>
  <c r="L15" i="119" s="1"/>
  <c r="N15" i="119" s="1"/>
  <c r="D16" i="119"/>
  <c r="L16" i="119" s="1"/>
  <c r="N16" i="119" s="1"/>
  <c r="D17" i="119"/>
  <c r="L17" i="119" s="1"/>
  <c r="N17" i="119" s="1"/>
  <c r="D18" i="119"/>
  <c r="L18" i="119" s="1"/>
  <c r="N18" i="119" s="1"/>
  <c r="D19" i="119"/>
  <c r="L19" i="119" s="1"/>
  <c r="N19" i="119" s="1"/>
  <c r="D20" i="119"/>
  <c r="L20" i="119" s="1"/>
  <c r="N20" i="119" s="1"/>
  <c r="D21" i="119"/>
  <c r="L21" i="119" s="1"/>
  <c r="N21" i="119" s="1"/>
  <c r="D22" i="119"/>
  <c r="L22" i="119" s="1"/>
  <c r="N22" i="119" s="1"/>
  <c r="D23" i="119"/>
  <c r="D24" i="119"/>
  <c r="D25" i="119"/>
  <c r="D26" i="119"/>
  <c r="D7" i="119"/>
  <c r="L7" i="119" s="1"/>
  <c r="L8" i="119"/>
  <c r="N8" i="119" s="1"/>
  <c r="D4" i="119"/>
  <c r="E4" i="119" s="1"/>
  <c r="M27" i="119"/>
  <c r="K27" i="119"/>
  <c r="J27" i="119"/>
  <c r="I27" i="119"/>
  <c r="H27" i="119"/>
  <c r="G27" i="119"/>
  <c r="F27" i="119"/>
  <c r="N26" i="119"/>
  <c r="N25" i="119"/>
  <c r="N24" i="119"/>
  <c r="N23" i="119"/>
  <c r="A17" i="119"/>
  <c r="I9" i="110"/>
  <c r="L9" i="119" l="1"/>
  <c r="N9" i="119" s="1"/>
  <c r="E27" i="119"/>
  <c r="N7" i="119"/>
  <c r="L8" i="118"/>
  <c r="N8" i="118" s="1"/>
  <c r="L10" i="118"/>
  <c r="N10" i="118" s="1"/>
  <c r="L12" i="118"/>
  <c r="N12" i="118" s="1"/>
  <c r="L14" i="118"/>
  <c r="N14" i="118" s="1"/>
  <c r="L16" i="118"/>
  <c r="N16" i="118" s="1"/>
  <c r="D7" i="118"/>
  <c r="L7" i="118" s="1"/>
  <c r="D4" i="118"/>
  <c r="E4" i="118" s="1"/>
  <c r="M27" i="118"/>
  <c r="K27" i="118"/>
  <c r="J27" i="118"/>
  <c r="I27" i="118"/>
  <c r="H27" i="118"/>
  <c r="G27" i="118"/>
  <c r="F27" i="118"/>
  <c r="E27" i="118"/>
  <c r="N26" i="118"/>
  <c r="N25" i="118"/>
  <c r="N24" i="118"/>
  <c r="N23" i="118"/>
  <c r="L22" i="118"/>
  <c r="N22" i="118" s="1"/>
  <c r="L21" i="118"/>
  <c r="N21" i="118" s="1"/>
  <c r="L20" i="118"/>
  <c r="N20" i="118" s="1"/>
  <c r="L19" i="118"/>
  <c r="N19" i="118" s="1"/>
  <c r="L18" i="118"/>
  <c r="N18" i="118" s="1"/>
  <c r="L17" i="118"/>
  <c r="N17" i="118" s="1"/>
  <c r="A17" i="118"/>
  <c r="L15" i="118"/>
  <c r="N15" i="118" s="1"/>
  <c r="L13" i="118"/>
  <c r="N13" i="118" s="1"/>
  <c r="L11" i="118"/>
  <c r="N11" i="118" s="1"/>
  <c r="L9" i="118"/>
  <c r="N9" i="118" s="1"/>
  <c r="L27" i="119" l="1"/>
  <c r="N27" i="119"/>
  <c r="L27" i="118"/>
  <c r="N7" i="118"/>
  <c r="N27" i="118" s="1"/>
  <c r="L8" i="117"/>
  <c r="N8" i="117" s="1"/>
  <c r="L10" i="117"/>
  <c r="N10" i="117" s="1"/>
  <c r="L12" i="117"/>
  <c r="N12" i="117" s="1"/>
  <c r="L14" i="117"/>
  <c r="N14" i="117" s="1"/>
  <c r="L16" i="117"/>
  <c r="N16" i="117" s="1"/>
  <c r="L18" i="117"/>
  <c r="N18" i="117" s="1"/>
  <c r="L20" i="117"/>
  <c r="N20" i="117" s="1"/>
  <c r="L22" i="117"/>
  <c r="N22" i="117" s="1"/>
  <c r="D7" i="117"/>
  <c r="L7" i="117" s="1"/>
  <c r="D4" i="117"/>
  <c r="E4" i="117" s="1"/>
  <c r="M27" i="117"/>
  <c r="K27" i="117"/>
  <c r="J27" i="117"/>
  <c r="I27" i="117"/>
  <c r="H27" i="117"/>
  <c r="G27" i="117"/>
  <c r="F27" i="117"/>
  <c r="N26" i="117"/>
  <c r="N25" i="117"/>
  <c r="N24" i="117"/>
  <c r="N23" i="117"/>
  <c r="L21" i="117"/>
  <c r="N21" i="117" s="1"/>
  <c r="L19" i="117"/>
  <c r="N19" i="117" s="1"/>
  <c r="L17" i="117"/>
  <c r="N17" i="117" s="1"/>
  <c r="A17" i="117"/>
  <c r="L15" i="117"/>
  <c r="N15" i="117" s="1"/>
  <c r="L13" i="117"/>
  <c r="N13" i="117" s="1"/>
  <c r="L11" i="117"/>
  <c r="N11" i="117" s="1"/>
  <c r="E27" i="117"/>
  <c r="L9" i="117"/>
  <c r="N9" i="117" s="1"/>
  <c r="L27" i="117" l="1"/>
  <c r="N7" i="117"/>
  <c r="N27" i="117" s="1"/>
  <c r="L9" i="115"/>
  <c r="N9" i="115" s="1"/>
  <c r="L10" i="115"/>
  <c r="N10" i="115" s="1"/>
  <c r="L12" i="115"/>
  <c r="N12" i="115" s="1"/>
  <c r="L13" i="115"/>
  <c r="N13" i="115" s="1"/>
  <c r="L14" i="115"/>
  <c r="N14" i="115" s="1"/>
  <c r="L16" i="115"/>
  <c r="N16" i="115" s="1"/>
  <c r="L17" i="115"/>
  <c r="N17" i="115" s="1"/>
  <c r="L18" i="115"/>
  <c r="N18" i="115" s="1"/>
  <c r="L19" i="115"/>
  <c r="N19" i="115" s="1"/>
  <c r="L20" i="115"/>
  <c r="N20" i="115" s="1"/>
  <c r="L21" i="115"/>
  <c r="N21" i="115" s="1"/>
  <c r="L22" i="115"/>
  <c r="N22" i="115" s="1"/>
  <c r="D7" i="115"/>
  <c r="L7" i="115" s="1"/>
  <c r="E12" i="116"/>
  <c r="E27" i="116" s="1"/>
  <c r="D8" i="116"/>
  <c r="L8" i="116" s="1"/>
  <c r="N8" i="116" s="1"/>
  <c r="D9" i="116"/>
  <c r="L9" i="116" s="1"/>
  <c r="N9" i="116" s="1"/>
  <c r="D10" i="116"/>
  <c r="L10" i="116" s="1"/>
  <c r="N10" i="116" s="1"/>
  <c r="D11" i="116"/>
  <c r="L11" i="116" s="1"/>
  <c r="N11" i="116" s="1"/>
  <c r="D12" i="116"/>
  <c r="D13" i="116"/>
  <c r="L13" i="116" s="1"/>
  <c r="N13" i="116" s="1"/>
  <c r="D14" i="116"/>
  <c r="L14" i="116" s="1"/>
  <c r="N14" i="116" s="1"/>
  <c r="D15" i="116"/>
  <c r="L15" i="116" s="1"/>
  <c r="D16" i="116"/>
  <c r="L16" i="116" s="1"/>
  <c r="N16" i="116" s="1"/>
  <c r="D17" i="116"/>
  <c r="L17" i="116" s="1"/>
  <c r="N17" i="116" s="1"/>
  <c r="D18" i="116"/>
  <c r="L18" i="116" s="1"/>
  <c r="N18" i="116" s="1"/>
  <c r="D19" i="116"/>
  <c r="L19" i="116" s="1"/>
  <c r="N19" i="116" s="1"/>
  <c r="D20" i="116"/>
  <c r="L20" i="116" s="1"/>
  <c r="N20" i="116" s="1"/>
  <c r="D21" i="116"/>
  <c r="L21" i="116" s="1"/>
  <c r="N21" i="116" s="1"/>
  <c r="D22" i="116"/>
  <c r="L22" i="116" s="1"/>
  <c r="N22" i="116" s="1"/>
  <c r="D23" i="116"/>
  <c r="D24" i="116"/>
  <c r="D25" i="116"/>
  <c r="D26" i="116"/>
  <c r="D7" i="116"/>
  <c r="L7" i="116" s="1"/>
  <c r="D4" i="116"/>
  <c r="E4" i="116" s="1"/>
  <c r="K27" i="116"/>
  <c r="J27" i="116"/>
  <c r="I27" i="116"/>
  <c r="H27" i="116"/>
  <c r="G27" i="116"/>
  <c r="F27" i="116"/>
  <c r="N26" i="116"/>
  <c r="N25" i="116"/>
  <c r="N24" i="116"/>
  <c r="N23" i="116"/>
  <c r="A17" i="116"/>
  <c r="M27" i="116"/>
  <c r="K27" i="115"/>
  <c r="J27" i="115"/>
  <c r="I27" i="115"/>
  <c r="H27" i="115"/>
  <c r="G27" i="115"/>
  <c r="F27" i="115"/>
  <c r="E27" i="115"/>
  <c r="N26" i="115"/>
  <c r="N25" i="115"/>
  <c r="N24" i="115"/>
  <c r="N23" i="115"/>
  <c r="A17" i="115"/>
  <c r="L8" i="115"/>
  <c r="N8" i="115" s="1"/>
  <c r="M27" i="115"/>
  <c r="E4" i="115"/>
  <c r="L12" i="116" l="1"/>
  <c r="N12" i="116" s="1"/>
  <c r="N15" i="116"/>
  <c r="N7" i="116"/>
  <c r="N7" i="115"/>
  <c r="N23" i="114"/>
  <c r="M15" i="114"/>
  <c r="D15" i="115" s="1"/>
  <c r="L15" i="115" s="1"/>
  <c r="N15" i="115" s="1"/>
  <c r="M11" i="114"/>
  <c r="D11" i="115" s="1"/>
  <c r="L11" i="115" s="1"/>
  <c r="N11" i="115" s="1"/>
  <c r="L27" i="116" l="1"/>
  <c r="L27" i="115"/>
  <c r="N27" i="115"/>
  <c r="N27" i="116"/>
  <c r="D8" i="114"/>
  <c r="L8" i="114" s="1"/>
  <c r="N8" i="114" s="1"/>
  <c r="D9" i="114"/>
  <c r="L9" i="114" s="1"/>
  <c r="N9" i="114" s="1"/>
  <c r="D10" i="114"/>
  <c r="L10" i="114" s="1"/>
  <c r="N10" i="114" s="1"/>
  <c r="D11" i="114"/>
  <c r="D12" i="114"/>
  <c r="L12" i="114" s="1"/>
  <c r="N12" i="114" s="1"/>
  <c r="D13" i="114"/>
  <c r="L13" i="114" s="1"/>
  <c r="N13" i="114" s="1"/>
  <c r="D14" i="114"/>
  <c r="L14" i="114" s="1"/>
  <c r="N14" i="114" s="1"/>
  <c r="D15" i="114"/>
  <c r="L15" i="114" s="1"/>
  <c r="N15" i="114" s="1"/>
  <c r="D16" i="114"/>
  <c r="L16" i="114" s="1"/>
  <c r="N16" i="114" s="1"/>
  <c r="D17" i="114"/>
  <c r="L17" i="114" s="1"/>
  <c r="N17" i="114" s="1"/>
  <c r="D18" i="114"/>
  <c r="L18" i="114" s="1"/>
  <c r="N18" i="114" s="1"/>
  <c r="D19" i="114"/>
  <c r="L19" i="114" s="1"/>
  <c r="N19" i="114" s="1"/>
  <c r="D20" i="114"/>
  <c r="L20" i="114" s="1"/>
  <c r="N20" i="114" s="1"/>
  <c r="D21" i="114"/>
  <c r="L21" i="114" s="1"/>
  <c r="N21" i="114" s="1"/>
  <c r="D22" i="114"/>
  <c r="L22" i="114" s="1"/>
  <c r="N22" i="114" s="1"/>
  <c r="D23" i="114"/>
  <c r="D24" i="114"/>
  <c r="D25" i="114"/>
  <c r="D26" i="114"/>
  <c r="D7" i="114"/>
  <c r="L7" i="114" s="1"/>
  <c r="D4" i="114"/>
  <c r="E4" i="114" s="1"/>
  <c r="M27" i="114"/>
  <c r="K27" i="114"/>
  <c r="J27" i="114"/>
  <c r="I27" i="114"/>
  <c r="H27" i="114"/>
  <c r="G27" i="114"/>
  <c r="F27" i="114"/>
  <c r="E27" i="114"/>
  <c r="N26" i="114"/>
  <c r="N25" i="114"/>
  <c r="N24" i="114"/>
  <c r="A17" i="114"/>
  <c r="L11" i="114"/>
  <c r="N11" i="114" s="1"/>
  <c r="L27" i="114" l="1"/>
  <c r="N7" i="114"/>
  <c r="N27" i="114" s="1"/>
  <c r="D8" i="112"/>
  <c r="L8" i="112" s="1"/>
  <c r="N8" i="112" s="1"/>
  <c r="D9" i="112"/>
  <c r="L9" i="112" s="1"/>
  <c r="N9" i="112" s="1"/>
  <c r="D10" i="112"/>
  <c r="L10" i="112" s="1"/>
  <c r="N10" i="112" s="1"/>
  <c r="D11" i="112"/>
  <c r="D12" i="112"/>
  <c r="L12" i="112" s="1"/>
  <c r="N12" i="112" s="1"/>
  <c r="D13" i="112"/>
  <c r="L13" i="112" s="1"/>
  <c r="N13" i="112" s="1"/>
  <c r="D14" i="112"/>
  <c r="L14" i="112" s="1"/>
  <c r="N14" i="112" s="1"/>
  <c r="D15" i="112"/>
  <c r="L15" i="112" s="1"/>
  <c r="N15" i="112" s="1"/>
  <c r="D16" i="112"/>
  <c r="L16" i="112" s="1"/>
  <c r="N16" i="112" s="1"/>
  <c r="D17" i="112"/>
  <c r="L17" i="112" s="1"/>
  <c r="N17" i="112" s="1"/>
  <c r="D18" i="112"/>
  <c r="L18" i="112" s="1"/>
  <c r="N18" i="112" s="1"/>
  <c r="D19" i="112"/>
  <c r="L19" i="112" s="1"/>
  <c r="N19" i="112" s="1"/>
  <c r="D20" i="112"/>
  <c r="L20" i="112" s="1"/>
  <c r="N20" i="112" s="1"/>
  <c r="D21" i="112"/>
  <c r="D22" i="112"/>
  <c r="L22" i="112" s="1"/>
  <c r="N22" i="112" s="1"/>
  <c r="D23" i="112"/>
  <c r="D24" i="112"/>
  <c r="D25" i="112"/>
  <c r="D26" i="112"/>
  <c r="D7" i="112"/>
  <c r="L7" i="112" s="1"/>
  <c r="D4" i="112"/>
  <c r="E4" i="112" s="1"/>
  <c r="M27" i="112"/>
  <c r="K27" i="112"/>
  <c r="J27" i="112"/>
  <c r="I27" i="112"/>
  <c r="H27" i="112"/>
  <c r="G27" i="112"/>
  <c r="F27" i="112"/>
  <c r="E27" i="112"/>
  <c r="N26" i="112"/>
  <c r="N25" i="112"/>
  <c r="N24" i="112"/>
  <c r="N23" i="112"/>
  <c r="L21" i="112"/>
  <c r="N21" i="112" s="1"/>
  <c r="A17" i="112"/>
  <c r="L11" i="112"/>
  <c r="N11" i="112" s="1"/>
  <c r="L27" i="112" l="1"/>
  <c r="N7" i="112"/>
  <c r="N27" i="112" s="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5" i="111"/>
  <c r="D26" i="111"/>
  <c r="D7" i="111"/>
  <c r="D4" i="111"/>
  <c r="M27" i="111" l="1"/>
  <c r="K27" i="111"/>
  <c r="J27" i="111"/>
  <c r="I27" i="111"/>
  <c r="H27" i="111"/>
  <c r="G27" i="111"/>
  <c r="F27" i="111"/>
  <c r="E27" i="111"/>
  <c r="N26" i="111"/>
  <c r="N25" i="111"/>
  <c r="N24" i="111"/>
  <c r="N23" i="111"/>
  <c r="L22" i="111"/>
  <c r="N22" i="111" s="1"/>
  <c r="L21" i="111"/>
  <c r="N21" i="111" s="1"/>
  <c r="L20" i="111"/>
  <c r="N20" i="111" s="1"/>
  <c r="L19" i="111"/>
  <c r="N19" i="111" s="1"/>
  <c r="L18" i="111"/>
  <c r="N18" i="111" s="1"/>
  <c r="L17" i="111"/>
  <c r="N17" i="111" s="1"/>
  <c r="A17" i="111"/>
  <c r="L16" i="111"/>
  <c r="N16" i="111" s="1"/>
  <c r="L15" i="111"/>
  <c r="N15" i="111" s="1"/>
  <c r="L14" i="111"/>
  <c r="N14" i="111" s="1"/>
  <c r="L13" i="111"/>
  <c r="N13" i="111" s="1"/>
  <c r="L12" i="111"/>
  <c r="N12" i="111" s="1"/>
  <c r="L11" i="111"/>
  <c r="N11" i="111" s="1"/>
  <c r="L10" i="111"/>
  <c r="N10" i="111" s="1"/>
  <c r="L9" i="111"/>
  <c r="N9" i="111" s="1"/>
  <c r="L8" i="111"/>
  <c r="N8" i="111" s="1"/>
  <c r="L7" i="111"/>
  <c r="E4" i="111"/>
  <c r="L27" i="111" l="1"/>
  <c r="N7" i="111"/>
  <c r="N27" i="111" s="1"/>
  <c r="D8" i="110"/>
  <c r="L8" i="110" s="1"/>
  <c r="N8" i="110" s="1"/>
  <c r="D9" i="110"/>
  <c r="L9" i="110" s="1"/>
  <c r="N9" i="110" s="1"/>
  <c r="D10" i="110"/>
  <c r="L10" i="110" s="1"/>
  <c r="N10" i="110" s="1"/>
  <c r="D11" i="110"/>
  <c r="L11" i="110" s="1"/>
  <c r="N11" i="110" s="1"/>
  <c r="D12" i="110"/>
  <c r="L12" i="110" s="1"/>
  <c r="N12" i="110" s="1"/>
  <c r="D13" i="110"/>
  <c r="L13" i="110" s="1"/>
  <c r="N13" i="110" s="1"/>
  <c r="D14" i="110"/>
  <c r="L14" i="110" s="1"/>
  <c r="N14" i="110" s="1"/>
  <c r="D15" i="110"/>
  <c r="L15" i="110" s="1"/>
  <c r="N15" i="110" s="1"/>
  <c r="D16" i="110"/>
  <c r="L16" i="110" s="1"/>
  <c r="N16" i="110" s="1"/>
  <c r="D17" i="110"/>
  <c r="L17" i="110" s="1"/>
  <c r="N17" i="110" s="1"/>
  <c r="D18" i="110"/>
  <c r="L18" i="110" s="1"/>
  <c r="N18" i="110" s="1"/>
  <c r="D19" i="110"/>
  <c r="L19" i="110" s="1"/>
  <c r="N19" i="110" s="1"/>
  <c r="D20" i="110"/>
  <c r="L20" i="110" s="1"/>
  <c r="N20" i="110" s="1"/>
  <c r="D21" i="110"/>
  <c r="D22" i="110"/>
  <c r="L22" i="110" s="1"/>
  <c r="N22" i="110" s="1"/>
  <c r="D23" i="110"/>
  <c r="D24" i="110"/>
  <c r="D25" i="110"/>
  <c r="D26" i="110"/>
  <c r="D7" i="110"/>
  <c r="L7" i="110" s="1"/>
  <c r="D4" i="110"/>
  <c r="E4" i="110" s="1"/>
  <c r="M27" i="110"/>
  <c r="K27" i="110"/>
  <c r="J27" i="110"/>
  <c r="I27" i="110"/>
  <c r="H27" i="110"/>
  <c r="G27" i="110"/>
  <c r="F27" i="110"/>
  <c r="E27" i="110"/>
  <c r="N26" i="110"/>
  <c r="N25" i="110"/>
  <c r="N24" i="110"/>
  <c r="N23" i="110"/>
  <c r="L21" i="110"/>
  <c r="N21" i="110" s="1"/>
  <c r="A17" i="110"/>
  <c r="L27" i="110" l="1"/>
  <c r="N7" i="110"/>
  <c r="N27" i="110" s="1"/>
  <c r="D8" i="109"/>
  <c r="L8" i="109" s="1"/>
  <c r="N8" i="109" s="1"/>
  <c r="D9" i="109"/>
  <c r="L9" i="109" s="1"/>
  <c r="N9" i="109" s="1"/>
  <c r="D10" i="109"/>
  <c r="L10" i="109" s="1"/>
  <c r="N10" i="109" s="1"/>
  <c r="D11" i="109"/>
  <c r="D12" i="109"/>
  <c r="L12" i="109" s="1"/>
  <c r="N12" i="109" s="1"/>
  <c r="D13" i="109"/>
  <c r="L13" i="109" s="1"/>
  <c r="N13" i="109" s="1"/>
  <c r="D14" i="109"/>
  <c r="L14" i="109" s="1"/>
  <c r="N14" i="109" s="1"/>
  <c r="D15" i="109"/>
  <c r="L15" i="109" s="1"/>
  <c r="N15" i="109" s="1"/>
  <c r="D16" i="109"/>
  <c r="L16" i="109" s="1"/>
  <c r="N16" i="109" s="1"/>
  <c r="D17" i="109"/>
  <c r="L17" i="109" s="1"/>
  <c r="N17" i="109" s="1"/>
  <c r="D18" i="109"/>
  <c r="L18" i="109" s="1"/>
  <c r="N18" i="109" s="1"/>
  <c r="D19" i="109"/>
  <c r="L19" i="109" s="1"/>
  <c r="N19" i="109" s="1"/>
  <c r="D20" i="109"/>
  <c r="L20" i="109" s="1"/>
  <c r="N20" i="109" s="1"/>
  <c r="D21" i="109"/>
  <c r="D22" i="109"/>
  <c r="L22" i="109" s="1"/>
  <c r="N22" i="109" s="1"/>
  <c r="D23" i="109"/>
  <c r="D24" i="109"/>
  <c r="D25" i="109"/>
  <c r="D26" i="109"/>
  <c r="D7" i="109"/>
  <c r="L7" i="109" s="1"/>
  <c r="D4" i="109"/>
  <c r="E4" i="109" s="1"/>
  <c r="M27" i="109"/>
  <c r="K27" i="109"/>
  <c r="J27" i="109"/>
  <c r="I27" i="109"/>
  <c r="H27" i="109"/>
  <c r="G27" i="109"/>
  <c r="F27" i="109"/>
  <c r="E27" i="109"/>
  <c r="N26" i="109"/>
  <c r="N25" i="109"/>
  <c r="N24" i="109"/>
  <c r="N23" i="109"/>
  <c r="L21" i="109"/>
  <c r="N21" i="109" s="1"/>
  <c r="A17" i="109"/>
  <c r="L11" i="109"/>
  <c r="N11" i="109" s="1"/>
  <c r="L27" i="109" l="1"/>
  <c r="N7" i="109"/>
  <c r="N27" i="109" s="1"/>
  <c r="D8" i="108"/>
  <c r="L8" i="108" s="1"/>
  <c r="N8" i="108" s="1"/>
  <c r="D9" i="108"/>
  <c r="L9" i="108" s="1"/>
  <c r="N9" i="108" s="1"/>
  <c r="D10" i="108"/>
  <c r="L10" i="108" s="1"/>
  <c r="N10" i="108" s="1"/>
  <c r="D11" i="108"/>
  <c r="L11" i="108" s="1"/>
  <c r="N11" i="108" s="1"/>
  <c r="D12" i="108"/>
  <c r="L12" i="108" s="1"/>
  <c r="N12" i="108" s="1"/>
  <c r="D13" i="108"/>
  <c r="L13" i="108" s="1"/>
  <c r="N13" i="108" s="1"/>
  <c r="D14" i="108"/>
  <c r="L14" i="108" s="1"/>
  <c r="N14" i="108" s="1"/>
  <c r="D15" i="108"/>
  <c r="D16" i="108"/>
  <c r="L16" i="108" s="1"/>
  <c r="N16" i="108" s="1"/>
  <c r="D17" i="108"/>
  <c r="D18" i="108"/>
  <c r="L18" i="108" s="1"/>
  <c r="N18" i="108" s="1"/>
  <c r="D19" i="108"/>
  <c r="L19" i="108" s="1"/>
  <c r="N19" i="108" s="1"/>
  <c r="D20" i="108"/>
  <c r="L20" i="108" s="1"/>
  <c r="N20" i="108" s="1"/>
  <c r="D21" i="108"/>
  <c r="L21" i="108" s="1"/>
  <c r="N21" i="108" s="1"/>
  <c r="D22" i="108"/>
  <c r="L22" i="108" s="1"/>
  <c r="N22" i="108" s="1"/>
  <c r="D23" i="108"/>
  <c r="D24" i="108"/>
  <c r="D25" i="108"/>
  <c r="D26" i="108"/>
  <c r="D7" i="108"/>
  <c r="L7" i="108" s="1"/>
  <c r="D4" i="108"/>
  <c r="E4" i="108" s="1"/>
  <c r="M27" i="108"/>
  <c r="K27" i="108"/>
  <c r="J27" i="108"/>
  <c r="I27" i="108"/>
  <c r="H27" i="108"/>
  <c r="G27" i="108"/>
  <c r="F27" i="108"/>
  <c r="E27" i="108"/>
  <c r="N26" i="108"/>
  <c r="N25" i="108"/>
  <c r="N24" i="108"/>
  <c r="N23" i="108"/>
  <c r="L17" i="108"/>
  <c r="N17" i="108" s="1"/>
  <c r="A17" i="108"/>
  <c r="L15" i="108"/>
  <c r="N15" i="108" s="1"/>
  <c r="D8" i="107"/>
  <c r="L8" i="107" s="1"/>
  <c r="N8" i="107" s="1"/>
  <c r="D9" i="107"/>
  <c r="L9" i="107" s="1"/>
  <c r="N9" i="107" s="1"/>
  <c r="D10" i="107"/>
  <c r="L10" i="107" s="1"/>
  <c r="N10" i="107" s="1"/>
  <c r="D11" i="107"/>
  <c r="L11" i="107" s="1"/>
  <c r="N11" i="107" s="1"/>
  <c r="D12" i="107"/>
  <c r="L12" i="107" s="1"/>
  <c r="N12" i="107" s="1"/>
  <c r="D13" i="107"/>
  <c r="L13" i="107" s="1"/>
  <c r="N13" i="107" s="1"/>
  <c r="D14" i="107"/>
  <c r="L14" i="107" s="1"/>
  <c r="N14" i="107" s="1"/>
  <c r="D15" i="107"/>
  <c r="L15" i="107" s="1"/>
  <c r="N15" i="107" s="1"/>
  <c r="D16" i="107"/>
  <c r="L16" i="107" s="1"/>
  <c r="N16" i="107" s="1"/>
  <c r="D17" i="107"/>
  <c r="L17" i="107" s="1"/>
  <c r="N17" i="107" s="1"/>
  <c r="D18" i="107"/>
  <c r="L18" i="107" s="1"/>
  <c r="N18" i="107" s="1"/>
  <c r="D19" i="107"/>
  <c r="L19" i="107" s="1"/>
  <c r="N19" i="107" s="1"/>
  <c r="D20" i="107"/>
  <c r="L20" i="107" s="1"/>
  <c r="N20" i="107" s="1"/>
  <c r="D21" i="107"/>
  <c r="D22" i="107"/>
  <c r="L22" i="107" s="1"/>
  <c r="N22" i="107" s="1"/>
  <c r="D23" i="107"/>
  <c r="D24" i="107"/>
  <c r="D25" i="107"/>
  <c r="D26" i="107"/>
  <c r="D7" i="107"/>
  <c r="L7" i="107" s="1"/>
  <c r="D4" i="107"/>
  <c r="E4" i="107" s="1"/>
  <c r="M27" i="107"/>
  <c r="K27" i="107"/>
  <c r="J27" i="107"/>
  <c r="I27" i="107"/>
  <c r="H27" i="107"/>
  <c r="G27" i="107"/>
  <c r="F27" i="107"/>
  <c r="E27" i="107"/>
  <c r="N26" i="107"/>
  <c r="N25" i="107"/>
  <c r="N24" i="107"/>
  <c r="N23" i="107"/>
  <c r="L21" i="107"/>
  <c r="N21" i="107" s="1"/>
  <c r="A17" i="107"/>
  <c r="L27" i="108" l="1"/>
  <c r="N7" i="108"/>
  <c r="N27" i="108" s="1"/>
  <c r="L27" i="107"/>
  <c r="N7" i="107"/>
  <c r="N27" i="107" s="1"/>
  <c r="D8" i="106"/>
  <c r="L8" i="106" s="1"/>
  <c r="N8" i="106" s="1"/>
  <c r="D9" i="106"/>
  <c r="L9" i="106" s="1"/>
  <c r="N9" i="106" s="1"/>
  <c r="D10" i="106"/>
  <c r="L10" i="106" s="1"/>
  <c r="N10" i="106" s="1"/>
  <c r="D11" i="106"/>
  <c r="L11" i="106" s="1"/>
  <c r="N11" i="106" s="1"/>
  <c r="D12" i="106"/>
  <c r="L12" i="106" s="1"/>
  <c r="N12" i="106" s="1"/>
  <c r="D13" i="106"/>
  <c r="L13" i="106" s="1"/>
  <c r="N13" i="106" s="1"/>
  <c r="D14" i="106"/>
  <c r="L14" i="106" s="1"/>
  <c r="N14" i="106" s="1"/>
  <c r="D15" i="106"/>
  <c r="L15" i="106" s="1"/>
  <c r="N15" i="106" s="1"/>
  <c r="D16" i="106"/>
  <c r="L16" i="106" s="1"/>
  <c r="N16" i="106" s="1"/>
  <c r="D17" i="106"/>
  <c r="L17" i="106" s="1"/>
  <c r="N17" i="106" s="1"/>
  <c r="D18" i="106"/>
  <c r="L18" i="106" s="1"/>
  <c r="N18" i="106" s="1"/>
  <c r="D19" i="106"/>
  <c r="L19" i="106" s="1"/>
  <c r="N19" i="106" s="1"/>
  <c r="D20" i="106"/>
  <c r="L20" i="106" s="1"/>
  <c r="N20" i="106" s="1"/>
  <c r="D21" i="106"/>
  <c r="L21" i="106" s="1"/>
  <c r="N21" i="106" s="1"/>
  <c r="D22" i="106"/>
  <c r="L22" i="106" s="1"/>
  <c r="N22" i="106" s="1"/>
  <c r="D23" i="106"/>
  <c r="D24" i="106"/>
  <c r="D25" i="106"/>
  <c r="D26" i="106"/>
  <c r="D7" i="106"/>
  <c r="L7" i="106" s="1"/>
  <c r="D4" i="106"/>
  <c r="E4" i="106" s="1"/>
  <c r="M27" i="106"/>
  <c r="K27" i="106"/>
  <c r="J27" i="106"/>
  <c r="I27" i="106"/>
  <c r="H27" i="106"/>
  <c r="G27" i="106"/>
  <c r="F27" i="106"/>
  <c r="E27" i="106"/>
  <c r="N26" i="106"/>
  <c r="N25" i="106"/>
  <c r="N24" i="106"/>
  <c r="N23" i="106"/>
  <c r="A17" i="106"/>
  <c r="L27" i="106" l="1"/>
  <c r="N7" i="106"/>
  <c r="N27" i="106" s="1"/>
  <c r="D8" i="105"/>
  <c r="L8" i="105" s="1"/>
  <c r="N8" i="105" s="1"/>
  <c r="D9" i="105"/>
  <c r="L9" i="105" s="1"/>
  <c r="N9" i="105" s="1"/>
  <c r="D10" i="105"/>
  <c r="L10" i="105" s="1"/>
  <c r="N10" i="105" s="1"/>
  <c r="D11" i="105"/>
  <c r="D12" i="105"/>
  <c r="L12" i="105" s="1"/>
  <c r="N12" i="105" s="1"/>
  <c r="D13" i="105"/>
  <c r="L13" i="105" s="1"/>
  <c r="N13" i="105" s="1"/>
  <c r="D14" i="105"/>
  <c r="L14" i="105" s="1"/>
  <c r="N14" i="105" s="1"/>
  <c r="D15" i="105"/>
  <c r="L15" i="105" s="1"/>
  <c r="N15" i="105" s="1"/>
  <c r="D16" i="105"/>
  <c r="L16" i="105" s="1"/>
  <c r="N16" i="105" s="1"/>
  <c r="D17" i="105"/>
  <c r="L17" i="105" s="1"/>
  <c r="N17" i="105" s="1"/>
  <c r="D18" i="105"/>
  <c r="L18" i="105" s="1"/>
  <c r="N18" i="105" s="1"/>
  <c r="D19" i="105"/>
  <c r="L19" i="105" s="1"/>
  <c r="N19" i="105" s="1"/>
  <c r="D20" i="105"/>
  <c r="L20" i="105" s="1"/>
  <c r="N20" i="105" s="1"/>
  <c r="D21" i="105"/>
  <c r="D22" i="105"/>
  <c r="L22" i="105" s="1"/>
  <c r="N22" i="105" s="1"/>
  <c r="D23" i="105"/>
  <c r="D24" i="105"/>
  <c r="D25" i="105"/>
  <c r="D26" i="105"/>
  <c r="D7" i="105"/>
  <c r="L7" i="105" s="1"/>
  <c r="D4" i="105"/>
  <c r="E4" i="105" s="1"/>
  <c r="M27" i="105"/>
  <c r="K27" i="105"/>
  <c r="J27" i="105"/>
  <c r="I27" i="105"/>
  <c r="H27" i="105"/>
  <c r="G27" i="105"/>
  <c r="F27" i="105"/>
  <c r="E27" i="105"/>
  <c r="N26" i="105"/>
  <c r="N25" i="105"/>
  <c r="N24" i="105"/>
  <c r="N23" i="105"/>
  <c r="L21" i="105"/>
  <c r="N21" i="105" s="1"/>
  <c r="A17" i="105"/>
  <c r="L11" i="105"/>
  <c r="N11" i="105" s="1"/>
  <c r="L27" i="105" l="1"/>
  <c r="N7" i="105"/>
  <c r="N27" i="105" s="1"/>
  <c r="D4" i="104"/>
  <c r="E4" i="104" s="1"/>
  <c r="D8" i="104"/>
  <c r="L8" i="104" s="1"/>
  <c r="N8" i="104" s="1"/>
  <c r="D9" i="104"/>
  <c r="D10" i="104"/>
  <c r="L10" i="104" s="1"/>
  <c r="N10" i="104" s="1"/>
  <c r="D11" i="104"/>
  <c r="L11" i="104" s="1"/>
  <c r="N11" i="104" s="1"/>
  <c r="D12" i="104"/>
  <c r="L12" i="104" s="1"/>
  <c r="N12" i="104" s="1"/>
  <c r="D13" i="104"/>
  <c r="L13" i="104" s="1"/>
  <c r="N13" i="104" s="1"/>
  <c r="D14" i="104"/>
  <c r="L14" i="104" s="1"/>
  <c r="N14" i="104" s="1"/>
  <c r="D15" i="104"/>
  <c r="L15" i="104" s="1"/>
  <c r="N15" i="104" s="1"/>
  <c r="D16" i="104"/>
  <c r="L16" i="104" s="1"/>
  <c r="N16" i="104" s="1"/>
  <c r="D17" i="104"/>
  <c r="L17" i="104" s="1"/>
  <c r="N17" i="104" s="1"/>
  <c r="D18" i="104"/>
  <c r="L18" i="104" s="1"/>
  <c r="N18" i="104" s="1"/>
  <c r="D19" i="104"/>
  <c r="L19" i="104" s="1"/>
  <c r="N19" i="104" s="1"/>
  <c r="D20" i="104"/>
  <c r="L20" i="104" s="1"/>
  <c r="N20" i="104" s="1"/>
  <c r="D21" i="104"/>
  <c r="L21" i="104" s="1"/>
  <c r="N21" i="104" s="1"/>
  <c r="D22" i="104"/>
  <c r="L22" i="104" s="1"/>
  <c r="N22" i="104" s="1"/>
  <c r="D23" i="104"/>
  <c r="D24" i="104"/>
  <c r="D25" i="104"/>
  <c r="D26" i="104"/>
  <c r="D7" i="104"/>
  <c r="L7" i="104" s="1"/>
  <c r="M27" i="104"/>
  <c r="K27" i="104"/>
  <c r="J27" i="104"/>
  <c r="I27" i="104"/>
  <c r="H27" i="104"/>
  <c r="G27" i="104"/>
  <c r="F27" i="104"/>
  <c r="E27" i="104"/>
  <c r="N26" i="104"/>
  <c r="N25" i="104"/>
  <c r="N24" i="104"/>
  <c r="N23" i="104"/>
  <c r="A17" i="104"/>
  <c r="L9" i="104"/>
  <c r="N9" i="104" s="1"/>
  <c r="L27" i="104" l="1"/>
  <c r="N7" i="104"/>
  <c r="N27" i="104" s="1"/>
  <c r="D8" i="103"/>
  <c r="L8" i="103" s="1"/>
  <c r="N8" i="103" s="1"/>
  <c r="D9" i="103"/>
  <c r="L9" i="103" s="1"/>
  <c r="N9" i="103" s="1"/>
  <c r="D10" i="103"/>
  <c r="L10" i="103" s="1"/>
  <c r="N10" i="103" s="1"/>
  <c r="D11" i="103"/>
  <c r="D12" i="103"/>
  <c r="L12" i="103" s="1"/>
  <c r="N12" i="103" s="1"/>
  <c r="D13" i="103"/>
  <c r="L13" i="103" s="1"/>
  <c r="N13" i="103" s="1"/>
  <c r="D14" i="103"/>
  <c r="L14" i="103" s="1"/>
  <c r="N14" i="103" s="1"/>
  <c r="D15" i="103"/>
  <c r="L15" i="103" s="1"/>
  <c r="N15" i="103" s="1"/>
  <c r="D16" i="103"/>
  <c r="L16" i="103" s="1"/>
  <c r="N16" i="103" s="1"/>
  <c r="D17" i="103"/>
  <c r="L17" i="103" s="1"/>
  <c r="N17" i="103" s="1"/>
  <c r="D18" i="103"/>
  <c r="L18" i="103" s="1"/>
  <c r="N18" i="103" s="1"/>
  <c r="D19" i="103"/>
  <c r="L19" i="103" s="1"/>
  <c r="N19" i="103" s="1"/>
  <c r="D20" i="103"/>
  <c r="L20" i="103" s="1"/>
  <c r="N20" i="103" s="1"/>
  <c r="D21" i="103"/>
  <c r="D22" i="103"/>
  <c r="L22" i="103" s="1"/>
  <c r="N22" i="103" s="1"/>
  <c r="D23" i="103"/>
  <c r="D24" i="103"/>
  <c r="D25" i="103"/>
  <c r="D26" i="103"/>
  <c r="D7" i="103"/>
  <c r="L7" i="103" s="1"/>
  <c r="D4" i="103"/>
  <c r="E4" i="103" s="1"/>
  <c r="M27" i="103"/>
  <c r="K27" i="103"/>
  <c r="J27" i="103"/>
  <c r="I27" i="103"/>
  <c r="H27" i="103"/>
  <c r="G27" i="103"/>
  <c r="F27" i="103"/>
  <c r="E27" i="103"/>
  <c r="N26" i="103"/>
  <c r="N25" i="103"/>
  <c r="N24" i="103"/>
  <c r="N23" i="103"/>
  <c r="L21" i="103"/>
  <c r="N21" i="103" s="1"/>
  <c r="A17" i="103"/>
  <c r="L11" i="103"/>
  <c r="N11" i="103" s="1"/>
  <c r="L27" i="103" l="1"/>
  <c r="N7" i="103"/>
  <c r="N27" i="103" s="1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L8" i="102" l="1"/>
  <c r="N8" i="102" s="1"/>
  <c r="L10" i="102"/>
  <c r="N10" i="102" s="1"/>
  <c r="L12" i="102"/>
  <c r="N12" i="102" s="1"/>
  <c r="L14" i="102"/>
  <c r="N14" i="102" s="1"/>
  <c r="D4" i="102"/>
  <c r="E4" i="102" s="1"/>
  <c r="L16" i="102"/>
  <c r="N16" i="102" s="1"/>
  <c r="D7" i="102"/>
  <c r="L7" i="102" s="1"/>
  <c r="M27" i="102"/>
  <c r="K27" i="102"/>
  <c r="J27" i="102"/>
  <c r="I27" i="102"/>
  <c r="H27" i="102"/>
  <c r="G27" i="102"/>
  <c r="F27" i="102"/>
  <c r="N26" i="102"/>
  <c r="N25" i="102"/>
  <c r="N24" i="102"/>
  <c r="N23" i="102"/>
  <c r="L22" i="102"/>
  <c r="N22" i="102" s="1"/>
  <c r="L21" i="102"/>
  <c r="N21" i="102" s="1"/>
  <c r="L20" i="102"/>
  <c r="N20" i="102" s="1"/>
  <c r="L19" i="102"/>
  <c r="N19" i="102" s="1"/>
  <c r="L18" i="102"/>
  <c r="N18" i="102" s="1"/>
  <c r="L17" i="102"/>
  <c r="N17" i="102" s="1"/>
  <c r="A17" i="102"/>
  <c r="L15" i="102"/>
  <c r="N15" i="102" s="1"/>
  <c r="E27" i="102"/>
  <c r="L13" i="102"/>
  <c r="N13" i="102" s="1"/>
  <c r="L11" i="102"/>
  <c r="N11" i="102" s="1"/>
  <c r="L9" i="102"/>
  <c r="N9" i="102" s="1"/>
  <c r="L27" i="102" l="1"/>
  <c r="N7" i="102"/>
  <c r="N27" i="102" s="1"/>
  <c r="E14" i="101"/>
  <c r="D8" i="101" l="1"/>
  <c r="L8" i="101" s="1"/>
  <c r="N8" i="101" s="1"/>
  <c r="D9" i="101"/>
  <c r="L9" i="101" s="1"/>
  <c r="N9" i="101" s="1"/>
  <c r="D10" i="101"/>
  <c r="L10" i="101" s="1"/>
  <c r="N10" i="101" s="1"/>
  <c r="D11" i="101"/>
  <c r="D12" i="101"/>
  <c r="L12" i="101" s="1"/>
  <c r="N12" i="101" s="1"/>
  <c r="D13" i="101"/>
  <c r="L13" i="101" s="1"/>
  <c r="N13" i="101" s="1"/>
  <c r="D14" i="101"/>
  <c r="L14" i="101" s="1"/>
  <c r="N14" i="101" s="1"/>
  <c r="D15" i="101"/>
  <c r="L15" i="101" s="1"/>
  <c r="N15" i="101" s="1"/>
  <c r="D16" i="101"/>
  <c r="L16" i="101" s="1"/>
  <c r="N16" i="101" s="1"/>
  <c r="D17" i="101"/>
  <c r="L17" i="101" s="1"/>
  <c r="N17" i="101" s="1"/>
  <c r="D18" i="101"/>
  <c r="L18" i="101" s="1"/>
  <c r="N18" i="101" s="1"/>
  <c r="D19" i="101"/>
  <c r="L19" i="101" s="1"/>
  <c r="N19" i="101" s="1"/>
  <c r="D20" i="101"/>
  <c r="L20" i="101" s="1"/>
  <c r="N20" i="101" s="1"/>
  <c r="D21" i="101"/>
  <c r="D22" i="101"/>
  <c r="L22" i="101" s="1"/>
  <c r="N22" i="101" s="1"/>
  <c r="D23" i="101"/>
  <c r="D24" i="101"/>
  <c r="D25" i="101"/>
  <c r="D26" i="101"/>
  <c r="D7" i="101"/>
  <c r="L7" i="101" s="1"/>
  <c r="D4" i="101"/>
  <c r="E4" i="101" s="1"/>
  <c r="M27" i="101"/>
  <c r="K27" i="101"/>
  <c r="J27" i="101"/>
  <c r="I27" i="101"/>
  <c r="H27" i="101"/>
  <c r="G27" i="101"/>
  <c r="F27" i="101"/>
  <c r="E27" i="101"/>
  <c r="N26" i="101"/>
  <c r="N25" i="101"/>
  <c r="N24" i="101"/>
  <c r="N23" i="101"/>
  <c r="L21" i="101"/>
  <c r="N21" i="101" s="1"/>
  <c r="A17" i="101"/>
  <c r="L11" i="101"/>
  <c r="N11" i="101" s="1"/>
  <c r="D8" i="100"/>
  <c r="L8" i="100" s="1"/>
  <c r="N8" i="100" s="1"/>
  <c r="D9" i="100"/>
  <c r="L9" i="100" s="1"/>
  <c r="N9" i="100" s="1"/>
  <c r="D10" i="100"/>
  <c r="L10" i="100" s="1"/>
  <c r="N10" i="100" s="1"/>
  <c r="D12" i="100"/>
  <c r="L12" i="100" s="1"/>
  <c r="N12" i="100" s="1"/>
  <c r="D13" i="100"/>
  <c r="L13" i="100" s="1"/>
  <c r="N13" i="100" s="1"/>
  <c r="D14" i="100"/>
  <c r="L14" i="100" s="1"/>
  <c r="N14" i="100" s="1"/>
  <c r="D15" i="100"/>
  <c r="L15" i="100" s="1"/>
  <c r="N15" i="100" s="1"/>
  <c r="D16" i="100"/>
  <c r="L16" i="100" s="1"/>
  <c r="N16" i="100" s="1"/>
  <c r="D17" i="100"/>
  <c r="L17" i="100" s="1"/>
  <c r="N17" i="100" s="1"/>
  <c r="D18" i="100"/>
  <c r="L18" i="100" s="1"/>
  <c r="N18" i="100" s="1"/>
  <c r="D19" i="100"/>
  <c r="L19" i="100" s="1"/>
  <c r="N19" i="100" s="1"/>
  <c r="D20" i="100"/>
  <c r="L20" i="100" s="1"/>
  <c r="N20" i="100" s="1"/>
  <c r="D21" i="100"/>
  <c r="L21" i="100" s="1"/>
  <c r="N21" i="100" s="1"/>
  <c r="D22" i="100"/>
  <c r="L22" i="100" s="1"/>
  <c r="N22" i="100" s="1"/>
  <c r="D23" i="100"/>
  <c r="D24" i="100"/>
  <c r="D25" i="100"/>
  <c r="D26" i="100"/>
  <c r="D7" i="100"/>
  <c r="L7" i="100" s="1"/>
  <c r="D4" i="100"/>
  <c r="E4" i="100" s="1"/>
  <c r="K27" i="100"/>
  <c r="J27" i="100"/>
  <c r="I27" i="100"/>
  <c r="H27" i="100"/>
  <c r="G27" i="100"/>
  <c r="F27" i="100"/>
  <c r="E27" i="100"/>
  <c r="N26" i="100"/>
  <c r="N25" i="100"/>
  <c r="N24" i="100"/>
  <c r="N23" i="100"/>
  <c r="A17" i="100"/>
  <c r="M27" i="100"/>
  <c r="L27" i="101" l="1"/>
  <c r="N7" i="101"/>
  <c r="N27" i="101" s="1"/>
  <c r="N7" i="100"/>
  <c r="M11" i="99"/>
  <c r="D11" i="100" s="1"/>
  <c r="L11" i="100" s="1"/>
  <c r="L27" i="100" s="1"/>
  <c r="N11" i="100" l="1"/>
  <c r="N27" i="100" s="1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7" i="99"/>
  <c r="D4" i="99"/>
  <c r="M27" i="99" l="1"/>
  <c r="K27" i="99"/>
  <c r="J27" i="99"/>
  <c r="I27" i="99"/>
  <c r="H27" i="99"/>
  <c r="G27" i="99"/>
  <c r="F27" i="99"/>
  <c r="E27" i="99"/>
  <c r="N26" i="99"/>
  <c r="N25" i="99"/>
  <c r="N24" i="99"/>
  <c r="N23" i="99"/>
  <c r="L22" i="99"/>
  <c r="N22" i="99" s="1"/>
  <c r="L21" i="99"/>
  <c r="N21" i="99" s="1"/>
  <c r="L20" i="99"/>
  <c r="N20" i="99" s="1"/>
  <c r="L19" i="99"/>
  <c r="N19" i="99" s="1"/>
  <c r="L18" i="99"/>
  <c r="N18" i="99" s="1"/>
  <c r="L17" i="99"/>
  <c r="N17" i="99" s="1"/>
  <c r="A17" i="99"/>
  <c r="L16" i="99"/>
  <c r="N16" i="99" s="1"/>
  <c r="L15" i="99"/>
  <c r="N15" i="99" s="1"/>
  <c r="L14" i="99"/>
  <c r="N14" i="99" s="1"/>
  <c r="L13" i="99"/>
  <c r="N13" i="99" s="1"/>
  <c r="L12" i="99"/>
  <c r="N12" i="99" s="1"/>
  <c r="L11" i="99"/>
  <c r="N11" i="99" s="1"/>
  <c r="L10" i="99"/>
  <c r="N10" i="99" s="1"/>
  <c r="L9" i="99"/>
  <c r="N9" i="99" s="1"/>
  <c r="L8" i="99"/>
  <c r="N8" i="99" s="1"/>
  <c r="L7" i="99"/>
  <c r="E4" i="99"/>
  <c r="L27" i="99" l="1"/>
  <c r="N7" i="99"/>
  <c r="N27" i="99" s="1"/>
  <c r="D8" i="98"/>
  <c r="L8" i="98" s="1"/>
  <c r="N8" i="98" s="1"/>
  <c r="D9" i="98"/>
  <c r="D10" i="98"/>
  <c r="L10" i="98" s="1"/>
  <c r="N10" i="98" s="1"/>
  <c r="D11" i="98"/>
  <c r="L11" i="98" s="1"/>
  <c r="N11" i="98" s="1"/>
  <c r="D12" i="98"/>
  <c r="L12" i="98" s="1"/>
  <c r="N12" i="98" s="1"/>
  <c r="D13" i="98"/>
  <c r="L13" i="98" s="1"/>
  <c r="N13" i="98" s="1"/>
  <c r="D14" i="98"/>
  <c r="L14" i="98" s="1"/>
  <c r="N14" i="98" s="1"/>
  <c r="D15" i="98"/>
  <c r="L15" i="98" s="1"/>
  <c r="N15" i="98" s="1"/>
  <c r="D16" i="98"/>
  <c r="L16" i="98" s="1"/>
  <c r="N16" i="98" s="1"/>
  <c r="D17" i="98"/>
  <c r="L17" i="98" s="1"/>
  <c r="N17" i="98" s="1"/>
  <c r="D18" i="98"/>
  <c r="L18" i="98" s="1"/>
  <c r="N18" i="98" s="1"/>
  <c r="D19" i="98"/>
  <c r="L19" i="98" s="1"/>
  <c r="N19" i="98" s="1"/>
  <c r="D20" i="98"/>
  <c r="L20" i="98" s="1"/>
  <c r="N20" i="98" s="1"/>
  <c r="D21" i="98"/>
  <c r="L21" i="98" s="1"/>
  <c r="N21" i="98" s="1"/>
  <c r="D22" i="98"/>
  <c r="L22" i="98" s="1"/>
  <c r="N22" i="98" s="1"/>
  <c r="D23" i="98"/>
  <c r="D24" i="98"/>
  <c r="D25" i="98"/>
  <c r="D26" i="98"/>
  <c r="D7" i="98"/>
  <c r="L7" i="98" s="1"/>
  <c r="M27" i="98"/>
  <c r="K27" i="98"/>
  <c r="J27" i="98"/>
  <c r="I27" i="98"/>
  <c r="H27" i="98"/>
  <c r="G27" i="98"/>
  <c r="F27" i="98"/>
  <c r="E27" i="98"/>
  <c r="N26" i="98"/>
  <c r="N25" i="98"/>
  <c r="N24" i="98"/>
  <c r="N23" i="98"/>
  <c r="A17" i="98"/>
  <c r="L9" i="98"/>
  <c r="N9" i="98" s="1"/>
  <c r="D4" i="98"/>
  <c r="E4" i="98" s="1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L27" i="98" l="1"/>
  <c r="N7" i="98"/>
  <c r="N27" i="98" s="1"/>
  <c r="D4" i="97"/>
  <c r="E4" i="97" s="1"/>
  <c r="L11" i="97"/>
  <c r="N11" i="97" s="1"/>
  <c r="L13" i="97"/>
  <c r="N13" i="97" s="1"/>
  <c r="L15" i="97"/>
  <c r="N15" i="97" s="1"/>
  <c r="L17" i="97"/>
  <c r="N17" i="97" s="1"/>
  <c r="L19" i="97"/>
  <c r="N19" i="97" s="1"/>
  <c r="L21" i="97"/>
  <c r="N21" i="97" s="1"/>
  <c r="D7" i="97"/>
  <c r="L7" i="97" s="1"/>
  <c r="M27" i="97"/>
  <c r="K27" i="97"/>
  <c r="J27" i="97"/>
  <c r="I27" i="97"/>
  <c r="H27" i="97"/>
  <c r="G27" i="97"/>
  <c r="F27" i="97"/>
  <c r="E27" i="97"/>
  <c r="N26" i="97"/>
  <c r="N25" i="97"/>
  <c r="N24" i="97"/>
  <c r="N23" i="97"/>
  <c r="L22" i="97"/>
  <c r="N22" i="97" s="1"/>
  <c r="L20" i="97"/>
  <c r="N20" i="97" s="1"/>
  <c r="L18" i="97"/>
  <c r="N18" i="97" s="1"/>
  <c r="A17" i="97"/>
  <c r="L16" i="97"/>
  <c r="N16" i="97" s="1"/>
  <c r="L14" i="97"/>
  <c r="N14" i="97" s="1"/>
  <c r="L12" i="97"/>
  <c r="N12" i="97" s="1"/>
  <c r="L10" i="97"/>
  <c r="N10" i="97" s="1"/>
  <c r="L9" i="97"/>
  <c r="N9" i="97" s="1"/>
  <c r="L8" i="97"/>
  <c r="N8" i="97" s="1"/>
  <c r="L27" i="97" l="1"/>
  <c r="N7" i="97"/>
  <c r="N27" i="97" s="1"/>
  <c r="D8" i="96"/>
  <c r="L8" i="96" s="1"/>
  <c r="N8" i="96" s="1"/>
  <c r="D9" i="96"/>
  <c r="L9" i="96" s="1"/>
  <c r="N9" i="96" s="1"/>
  <c r="D10" i="96"/>
  <c r="L10" i="96" s="1"/>
  <c r="N10" i="96" s="1"/>
  <c r="D11" i="96"/>
  <c r="D12" i="96"/>
  <c r="L12" i="96" s="1"/>
  <c r="N12" i="96" s="1"/>
  <c r="D13" i="96"/>
  <c r="L13" i="96" s="1"/>
  <c r="N13" i="96" s="1"/>
  <c r="D14" i="96"/>
  <c r="L14" i="96" s="1"/>
  <c r="N14" i="96" s="1"/>
  <c r="D15" i="96"/>
  <c r="L15" i="96" s="1"/>
  <c r="N15" i="96" s="1"/>
  <c r="D16" i="96"/>
  <c r="L16" i="96" s="1"/>
  <c r="N16" i="96" s="1"/>
  <c r="D17" i="96"/>
  <c r="L17" i="96" s="1"/>
  <c r="N17" i="96" s="1"/>
  <c r="D18" i="96"/>
  <c r="L18" i="96" s="1"/>
  <c r="N18" i="96" s="1"/>
  <c r="D19" i="96"/>
  <c r="L19" i="96" s="1"/>
  <c r="N19" i="96" s="1"/>
  <c r="D20" i="96"/>
  <c r="L20" i="96" s="1"/>
  <c r="N20" i="96" s="1"/>
  <c r="D21" i="96"/>
  <c r="D22" i="96"/>
  <c r="L22" i="96" s="1"/>
  <c r="N22" i="96" s="1"/>
  <c r="D23" i="96"/>
  <c r="D24" i="96"/>
  <c r="D25" i="96"/>
  <c r="D26" i="96"/>
  <c r="D7" i="96"/>
  <c r="L7" i="96" s="1"/>
  <c r="D4" i="96"/>
  <c r="E4" i="96" s="1"/>
  <c r="M27" i="96"/>
  <c r="K27" i="96"/>
  <c r="J27" i="96"/>
  <c r="I27" i="96"/>
  <c r="H27" i="96"/>
  <c r="G27" i="96"/>
  <c r="F27" i="96"/>
  <c r="E27" i="96"/>
  <c r="N26" i="96"/>
  <c r="N25" i="96"/>
  <c r="N24" i="96"/>
  <c r="N23" i="96"/>
  <c r="L21" i="96"/>
  <c r="N21" i="96" s="1"/>
  <c r="A17" i="96"/>
  <c r="L11" i="96"/>
  <c r="N11" i="96" s="1"/>
  <c r="L27" i="96" l="1"/>
  <c r="N7" i="96"/>
  <c r="N27" i="96" s="1"/>
  <c r="D8" i="95"/>
  <c r="D9" i="95"/>
  <c r="D10" i="95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D4" i="95" l="1"/>
  <c r="E4" i="95" s="1"/>
  <c r="L17" i="95"/>
  <c r="N17" i="95" s="1"/>
  <c r="L18" i="95"/>
  <c r="N18" i="95" s="1"/>
  <c r="L19" i="95"/>
  <c r="N19" i="95" s="1"/>
  <c r="L20" i="95"/>
  <c r="N20" i="95" s="1"/>
  <c r="L21" i="95"/>
  <c r="N21" i="95" s="1"/>
  <c r="L22" i="95"/>
  <c r="N22" i="95" s="1"/>
  <c r="D7" i="95"/>
  <c r="L7" i="95" s="1"/>
  <c r="M27" i="95"/>
  <c r="K27" i="95"/>
  <c r="J27" i="95"/>
  <c r="I27" i="95"/>
  <c r="H27" i="95"/>
  <c r="G27" i="95"/>
  <c r="F27" i="95"/>
  <c r="E27" i="95"/>
  <c r="N26" i="95"/>
  <c r="N25" i="95"/>
  <c r="N24" i="95"/>
  <c r="N23" i="95"/>
  <c r="A17" i="95"/>
  <c r="L16" i="95"/>
  <c r="N16" i="95" s="1"/>
  <c r="L15" i="95"/>
  <c r="N15" i="95" s="1"/>
  <c r="L14" i="95"/>
  <c r="N14" i="95" s="1"/>
  <c r="L13" i="95"/>
  <c r="N13" i="95" s="1"/>
  <c r="L12" i="95"/>
  <c r="N12" i="95" s="1"/>
  <c r="L11" i="95"/>
  <c r="N11" i="95" s="1"/>
  <c r="L10" i="95"/>
  <c r="N10" i="95" s="1"/>
  <c r="L9" i="95"/>
  <c r="N9" i="95" s="1"/>
  <c r="L8" i="95"/>
  <c r="N8" i="95" s="1"/>
  <c r="L27" i="95" l="1"/>
  <c r="N7" i="95"/>
  <c r="N27" i="95" s="1"/>
  <c r="D8" i="94"/>
  <c r="L8" i="94" s="1"/>
  <c r="N8" i="94" s="1"/>
  <c r="D9" i="94"/>
  <c r="D10" i="94"/>
  <c r="L10" i="94" s="1"/>
  <c r="N10" i="94" s="1"/>
  <c r="D11" i="94"/>
  <c r="L11" i="94" s="1"/>
  <c r="N11" i="94" s="1"/>
  <c r="D12" i="94"/>
  <c r="L12" i="94" s="1"/>
  <c r="N12" i="94" s="1"/>
  <c r="D13" i="94"/>
  <c r="L13" i="94" s="1"/>
  <c r="N13" i="94" s="1"/>
  <c r="D14" i="94"/>
  <c r="L14" i="94" s="1"/>
  <c r="N14" i="94" s="1"/>
  <c r="D15" i="94"/>
  <c r="L15" i="94" s="1"/>
  <c r="N15" i="94" s="1"/>
  <c r="D16" i="94"/>
  <c r="L16" i="94" s="1"/>
  <c r="N16" i="94" s="1"/>
  <c r="D17" i="94"/>
  <c r="L17" i="94" s="1"/>
  <c r="N17" i="94" s="1"/>
  <c r="D18" i="94"/>
  <c r="L18" i="94" s="1"/>
  <c r="N18" i="94" s="1"/>
  <c r="D19" i="94"/>
  <c r="L19" i="94" s="1"/>
  <c r="N19" i="94" s="1"/>
  <c r="D20" i="94"/>
  <c r="L20" i="94" s="1"/>
  <c r="N20" i="94" s="1"/>
  <c r="D21" i="94"/>
  <c r="L21" i="94" s="1"/>
  <c r="N21" i="94" s="1"/>
  <c r="D22" i="94"/>
  <c r="L22" i="94" s="1"/>
  <c r="N22" i="94" s="1"/>
  <c r="D23" i="94"/>
  <c r="D24" i="94"/>
  <c r="D25" i="94"/>
  <c r="D26" i="94"/>
  <c r="D7" i="94"/>
  <c r="L7" i="94" s="1"/>
  <c r="M27" i="94"/>
  <c r="K27" i="94"/>
  <c r="J27" i="94"/>
  <c r="I27" i="94"/>
  <c r="H27" i="94"/>
  <c r="G27" i="94"/>
  <c r="F27" i="94"/>
  <c r="E27" i="94"/>
  <c r="N26" i="94"/>
  <c r="N25" i="94"/>
  <c r="N24" i="94"/>
  <c r="N23" i="94"/>
  <c r="A17" i="94"/>
  <c r="L9" i="94"/>
  <c r="N9" i="94" s="1"/>
  <c r="D4" i="94"/>
  <c r="E4" i="94" s="1"/>
  <c r="L27" i="94" l="1"/>
  <c r="N7" i="94"/>
  <c r="N27" i="94" s="1"/>
  <c r="D8" i="93"/>
  <c r="L8" i="93" s="1"/>
  <c r="N8" i="93" s="1"/>
  <c r="D9" i="93"/>
  <c r="L9" i="93" s="1"/>
  <c r="N9" i="93" s="1"/>
  <c r="D10" i="93"/>
  <c r="L10" i="93" s="1"/>
  <c r="N10" i="93" s="1"/>
  <c r="D11" i="93"/>
  <c r="D13" i="93"/>
  <c r="L13" i="93" s="1"/>
  <c r="N13" i="93" s="1"/>
  <c r="D14" i="93"/>
  <c r="L14" i="93" s="1"/>
  <c r="N14" i="93" s="1"/>
  <c r="D15" i="93"/>
  <c r="L15" i="93" s="1"/>
  <c r="N15" i="93" s="1"/>
  <c r="D16" i="93"/>
  <c r="L16" i="93" s="1"/>
  <c r="N16" i="93" s="1"/>
  <c r="D17" i="93"/>
  <c r="L17" i="93" s="1"/>
  <c r="N17" i="93" s="1"/>
  <c r="D18" i="93"/>
  <c r="L18" i="93" s="1"/>
  <c r="N18" i="93" s="1"/>
  <c r="D19" i="93"/>
  <c r="L19" i="93" s="1"/>
  <c r="N19" i="93" s="1"/>
  <c r="D20" i="93"/>
  <c r="L20" i="93" s="1"/>
  <c r="N20" i="93" s="1"/>
  <c r="D21" i="93"/>
  <c r="L21" i="93" s="1"/>
  <c r="N21" i="93" s="1"/>
  <c r="D22" i="93"/>
  <c r="L22" i="93" s="1"/>
  <c r="N22" i="93" s="1"/>
  <c r="D23" i="93"/>
  <c r="D24" i="93"/>
  <c r="D25" i="93"/>
  <c r="D26" i="93"/>
  <c r="D4" i="93"/>
  <c r="E4" i="93" s="1"/>
  <c r="D7" i="93"/>
  <c r="L7" i="93" s="1"/>
  <c r="K27" i="93"/>
  <c r="J27" i="93"/>
  <c r="I27" i="93"/>
  <c r="H27" i="93"/>
  <c r="G27" i="93"/>
  <c r="F27" i="93"/>
  <c r="E27" i="93"/>
  <c r="N26" i="93"/>
  <c r="N25" i="93"/>
  <c r="N24" i="93"/>
  <c r="N23" i="93"/>
  <c r="A17" i="93"/>
  <c r="M27" i="93"/>
  <c r="L11" i="93"/>
  <c r="N11" i="93" s="1"/>
  <c r="M12" i="92"/>
  <c r="D12" i="93" s="1"/>
  <c r="L12" i="93" s="1"/>
  <c r="N12" i="93" s="1"/>
  <c r="L27" i="93" l="1"/>
  <c r="N7" i="93"/>
  <c r="N27" i="93" s="1"/>
  <c r="D8" i="92" l="1"/>
  <c r="L8" i="92" s="1"/>
  <c r="N8" i="92" s="1"/>
  <c r="D9" i="92"/>
  <c r="L9" i="92" s="1"/>
  <c r="N9" i="92" s="1"/>
  <c r="D10" i="92"/>
  <c r="D11" i="92"/>
  <c r="L11" i="92" s="1"/>
  <c r="N11" i="92" s="1"/>
  <c r="D12" i="92"/>
  <c r="L12" i="92" s="1"/>
  <c r="N12" i="92" s="1"/>
  <c r="D13" i="92"/>
  <c r="L13" i="92" s="1"/>
  <c r="N13" i="92" s="1"/>
  <c r="D14" i="92"/>
  <c r="L14" i="92" s="1"/>
  <c r="N14" i="92" s="1"/>
  <c r="D15" i="92"/>
  <c r="L15" i="92" s="1"/>
  <c r="N15" i="92" s="1"/>
  <c r="D16" i="92"/>
  <c r="L16" i="92" s="1"/>
  <c r="N16" i="92" s="1"/>
  <c r="D17" i="92"/>
  <c r="L17" i="92" s="1"/>
  <c r="N17" i="92" s="1"/>
  <c r="D18" i="92"/>
  <c r="L18" i="92" s="1"/>
  <c r="N18" i="92" s="1"/>
  <c r="D19" i="92"/>
  <c r="L19" i="92" s="1"/>
  <c r="N19" i="92" s="1"/>
  <c r="D20" i="92"/>
  <c r="L20" i="92" s="1"/>
  <c r="N20" i="92" s="1"/>
  <c r="D21" i="92"/>
  <c r="L21" i="92" s="1"/>
  <c r="N21" i="92" s="1"/>
  <c r="D22" i="92"/>
  <c r="L22" i="92" s="1"/>
  <c r="N22" i="92" s="1"/>
  <c r="D23" i="92"/>
  <c r="D24" i="92"/>
  <c r="D25" i="92"/>
  <c r="D26" i="92"/>
  <c r="D7" i="92"/>
  <c r="L7" i="92" s="1"/>
  <c r="D4" i="92"/>
  <c r="E4" i="92" s="1"/>
  <c r="M27" i="92"/>
  <c r="K27" i="92"/>
  <c r="J27" i="92"/>
  <c r="I27" i="92"/>
  <c r="H27" i="92"/>
  <c r="G27" i="92"/>
  <c r="F27" i="92"/>
  <c r="E27" i="92"/>
  <c r="N26" i="92"/>
  <c r="N25" i="92"/>
  <c r="N24" i="92"/>
  <c r="N23" i="92"/>
  <c r="A17" i="92"/>
  <c r="L10" i="92"/>
  <c r="N10" i="92" s="1"/>
  <c r="L27" i="92" l="1"/>
  <c r="N7" i="92"/>
  <c r="N27" i="92" s="1"/>
  <c r="D4" i="91"/>
  <c r="E4" i="91" s="1"/>
  <c r="D8" i="91"/>
  <c r="L8" i="91" s="1"/>
  <c r="N8" i="91" s="1"/>
  <c r="D9" i="91"/>
  <c r="L9" i="91" s="1"/>
  <c r="N9" i="91" s="1"/>
  <c r="D10" i="91"/>
  <c r="L10" i="91" s="1"/>
  <c r="N10" i="91" s="1"/>
  <c r="D11" i="91"/>
  <c r="L11" i="91" s="1"/>
  <c r="N11" i="91" s="1"/>
  <c r="D12" i="91"/>
  <c r="L12" i="91" s="1"/>
  <c r="N12" i="91" s="1"/>
  <c r="D13" i="91"/>
  <c r="L13" i="91" s="1"/>
  <c r="N13" i="91" s="1"/>
  <c r="D14" i="91"/>
  <c r="L14" i="91" s="1"/>
  <c r="N14" i="91" s="1"/>
  <c r="D15" i="91"/>
  <c r="L15" i="91" s="1"/>
  <c r="N15" i="91" s="1"/>
  <c r="D16" i="91"/>
  <c r="L16" i="91" s="1"/>
  <c r="N16" i="91" s="1"/>
  <c r="D17" i="91"/>
  <c r="L17" i="91" s="1"/>
  <c r="N17" i="91" s="1"/>
  <c r="D18" i="91"/>
  <c r="L18" i="91" s="1"/>
  <c r="N18" i="91" s="1"/>
  <c r="D19" i="91"/>
  <c r="L19" i="91" s="1"/>
  <c r="N19" i="91" s="1"/>
  <c r="D20" i="91"/>
  <c r="L20" i="91" s="1"/>
  <c r="N20" i="91" s="1"/>
  <c r="D21" i="91"/>
  <c r="L21" i="91" s="1"/>
  <c r="N21" i="91" s="1"/>
  <c r="D22" i="91"/>
  <c r="L22" i="91" s="1"/>
  <c r="N22" i="91" s="1"/>
  <c r="D23" i="91"/>
  <c r="D24" i="91"/>
  <c r="D25" i="91"/>
  <c r="D26" i="91"/>
  <c r="D7" i="91"/>
  <c r="L7" i="91" s="1"/>
  <c r="M27" i="91"/>
  <c r="K27" i="91"/>
  <c r="J27" i="91"/>
  <c r="I27" i="91"/>
  <c r="H27" i="91"/>
  <c r="G27" i="91"/>
  <c r="F27" i="91"/>
  <c r="N26" i="91"/>
  <c r="N25" i="91"/>
  <c r="N24" i="91"/>
  <c r="N23" i="91"/>
  <c r="E27" i="91"/>
  <c r="A17" i="91"/>
  <c r="L27" i="91" l="1"/>
  <c r="N7" i="91"/>
  <c r="N27" i="91" s="1"/>
  <c r="E21" i="90"/>
  <c r="D8" i="90" l="1"/>
  <c r="L8" i="90" s="1"/>
  <c r="N8" i="90" s="1"/>
  <c r="D9" i="90"/>
  <c r="L9" i="90" s="1"/>
  <c r="N9" i="90" s="1"/>
  <c r="D10" i="90"/>
  <c r="L10" i="90" s="1"/>
  <c r="N10" i="90" s="1"/>
  <c r="D11" i="90"/>
  <c r="L11" i="90" s="1"/>
  <c r="N11" i="90" s="1"/>
  <c r="D12" i="90"/>
  <c r="L12" i="90" s="1"/>
  <c r="N12" i="90" s="1"/>
  <c r="D13" i="90"/>
  <c r="L13" i="90" s="1"/>
  <c r="N13" i="90" s="1"/>
  <c r="D14" i="90"/>
  <c r="L14" i="90" s="1"/>
  <c r="N14" i="90" s="1"/>
  <c r="D15" i="90"/>
  <c r="L15" i="90" s="1"/>
  <c r="N15" i="90" s="1"/>
  <c r="D16" i="90"/>
  <c r="L16" i="90" s="1"/>
  <c r="N16" i="90" s="1"/>
  <c r="D17" i="90"/>
  <c r="L17" i="90" s="1"/>
  <c r="N17" i="90" s="1"/>
  <c r="D18" i="90"/>
  <c r="L18" i="90" s="1"/>
  <c r="N18" i="90" s="1"/>
  <c r="D19" i="90"/>
  <c r="L19" i="90" s="1"/>
  <c r="N19" i="90" s="1"/>
  <c r="D20" i="90"/>
  <c r="L20" i="90" s="1"/>
  <c r="N20" i="90" s="1"/>
  <c r="D21" i="90"/>
  <c r="L21" i="90" s="1"/>
  <c r="N21" i="90" s="1"/>
  <c r="D22" i="90"/>
  <c r="L22" i="90" s="1"/>
  <c r="N22" i="90" s="1"/>
  <c r="D23" i="90"/>
  <c r="D24" i="90"/>
  <c r="D25" i="90"/>
  <c r="D26" i="90"/>
  <c r="D7" i="90"/>
  <c r="L7" i="90" s="1"/>
  <c r="D4" i="90"/>
  <c r="E4" i="90" s="1"/>
  <c r="M27" i="90"/>
  <c r="K27" i="90"/>
  <c r="J27" i="90"/>
  <c r="I27" i="90"/>
  <c r="H27" i="90"/>
  <c r="G27" i="90"/>
  <c r="F27" i="90"/>
  <c r="E27" i="90"/>
  <c r="N26" i="90"/>
  <c r="N25" i="90"/>
  <c r="N24" i="90"/>
  <c r="N23" i="90"/>
  <c r="A17" i="90"/>
  <c r="L27" i="90" l="1"/>
  <c r="N7" i="90"/>
  <c r="N27" i="90" s="1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7" i="89"/>
  <c r="D4" i="89"/>
  <c r="M27" i="89" l="1"/>
  <c r="K27" i="89"/>
  <c r="J27" i="89"/>
  <c r="I27" i="89"/>
  <c r="H27" i="89"/>
  <c r="G27" i="89"/>
  <c r="F27" i="89"/>
  <c r="E27" i="89"/>
  <c r="N26" i="89"/>
  <c r="N25" i="89"/>
  <c r="N24" i="89"/>
  <c r="N23" i="89"/>
  <c r="L22" i="89"/>
  <c r="N22" i="89" s="1"/>
  <c r="L21" i="89"/>
  <c r="N21" i="89" s="1"/>
  <c r="L20" i="89"/>
  <c r="N20" i="89" s="1"/>
  <c r="L19" i="89"/>
  <c r="N19" i="89" s="1"/>
  <c r="L18" i="89"/>
  <c r="N18" i="89" s="1"/>
  <c r="L17" i="89"/>
  <c r="N17" i="89" s="1"/>
  <c r="A17" i="89"/>
  <c r="L16" i="89"/>
  <c r="N16" i="89" s="1"/>
  <c r="L15" i="89"/>
  <c r="N15" i="89" s="1"/>
  <c r="L14" i="89"/>
  <c r="N14" i="89" s="1"/>
  <c r="L13" i="89"/>
  <c r="N13" i="89" s="1"/>
  <c r="L12" i="89"/>
  <c r="N12" i="89" s="1"/>
  <c r="L11" i="89"/>
  <c r="N11" i="89" s="1"/>
  <c r="L10" i="89"/>
  <c r="N10" i="89" s="1"/>
  <c r="L9" i="89"/>
  <c r="N9" i="89" s="1"/>
  <c r="L8" i="89"/>
  <c r="N8" i="89" s="1"/>
  <c r="L7" i="89"/>
  <c r="E4" i="89"/>
  <c r="L27" i="89" l="1"/>
  <c r="N7" i="89"/>
  <c r="N27" i="89" s="1"/>
  <c r="D8" i="88"/>
  <c r="L8" i="88" s="1"/>
  <c r="N8" i="88" s="1"/>
  <c r="D9" i="88"/>
  <c r="L9" i="88" s="1"/>
  <c r="N9" i="88" s="1"/>
  <c r="D10" i="88"/>
  <c r="L10" i="88" s="1"/>
  <c r="N10" i="88" s="1"/>
  <c r="D11" i="88"/>
  <c r="D12" i="88"/>
  <c r="L12" i="88" s="1"/>
  <c r="N12" i="88" s="1"/>
  <c r="D13" i="88"/>
  <c r="L13" i="88" s="1"/>
  <c r="N13" i="88" s="1"/>
  <c r="D14" i="88"/>
  <c r="L14" i="88" s="1"/>
  <c r="N14" i="88" s="1"/>
  <c r="D15" i="88"/>
  <c r="L15" i="88" s="1"/>
  <c r="N15" i="88" s="1"/>
  <c r="D16" i="88"/>
  <c r="L16" i="88" s="1"/>
  <c r="N16" i="88" s="1"/>
  <c r="D17" i="88"/>
  <c r="L17" i="88" s="1"/>
  <c r="N17" i="88" s="1"/>
  <c r="D18" i="88"/>
  <c r="L18" i="88" s="1"/>
  <c r="N18" i="88" s="1"/>
  <c r="D19" i="88"/>
  <c r="L19" i="88" s="1"/>
  <c r="N19" i="88" s="1"/>
  <c r="D20" i="88"/>
  <c r="L20" i="88" s="1"/>
  <c r="N20" i="88" s="1"/>
  <c r="D21" i="88"/>
  <c r="D22" i="88"/>
  <c r="L22" i="88" s="1"/>
  <c r="N22" i="88" s="1"/>
  <c r="D23" i="88"/>
  <c r="D24" i="88"/>
  <c r="D25" i="88"/>
  <c r="D26" i="88"/>
  <c r="D7" i="88"/>
  <c r="L7" i="88" s="1"/>
  <c r="D4" i="88"/>
  <c r="E4" i="88" s="1"/>
  <c r="M27" i="88"/>
  <c r="K27" i="88"/>
  <c r="J27" i="88"/>
  <c r="I27" i="88"/>
  <c r="H27" i="88"/>
  <c r="G27" i="88"/>
  <c r="F27" i="88"/>
  <c r="E27" i="88"/>
  <c r="N26" i="88"/>
  <c r="N25" i="88"/>
  <c r="N24" i="88"/>
  <c r="N23" i="88"/>
  <c r="L21" i="88"/>
  <c r="N21" i="88" s="1"/>
  <c r="A17" i="88"/>
  <c r="L11" i="88"/>
  <c r="N11" i="88" s="1"/>
  <c r="L27" i="88" l="1"/>
  <c r="N7" i="88"/>
  <c r="N27" i="88" s="1"/>
  <c r="D8" i="87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L18" i="87" l="1"/>
  <c r="N18" i="87" s="1"/>
  <c r="L20" i="87"/>
  <c r="N20" i="87" s="1"/>
  <c r="L22" i="87"/>
  <c r="N22" i="87" s="1"/>
  <c r="D7" i="87"/>
  <c r="L7" i="87" s="1"/>
  <c r="D4" i="87"/>
  <c r="M27" i="87"/>
  <c r="K27" i="87"/>
  <c r="J27" i="87"/>
  <c r="I27" i="87"/>
  <c r="H27" i="87"/>
  <c r="G27" i="87"/>
  <c r="F27" i="87"/>
  <c r="E27" i="87"/>
  <c r="N26" i="87"/>
  <c r="N25" i="87"/>
  <c r="N24" i="87"/>
  <c r="N23" i="87"/>
  <c r="L21" i="87"/>
  <c r="N21" i="87" s="1"/>
  <c r="L19" i="87"/>
  <c r="N19" i="87" s="1"/>
  <c r="L17" i="87"/>
  <c r="N17" i="87" s="1"/>
  <c r="A17" i="87"/>
  <c r="L16" i="87"/>
  <c r="N16" i="87" s="1"/>
  <c r="L15" i="87"/>
  <c r="N15" i="87" s="1"/>
  <c r="L14" i="87"/>
  <c r="N14" i="87" s="1"/>
  <c r="L13" i="87"/>
  <c r="N13" i="87" s="1"/>
  <c r="L12" i="87"/>
  <c r="N12" i="87" s="1"/>
  <c r="L11" i="87"/>
  <c r="N11" i="87" s="1"/>
  <c r="L10" i="87"/>
  <c r="N10" i="87" s="1"/>
  <c r="L9" i="87"/>
  <c r="N9" i="87" s="1"/>
  <c r="L8" i="87"/>
  <c r="N8" i="87" s="1"/>
  <c r="E4" i="87"/>
  <c r="D8" i="86"/>
  <c r="L8" i="86" s="1"/>
  <c r="N8" i="86" s="1"/>
  <c r="D9" i="86"/>
  <c r="L9" i="86" s="1"/>
  <c r="N9" i="86" s="1"/>
  <c r="D10" i="86"/>
  <c r="L10" i="86" s="1"/>
  <c r="N10" i="86" s="1"/>
  <c r="D11" i="86"/>
  <c r="L11" i="86" s="1"/>
  <c r="N11" i="86" s="1"/>
  <c r="D12" i="86"/>
  <c r="L12" i="86" s="1"/>
  <c r="N12" i="86" s="1"/>
  <c r="D13" i="86"/>
  <c r="L13" i="86" s="1"/>
  <c r="N13" i="86" s="1"/>
  <c r="D14" i="86"/>
  <c r="L14" i="86" s="1"/>
  <c r="N14" i="86" s="1"/>
  <c r="D15" i="86"/>
  <c r="L15" i="86" s="1"/>
  <c r="N15" i="86" s="1"/>
  <c r="D16" i="86"/>
  <c r="L16" i="86" s="1"/>
  <c r="N16" i="86" s="1"/>
  <c r="D17" i="86"/>
  <c r="L17" i="86" s="1"/>
  <c r="N17" i="86" s="1"/>
  <c r="D18" i="86"/>
  <c r="L18" i="86" s="1"/>
  <c r="N18" i="86" s="1"/>
  <c r="D19" i="86"/>
  <c r="L19" i="86" s="1"/>
  <c r="N19" i="86" s="1"/>
  <c r="D20" i="86"/>
  <c r="L20" i="86" s="1"/>
  <c r="N20" i="86" s="1"/>
  <c r="D21" i="86"/>
  <c r="D22" i="86"/>
  <c r="L22" i="86" s="1"/>
  <c r="N22" i="86" s="1"/>
  <c r="D23" i="86"/>
  <c r="D24" i="86"/>
  <c r="D25" i="86"/>
  <c r="D26" i="86"/>
  <c r="D7" i="86"/>
  <c r="D4" i="86"/>
  <c r="E4" i="86" s="1"/>
  <c r="M27" i="86"/>
  <c r="K27" i="86"/>
  <c r="J27" i="86"/>
  <c r="I27" i="86"/>
  <c r="H27" i="86"/>
  <c r="G27" i="86"/>
  <c r="N26" i="86"/>
  <c r="N25" i="86"/>
  <c r="N24" i="86"/>
  <c r="N23" i="86"/>
  <c r="L21" i="86"/>
  <c r="N21" i="86" s="1"/>
  <c r="E27" i="86"/>
  <c r="A17" i="86"/>
  <c r="F27" i="86"/>
  <c r="D27" i="279" l="1"/>
  <c r="D27" i="277"/>
  <c r="D27" i="278"/>
  <c r="D27" i="275"/>
  <c r="D27" i="276"/>
  <c r="D27" i="273"/>
  <c r="D27" i="274"/>
  <c r="D27" i="271"/>
  <c r="D27" i="272"/>
  <c r="D27" i="269"/>
  <c r="D27" i="270"/>
  <c r="D27" i="267"/>
  <c r="D27" i="268"/>
  <c r="D27" i="264"/>
  <c r="D27" i="265"/>
  <c r="D27" i="262"/>
  <c r="D27" i="263"/>
  <c r="D27" i="260"/>
  <c r="D27" i="261"/>
  <c r="D27" i="258"/>
  <c r="D27" i="259"/>
  <c r="D27" i="256"/>
  <c r="D27" i="257"/>
  <c r="D27" i="254"/>
  <c r="D27" i="255"/>
  <c r="D27" i="252"/>
  <c r="D27" i="253"/>
  <c r="D27" i="250"/>
  <c r="D27" i="251"/>
  <c r="D27" i="248"/>
  <c r="D27" i="249"/>
  <c r="D27" i="246"/>
  <c r="D27" i="247"/>
  <c r="D27" i="244"/>
  <c r="D27" i="245"/>
  <c r="D27" i="242"/>
  <c r="D27" i="243"/>
  <c r="D27" i="240"/>
  <c r="D27" i="241"/>
  <c r="D27" i="238"/>
  <c r="D27" i="239"/>
  <c r="D27" i="236"/>
  <c r="D27" i="237"/>
  <c r="D27" i="235"/>
  <c r="D27" i="234"/>
  <c r="D27" i="233"/>
  <c r="D27" i="232"/>
  <c r="D27" i="231"/>
  <c r="D27" i="230"/>
  <c r="D27" i="229"/>
  <c r="D27" i="228"/>
  <c r="D27" i="227"/>
  <c r="D27" i="226"/>
  <c r="D27" i="225"/>
  <c r="D27" i="224"/>
  <c r="D27" i="223"/>
  <c r="D27" i="222"/>
  <c r="D27" i="221"/>
  <c r="D27" i="219"/>
  <c r="D27" i="220"/>
  <c r="D27" i="218"/>
  <c r="D27" i="217"/>
  <c r="D27" i="216"/>
  <c r="D27" i="214"/>
  <c r="D27" i="215"/>
  <c r="D27" i="213"/>
  <c r="D27" i="212"/>
  <c r="D27" i="211"/>
  <c r="D27" i="210"/>
  <c r="D27" i="209"/>
  <c r="D27" i="208"/>
  <c r="D27" i="207"/>
  <c r="D27" i="206"/>
  <c r="D27" i="205"/>
  <c r="D27" i="204"/>
  <c r="D27" i="203"/>
  <c r="D27" i="202"/>
  <c r="D27" i="201"/>
  <c r="D27" i="200"/>
  <c r="D27" i="199"/>
  <c r="D27" i="198"/>
  <c r="D27" i="197"/>
  <c r="D27" i="196"/>
  <c r="D27" i="195"/>
  <c r="D27" i="194"/>
  <c r="D27" i="193"/>
  <c r="D27" i="191"/>
  <c r="D27" i="192"/>
  <c r="D27" i="190"/>
  <c r="D27" i="189"/>
  <c r="D27" i="188"/>
  <c r="D27" i="187"/>
  <c r="D27" i="186"/>
  <c r="D27" i="185"/>
  <c r="D27" i="184"/>
  <c r="D27" i="183"/>
  <c r="D27" i="182"/>
  <c r="D27" i="181"/>
  <c r="D27" i="180"/>
  <c r="D27" i="179"/>
  <c r="D27" i="178"/>
  <c r="D27" i="177"/>
  <c r="D27" i="176"/>
  <c r="D27" i="175"/>
  <c r="D27" i="174"/>
  <c r="D27" i="172"/>
  <c r="D27" i="173"/>
  <c r="D27" i="171"/>
  <c r="D27" i="170"/>
  <c r="D27" i="169"/>
  <c r="D27" i="168"/>
  <c r="D27" i="167"/>
  <c r="D27" i="166"/>
  <c r="D27" i="165"/>
  <c r="D27" i="164"/>
  <c r="D27" i="163"/>
  <c r="D27" i="162"/>
  <c r="D27" i="160"/>
  <c r="D27" i="161"/>
  <c r="D27" i="158"/>
  <c r="D27" i="157"/>
  <c r="D27" i="159"/>
  <c r="D27" i="156"/>
  <c r="D27" i="155"/>
  <c r="D27" i="154"/>
  <c r="D27" i="153"/>
  <c r="D27" i="152"/>
  <c r="D27" i="151"/>
  <c r="D27" i="150"/>
  <c r="D27" i="149"/>
  <c r="D27" i="148"/>
  <c r="D27" i="147"/>
  <c r="D27" i="146"/>
  <c r="D27" i="144"/>
  <c r="D27" i="145"/>
  <c r="D27" i="143"/>
  <c r="D27" i="142"/>
  <c r="D27" i="141"/>
  <c r="D27" i="140"/>
  <c r="D27" i="139"/>
  <c r="D27" i="138"/>
  <c r="D27" i="137"/>
  <c r="D27" i="136"/>
  <c r="D27" i="135"/>
  <c r="D27" i="134"/>
  <c r="D27" i="133"/>
  <c r="D27" i="131"/>
  <c r="D27" i="130"/>
  <c r="D27" i="132"/>
  <c r="D27" i="129"/>
  <c r="D27" i="128"/>
  <c r="D27" i="127"/>
  <c r="D27" i="126"/>
  <c r="D27" i="125"/>
  <c r="D27" i="124"/>
  <c r="D27" i="122"/>
  <c r="D27" i="121"/>
  <c r="D27" i="120"/>
  <c r="D27" i="119"/>
  <c r="D27" i="118"/>
  <c r="D27" i="117"/>
  <c r="D27" i="115"/>
  <c r="D27" i="116"/>
  <c r="D27" i="114"/>
  <c r="D27" i="112"/>
  <c r="D27" i="111"/>
  <c r="D27" i="110"/>
  <c r="D27" i="109"/>
  <c r="D27" i="107"/>
  <c r="D27" i="108"/>
  <c r="D27" i="106"/>
  <c r="D27" i="105"/>
  <c r="D27" i="104"/>
  <c r="D27" i="103"/>
  <c r="D27" i="102"/>
  <c r="D27" i="101"/>
  <c r="D27" i="100"/>
  <c r="D27" i="99"/>
  <c r="D27" i="98"/>
  <c r="D27" i="97"/>
  <c r="D27" i="96"/>
  <c r="D27" i="93"/>
  <c r="D27" i="95"/>
  <c r="D27" i="94"/>
  <c r="D27" i="92"/>
  <c r="D27" i="91"/>
  <c r="D27" i="90"/>
  <c r="D27" i="89"/>
  <c r="D27" i="88"/>
  <c r="D27" i="87"/>
  <c r="L27" i="87"/>
  <c r="N7" i="87"/>
  <c r="N27" i="87" s="1"/>
  <c r="D27" i="86"/>
  <c r="L7" i="86"/>
  <c r="L27" i="86" l="1"/>
  <c r="N7" i="86"/>
  <c r="N27" i="86" s="1"/>
  <c r="F7" i="85" l="1"/>
  <c r="D17" i="85" l="1"/>
  <c r="D18" i="85"/>
  <c r="D19" i="85"/>
  <c r="D20" i="85"/>
  <c r="D21" i="85"/>
  <c r="D22" i="85"/>
  <c r="D23" i="85"/>
  <c r="D24" i="85"/>
  <c r="D25" i="85"/>
  <c r="D26" i="85"/>
  <c r="E11" i="84"/>
  <c r="E11" i="64" l="1"/>
  <c r="D8" i="85" l="1"/>
  <c r="L8" i="85" s="1"/>
  <c r="N8" i="85" s="1"/>
  <c r="D9" i="85"/>
  <c r="D10" i="85"/>
  <c r="L10" i="85" s="1"/>
  <c r="N10" i="85" s="1"/>
  <c r="D11" i="85"/>
  <c r="L11" i="85" s="1"/>
  <c r="N11" i="85" s="1"/>
  <c r="D12" i="85"/>
  <c r="L12" i="85" s="1"/>
  <c r="N12" i="85" s="1"/>
  <c r="D13" i="85"/>
  <c r="L13" i="85" s="1"/>
  <c r="N13" i="85" s="1"/>
  <c r="D14" i="85"/>
  <c r="L14" i="85" s="1"/>
  <c r="N14" i="85" s="1"/>
  <c r="D15" i="85"/>
  <c r="L15" i="85" s="1"/>
  <c r="N15" i="85" s="1"/>
  <c r="D16" i="85"/>
  <c r="L16" i="85" s="1"/>
  <c r="N16" i="85" s="1"/>
  <c r="D7" i="85"/>
  <c r="D4" i="85"/>
  <c r="E4" i="85" s="1"/>
  <c r="M27" i="85"/>
  <c r="K27" i="85"/>
  <c r="J27" i="85"/>
  <c r="I27" i="85"/>
  <c r="H27" i="85"/>
  <c r="G27" i="85"/>
  <c r="F27" i="85"/>
  <c r="N26" i="85"/>
  <c r="N25" i="85"/>
  <c r="N24" i="85"/>
  <c r="N23" i="85"/>
  <c r="L22" i="85"/>
  <c r="N22" i="85" s="1"/>
  <c r="L21" i="85"/>
  <c r="N21" i="85" s="1"/>
  <c r="L20" i="85"/>
  <c r="N20" i="85" s="1"/>
  <c r="L19" i="85"/>
  <c r="N19" i="85" s="1"/>
  <c r="L18" i="85"/>
  <c r="N18" i="85" s="1"/>
  <c r="L17" i="85"/>
  <c r="N17" i="85" s="1"/>
  <c r="A17" i="85"/>
  <c r="E27" i="85"/>
  <c r="L9" i="85"/>
  <c r="N9" i="85" s="1"/>
  <c r="D27" i="85" l="1"/>
  <c r="L7" i="85"/>
  <c r="L27" i="85" l="1"/>
  <c r="N7" i="85"/>
  <c r="N27" i="85" s="1"/>
  <c r="D8" i="84"/>
  <c r="L8" i="84" s="1"/>
  <c r="N8" i="84" s="1"/>
  <c r="D9" i="84"/>
  <c r="L9" i="84" s="1"/>
  <c r="N9" i="84" s="1"/>
  <c r="D10" i="84"/>
  <c r="L10" i="84" s="1"/>
  <c r="N10" i="84" s="1"/>
  <c r="D11" i="84"/>
  <c r="L11" i="84" s="1"/>
  <c r="N11" i="84" s="1"/>
  <c r="D12" i="84"/>
  <c r="L12" i="84" s="1"/>
  <c r="N12" i="84" s="1"/>
  <c r="D13" i="84"/>
  <c r="L13" i="84" s="1"/>
  <c r="N13" i="84" s="1"/>
  <c r="D14" i="84"/>
  <c r="L14" i="84" s="1"/>
  <c r="N14" i="84" s="1"/>
  <c r="D15" i="84"/>
  <c r="L15" i="84" s="1"/>
  <c r="N15" i="84" s="1"/>
  <c r="D16" i="84"/>
  <c r="L16" i="84" s="1"/>
  <c r="N16" i="84" s="1"/>
  <c r="D17" i="84"/>
  <c r="L17" i="84" s="1"/>
  <c r="N17" i="84" s="1"/>
  <c r="D18" i="84"/>
  <c r="L18" i="84" s="1"/>
  <c r="N18" i="84" s="1"/>
  <c r="D19" i="84"/>
  <c r="L19" i="84" s="1"/>
  <c r="N19" i="84" s="1"/>
  <c r="D20" i="84"/>
  <c r="L20" i="84" s="1"/>
  <c r="N20" i="84" s="1"/>
  <c r="D21" i="84"/>
  <c r="D22" i="84"/>
  <c r="L22" i="84" s="1"/>
  <c r="N22" i="84" s="1"/>
  <c r="D23" i="84"/>
  <c r="D24" i="84"/>
  <c r="D25" i="84"/>
  <c r="D26" i="84"/>
  <c r="D7" i="84"/>
  <c r="D4" i="84"/>
  <c r="E4" i="84" s="1"/>
  <c r="M27" i="84"/>
  <c r="K27" i="84"/>
  <c r="J27" i="84"/>
  <c r="I27" i="84"/>
  <c r="H27" i="84"/>
  <c r="G27" i="84"/>
  <c r="F27" i="84"/>
  <c r="E27" i="84"/>
  <c r="N26" i="84"/>
  <c r="N25" i="84"/>
  <c r="N24" i="84"/>
  <c r="N23" i="84"/>
  <c r="L21" i="84"/>
  <c r="N21" i="84" s="1"/>
  <c r="A17" i="84"/>
  <c r="D27" i="84" l="1"/>
  <c r="L7" i="84"/>
  <c r="L27" i="84" s="1"/>
  <c r="D8" i="83"/>
  <c r="L8" i="83" s="1"/>
  <c r="N8" i="83" s="1"/>
  <c r="D9" i="83"/>
  <c r="L9" i="83" s="1"/>
  <c r="N9" i="83" s="1"/>
  <c r="D10" i="83"/>
  <c r="L10" i="83" s="1"/>
  <c r="N10" i="83" s="1"/>
  <c r="D11" i="83"/>
  <c r="L11" i="83" s="1"/>
  <c r="N11" i="83" s="1"/>
  <c r="D12" i="83"/>
  <c r="L12" i="83" s="1"/>
  <c r="N12" i="83" s="1"/>
  <c r="D13" i="83"/>
  <c r="L13" i="83" s="1"/>
  <c r="N13" i="83" s="1"/>
  <c r="D14" i="83"/>
  <c r="L14" i="83" s="1"/>
  <c r="N14" i="83" s="1"/>
  <c r="D15" i="83"/>
  <c r="L15" i="83" s="1"/>
  <c r="N15" i="83" s="1"/>
  <c r="D16" i="83"/>
  <c r="L16" i="83" s="1"/>
  <c r="N16" i="83" s="1"/>
  <c r="D17" i="83"/>
  <c r="L17" i="83" s="1"/>
  <c r="N17" i="83" s="1"/>
  <c r="D18" i="83"/>
  <c r="L18" i="83" s="1"/>
  <c r="N18" i="83" s="1"/>
  <c r="D19" i="83"/>
  <c r="L19" i="83" s="1"/>
  <c r="N19" i="83" s="1"/>
  <c r="D20" i="83"/>
  <c r="L20" i="83" s="1"/>
  <c r="N20" i="83" s="1"/>
  <c r="D21" i="83"/>
  <c r="L21" i="83" s="1"/>
  <c r="N21" i="83" s="1"/>
  <c r="D23" i="83"/>
  <c r="D24" i="83"/>
  <c r="D25" i="83"/>
  <c r="D26" i="83"/>
  <c r="D7" i="83"/>
  <c r="D4" i="83"/>
  <c r="E4" i="83" s="1"/>
  <c r="K27" i="83"/>
  <c r="J27" i="83"/>
  <c r="I27" i="83"/>
  <c r="H27" i="83"/>
  <c r="G27" i="83"/>
  <c r="F27" i="83"/>
  <c r="E27" i="83"/>
  <c r="N26" i="83"/>
  <c r="N25" i="83"/>
  <c r="N24" i="83"/>
  <c r="N23" i="83"/>
  <c r="M27" i="83"/>
  <c r="A17" i="83"/>
  <c r="N7" i="84" l="1"/>
  <c r="N27" i="84" s="1"/>
  <c r="L7" i="83"/>
  <c r="M22" i="82"/>
  <c r="D22" i="83" s="1"/>
  <c r="L22" i="83" s="1"/>
  <c r="N22" i="83" s="1"/>
  <c r="D27" i="83" l="1"/>
  <c r="L27" i="83"/>
  <c r="N7" i="83"/>
  <c r="N27" i="83" s="1"/>
  <c r="D8" i="82"/>
  <c r="L8" i="82" s="1"/>
  <c r="N8" i="82" s="1"/>
  <c r="D9" i="82"/>
  <c r="L9" i="82" s="1"/>
  <c r="N9" i="82" s="1"/>
  <c r="D10" i="82"/>
  <c r="L10" i="82" s="1"/>
  <c r="N10" i="82" s="1"/>
  <c r="D11" i="82"/>
  <c r="D12" i="82"/>
  <c r="L12" i="82" s="1"/>
  <c r="N12" i="82" s="1"/>
  <c r="D13" i="82"/>
  <c r="L13" i="82" s="1"/>
  <c r="N13" i="82" s="1"/>
  <c r="D14" i="82"/>
  <c r="L14" i="82" s="1"/>
  <c r="N14" i="82" s="1"/>
  <c r="D15" i="82"/>
  <c r="L15" i="82" s="1"/>
  <c r="N15" i="82" s="1"/>
  <c r="D16" i="82"/>
  <c r="L16" i="82" s="1"/>
  <c r="N16" i="82" s="1"/>
  <c r="D17" i="82"/>
  <c r="L17" i="82" s="1"/>
  <c r="N17" i="82" s="1"/>
  <c r="D18" i="82"/>
  <c r="L18" i="82" s="1"/>
  <c r="N18" i="82" s="1"/>
  <c r="D19" i="82"/>
  <c r="L19" i="82" s="1"/>
  <c r="N19" i="82" s="1"/>
  <c r="D20" i="82"/>
  <c r="L20" i="82" s="1"/>
  <c r="N20" i="82" s="1"/>
  <c r="D21" i="82"/>
  <c r="D22" i="82"/>
  <c r="L22" i="82" s="1"/>
  <c r="N22" i="82" s="1"/>
  <c r="D23" i="82"/>
  <c r="D24" i="82"/>
  <c r="D25" i="82"/>
  <c r="D26" i="82"/>
  <c r="D7" i="82"/>
  <c r="D4" i="82"/>
  <c r="M27" i="82"/>
  <c r="K27" i="82"/>
  <c r="J27" i="82"/>
  <c r="I27" i="82"/>
  <c r="H27" i="82"/>
  <c r="G27" i="82"/>
  <c r="F27" i="82"/>
  <c r="E27" i="82"/>
  <c r="N26" i="82"/>
  <c r="N25" i="82"/>
  <c r="N24" i="82"/>
  <c r="N23" i="82"/>
  <c r="L21" i="82"/>
  <c r="N21" i="82" s="1"/>
  <c r="A17" i="82"/>
  <c r="L11" i="82"/>
  <c r="N11" i="82" s="1"/>
  <c r="E4" i="82"/>
  <c r="D27" i="82" l="1"/>
  <c r="L7" i="82"/>
  <c r="L27" i="82" s="1"/>
  <c r="D8" i="81"/>
  <c r="L8" i="81" s="1"/>
  <c r="N8" i="81" s="1"/>
  <c r="D9" i="81"/>
  <c r="L9" i="81" s="1"/>
  <c r="D10" i="81"/>
  <c r="L10" i="81" s="1"/>
  <c r="N10" i="81" s="1"/>
  <c r="D11" i="81"/>
  <c r="D12" i="81"/>
  <c r="L12" i="81" s="1"/>
  <c r="N12" i="81" s="1"/>
  <c r="D13" i="81"/>
  <c r="L13" i="81" s="1"/>
  <c r="N13" i="81" s="1"/>
  <c r="D14" i="81"/>
  <c r="L14" i="81" s="1"/>
  <c r="N14" i="81" s="1"/>
  <c r="D15" i="81"/>
  <c r="L15" i="81" s="1"/>
  <c r="N15" i="81" s="1"/>
  <c r="D16" i="81"/>
  <c r="L16" i="81" s="1"/>
  <c r="N16" i="81" s="1"/>
  <c r="D17" i="81"/>
  <c r="L17" i="81" s="1"/>
  <c r="N17" i="81" s="1"/>
  <c r="D18" i="81"/>
  <c r="L18" i="81" s="1"/>
  <c r="N18" i="81" s="1"/>
  <c r="D19" i="81"/>
  <c r="L19" i="81" s="1"/>
  <c r="N19" i="81" s="1"/>
  <c r="D20" i="81"/>
  <c r="L20" i="81" s="1"/>
  <c r="N20" i="81" s="1"/>
  <c r="D21" i="81"/>
  <c r="D22" i="81"/>
  <c r="L22" i="81" s="1"/>
  <c r="N22" i="81" s="1"/>
  <c r="D23" i="81"/>
  <c r="D24" i="81"/>
  <c r="D25" i="81"/>
  <c r="D26" i="81"/>
  <c r="D7" i="81"/>
  <c r="D4" i="81"/>
  <c r="E4" i="81" s="1"/>
  <c r="M27" i="81"/>
  <c r="K27" i="81"/>
  <c r="J27" i="81"/>
  <c r="I27" i="81"/>
  <c r="H27" i="81"/>
  <c r="G27" i="81"/>
  <c r="F27" i="81"/>
  <c r="E27" i="81"/>
  <c r="N26" i="81"/>
  <c r="N25" i="81"/>
  <c r="N24" i="81"/>
  <c r="N23" i="81"/>
  <c r="L21" i="81"/>
  <c r="N21" i="81" s="1"/>
  <c r="A17" i="81"/>
  <c r="L11" i="81"/>
  <c r="N11" i="81" s="1"/>
  <c r="N7" i="82" l="1"/>
  <c r="N27" i="82" s="1"/>
  <c r="D27" i="81"/>
  <c r="L7" i="81"/>
  <c r="N7" i="81" s="1"/>
  <c r="N9" i="81"/>
  <c r="L27" i="81"/>
  <c r="D8" i="80"/>
  <c r="L8" i="80" s="1"/>
  <c r="D9" i="80"/>
  <c r="L9" i="80" s="1"/>
  <c r="N9" i="80" s="1"/>
  <c r="D10" i="80"/>
  <c r="L10" i="80" s="1"/>
  <c r="N10" i="80" s="1"/>
  <c r="D11" i="80"/>
  <c r="L11" i="80" s="1"/>
  <c r="N11" i="80" s="1"/>
  <c r="D12" i="80"/>
  <c r="L12" i="80" s="1"/>
  <c r="N12" i="80" s="1"/>
  <c r="D13" i="80"/>
  <c r="L13" i="80" s="1"/>
  <c r="N13" i="80" s="1"/>
  <c r="D14" i="80"/>
  <c r="L14" i="80" s="1"/>
  <c r="N14" i="80" s="1"/>
  <c r="D15" i="80"/>
  <c r="L15" i="80" s="1"/>
  <c r="N15" i="80" s="1"/>
  <c r="D16" i="80"/>
  <c r="L16" i="80" s="1"/>
  <c r="N16" i="80" s="1"/>
  <c r="D17" i="80"/>
  <c r="L17" i="80" s="1"/>
  <c r="N17" i="80" s="1"/>
  <c r="D18" i="80"/>
  <c r="L18" i="80" s="1"/>
  <c r="N18" i="80" s="1"/>
  <c r="D19" i="80"/>
  <c r="L19" i="80" s="1"/>
  <c r="N19" i="80" s="1"/>
  <c r="D20" i="80"/>
  <c r="L20" i="80" s="1"/>
  <c r="D21" i="80"/>
  <c r="L21" i="80" s="1"/>
  <c r="N21" i="80" s="1"/>
  <c r="D22" i="80"/>
  <c r="D23" i="80"/>
  <c r="D24" i="80"/>
  <c r="D25" i="80"/>
  <c r="D26" i="80"/>
  <c r="D7" i="80"/>
  <c r="D4" i="80"/>
  <c r="E4" i="80" s="1"/>
  <c r="D8" i="79"/>
  <c r="L8" i="79" s="1"/>
  <c r="D9" i="79"/>
  <c r="L9" i="79" s="1"/>
  <c r="N9" i="79" s="1"/>
  <c r="D10" i="79"/>
  <c r="L10" i="79" s="1"/>
  <c r="N10" i="79" s="1"/>
  <c r="D12" i="79"/>
  <c r="L12" i="79" s="1"/>
  <c r="N12" i="79" s="1"/>
  <c r="D13" i="79"/>
  <c r="L13" i="79" s="1"/>
  <c r="N13" i="79" s="1"/>
  <c r="D14" i="79"/>
  <c r="L14" i="79" s="1"/>
  <c r="N14" i="79" s="1"/>
  <c r="D15" i="79"/>
  <c r="L15" i="79" s="1"/>
  <c r="N15" i="79" s="1"/>
  <c r="D16" i="79"/>
  <c r="L16" i="79" s="1"/>
  <c r="N16" i="79" s="1"/>
  <c r="D17" i="79"/>
  <c r="L17" i="79" s="1"/>
  <c r="N17" i="79" s="1"/>
  <c r="D18" i="79"/>
  <c r="L18" i="79" s="1"/>
  <c r="N18" i="79" s="1"/>
  <c r="D19" i="79"/>
  <c r="L19" i="79" s="1"/>
  <c r="N19" i="79" s="1"/>
  <c r="D20" i="79"/>
  <c r="L20" i="79" s="1"/>
  <c r="D21" i="79"/>
  <c r="L21" i="79" s="1"/>
  <c r="N21" i="79" s="1"/>
  <c r="D22" i="79"/>
  <c r="L22" i="79" s="1"/>
  <c r="N22" i="79" s="1"/>
  <c r="D23" i="79"/>
  <c r="D24" i="79"/>
  <c r="D25" i="79"/>
  <c r="D26" i="79"/>
  <c r="D7" i="79"/>
  <c r="D4" i="79"/>
  <c r="E4" i="79" s="1"/>
  <c r="E11" i="78"/>
  <c r="D4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E27" i="79"/>
  <c r="K27" i="80"/>
  <c r="J27" i="80"/>
  <c r="I27" i="80"/>
  <c r="H27" i="80"/>
  <c r="G27" i="80"/>
  <c r="F27" i="80"/>
  <c r="N26" i="80"/>
  <c r="N25" i="80"/>
  <c r="N24" i="80"/>
  <c r="N23" i="80"/>
  <c r="L22" i="80"/>
  <c r="N22" i="80" s="1"/>
  <c r="A17" i="80"/>
  <c r="E27" i="80"/>
  <c r="M27" i="80"/>
  <c r="K27" i="79"/>
  <c r="J27" i="79"/>
  <c r="I27" i="79"/>
  <c r="H27" i="79"/>
  <c r="G27" i="79"/>
  <c r="F27" i="79"/>
  <c r="N26" i="79"/>
  <c r="N25" i="79"/>
  <c r="N24" i="79"/>
  <c r="N23" i="79"/>
  <c r="A17" i="79"/>
  <c r="M27" i="79"/>
  <c r="N27" i="81" l="1"/>
  <c r="D27" i="80"/>
  <c r="N8" i="80"/>
  <c r="N20" i="80"/>
  <c r="L7" i="80"/>
  <c r="L27" i="80" s="1"/>
  <c r="N8" i="79"/>
  <c r="N20" i="79"/>
  <c r="L7" i="79"/>
  <c r="L8" i="78"/>
  <c r="L9" i="78"/>
  <c r="N9" i="78" s="1"/>
  <c r="L10" i="78"/>
  <c r="N10" i="78" s="1"/>
  <c r="L11" i="78"/>
  <c r="L15" i="78"/>
  <c r="N15" i="78" s="1"/>
  <c r="L16" i="78"/>
  <c r="N16" i="78" s="1"/>
  <c r="L19" i="78"/>
  <c r="N19" i="78" s="1"/>
  <c r="L20" i="78"/>
  <c r="N20" i="78" s="1"/>
  <c r="L22" i="78"/>
  <c r="N22" i="78" s="1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M11" i="78"/>
  <c r="D11" i="79" s="1"/>
  <c r="L11" i="79" s="1"/>
  <c r="N11" i="79" s="1"/>
  <c r="L12" i="78"/>
  <c r="N12" i="78" s="1"/>
  <c r="L18" i="78"/>
  <c r="N18" i="78" s="1"/>
  <c r="L14" i="78"/>
  <c r="N14" i="78" s="1"/>
  <c r="L17" i="78"/>
  <c r="N17" i="78" s="1"/>
  <c r="L21" i="78"/>
  <c r="N21" i="78" s="1"/>
  <c r="E4" i="78"/>
  <c r="K27" i="78"/>
  <c r="J27" i="78"/>
  <c r="I27" i="78"/>
  <c r="H27" i="78"/>
  <c r="G27" i="78"/>
  <c r="F27" i="78"/>
  <c r="E27" i="78"/>
  <c r="N26" i="78"/>
  <c r="N25" i="78"/>
  <c r="N24" i="78"/>
  <c r="N23" i="78"/>
  <c r="A17" i="78"/>
  <c r="L13" i="78"/>
  <c r="N13" i="78" s="1"/>
  <c r="M27" i="78" l="1"/>
  <c r="L27" i="79"/>
  <c r="D27" i="79"/>
  <c r="N7" i="80"/>
  <c r="N27" i="80" s="1"/>
  <c r="N7" i="79"/>
  <c r="N27" i="79" s="1"/>
  <c r="N11" i="78"/>
  <c r="N8" i="78"/>
  <c r="D27" i="78"/>
  <c r="L7" i="78"/>
  <c r="L27" i="78" s="1"/>
  <c r="L8" i="77"/>
  <c r="N8" i="77" s="1"/>
  <c r="L10" i="77"/>
  <c r="N10" i="77" s="1"/>
  <c r="L12" i="77"/>
  <c r="N12" i="77" s="1"/>
  <c r="L14" i="77"/>
  <c r="N14" i="77" s="1"/>
  <c r="L16" i="77"/>
  <c r="N16" i="77" s="1"/>
  <c r="L18" i="77"/>
  <c r="N18" i="77" s="1"/>
  <c r="L20" i="77"/>
  <c r="N20" i="77" s="1"/>
  <c r="L22" i="77"/>
  <c r="N22" i="77" s="1"/>
  <c r="D7" i="77"/>
  <c r="D4" i="77"/>
  <c r="E4" i="77" s="1"/>
  <c r="M27" i="77"/>
  <c r="K27" i="77"/>
  <c r="J27" i="77"/>
  <c r="I27" i="77"/>
  <c r="H27" i="77"/>
  <c r="G27" i="77"/>
  <c r="F27" i="77"/>
  <c r="E27" i="77"/>
  <c r="N26" i="77"/>
  <c r="N25" i="77"/>
  <c r="N24" i="77"/>
  <c r="N23" i="77"/>
  <c r="L21" i="77"/>
  <c r="N21" i="77" s="1"/>
  <c r="L19" i="77"/>
  <c r="N19" i="77" s="1"/>
  <c r="L17" i="77"/>
  <c r="N17" i="77" s="1"/>
  <c r="A17" i="77"/>
  <c r="L15" i="77"/>
  <c r="N15" i="77" s="1"/>
  <c r="L13" i="77"/>
  <c r="N13" i="77" s="1"/>
  <c r="L11" i="77"/>
  <c r="N11" i="77" s="1"/>
  <c r="L9" i="77"/>
  <c r="N9" i="77" s="1"/>
  <c r="D27" i="77" l="1"/>
  <c r="N7" i="78"/>
  <c r="N27" i="78" s="1"/>
  <c r="L7" i="77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7" i="76"/>
  <c r="D4" i="76"/>
  <c r="D4" i="75"/>
  <c r="L27" i="77" l="1"/>
  <c r="N7" i="77"/>
  <c r="N27" i="77" s="1"/>
  <c r="M27" i="76"/>
  <c r="K27" i="76"/>
  <c r="J27" i="76"/>
  <c r="I27" i="76"/>
  <c r="H27" i="76"/>
  <c r="G27" i="76"/>
  <c r="F27" i="76"/>
  <c r="E27" i="76"/>
  <c r="N26" i="76"/>
  <c r="N25" i="76"/>
  <c r="N24" i="76"/>
  <c r="N23" i="76"/>
  <c r="L22" i="76"/>
  <c r="N22" i="76" s="1"/>
  <c r="L21" i="76"/>
  <c r="N21" i="76" s="1"/>
  <c r="L20" i="76"/>
  <c r="N20" i="76" s="1"/>
  <c r="L19" i="76"/>
  <c r="N19" i="76" s="1"/>
  <c r="L18" i="76"/>
  <c r="N18" i="76" s="1"/>
  <c r="L17" i="76"/>
  <c r="N17" i="76" s="1"/>
  <c r="A17" i="76"/>
  <c r="L16" i="76"/>
  <c r="N16" i="76" s="1"/>
  <c r="L15" i="76"/>
  <c r="N15" i="76" s="1"/>
  <c r="L14" i="76"/>
  <c r="N14" i="76" s="1"/>
  <c r="L13" i="76"/>
  <c r="N13" i="76" s="1"/>
  <c r="L12" i="76"/>
  <c r="N12" i="76" s="1"/>
  <c r="L11" i="76"/>
  <c r="N11" i="76" s="1"/>
  <c r="L10" i="76"/>
  <c r="N10" i="76" s="1"/>
  <c r="L9" i="76"/>
  <c r="N9" i="76" s="1"/>
  <c r="L8" i="76"/>
  <c r="N8" i="76" s="1"/>
  <c r="L7" i="76"/>
  <c r="D27" i="76"/>
  <c r="E4" i="76"/>
  <c r="L27" i="76" l="1"/>
  <c r="N7" i="76"/>
  <c r="N27" i="76" s="1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7" i="75"/>
  <c r="M27" i="75" l="1"/>
  <c r="K27" i="75"/>
  <c r="J27" i="75"/>
  <c r="I27" i="75"/>
  <c r="H27" i="75"/>
  <c r="G27" i="75"/>
  <c r="F27" i="75"/>
  <c r="N26" i="75"/>
  <c r="N25" i="75"/>
  <c r="N24" i="75"/>
  <c r="N23" i="75"/>
  <c r="L22" i="75"/>
  <c r="N22" i="75" s="1"/>
  <c r="L21" i="75"/>
  <c r="N21" i="75" s="1"/>
  <c r="L20" i="75"/>
  <c r="N20" i="75" s="1"/>
  <c r="L19" i="75"/>
  <c r="N19" i="75" s="1"/>
  <c r="L18" i="75"/>
  <c r="N18" i="75" s="1"/>
  <c r="L17" i="75"/>
  <c r="N17" i="75" s="1"/>
  <c r="A17" i="75"/>
  <c r="L16" i="75"/>
  <c r="N16" i="75" s="1"/>
  <c r="L15" i="75"/>
  <c r="N15" i="75" s="1"/>
  <c r="L14" i="75"/>
  <c r="N14" i="75" s="1"/>
  <c r="L13" i="75"/>
  <c r="N13" i="75" s="1"/>
  <c r="L12" i="75"/>
  <c r="N12" i="75" s="1"/>
  <c r="L11" i="75"/>
  <c r="N11" i="75" s="1"/>
  <c r="L10" i="75"/>
  <c r="N10" i="75" s="1"/>
  <c r="E27" i="75"/>
  <c r="L9" i="75"/>
  <c r="N9" i="75" s="1"/>
  <c r="L8" i="75"/>
  <c r="N8" i="75" s="1"/>
  <c r="L7" i="75"/>
  <c r="D27" i="75"/>
  <c r="E4" i="75"/>
  <c r="L27" i="75" l="1"/>
  <c r="N7" i="75"/>
  <c r="N27" i="75" s="1"/>
  <c r="E9" i="74"/>
  <c r="E27" i="74" s="1"/>
  <c r="D4" i="74"/>
  <c r="E4" i="74" s="1"/>
  <c r="D8" i="74"/>
  <c r="L8" i="74" s="1"/>
  <c r="N8" i="74" s="1"/>
  <c r="D9" i="74"/>
  <c r="D10" i="74"/>
  <c r="L10" i="74" s="1"/>
  <c r="N10" i="74" s="1"/>
  <c r="D12" i="74"/>
  <c r="L12" i="74" s="1"/>
  <c r="N12" i="74" s="1"/>
  <c r="D13" i="74"/>
  <c r="L13" i="74" s="1"/>
  <c r="N13" i="74" s="1"/>
  <c r="D14" i="74"/>
  <c r="L14" i="74" s="1"/>
  <c r="N14" i="74" s="1"/>
  <c r="D16" i="74"/>
  <c r="L16" i="74" s="1"/>
  <c r="N16" i="74" s="1"/>
  <c r="D17" i="74"/>
  <c r="L17" i="74" s="1"/>
  <c r="N17" i="74" s="1"/>
  <c r="D18" i="74"/>
  <c r="L18" i="74" s="1"/>
  <c r="N18" i="74" s="1"/>
  <c r="D19" i="74"/>
  <c r="L19" i="74" s="1"/>
  <c r="N19" i="74" s="1"/>
  <c r="D20" i="74"/>
  <c r="L20" i="74" s="1"/>
  <c r="N20" i="74" s="1"/>
  <c r="D21" i="74"/>
  <c r="D23" i="74"/>
  <c r="D24" i="74"/>
  <c r="D25" i="74"/>
  <c r="D26" i="74"/>
  <c r="D7" i="74"/>
  <c r="K27" i="74"/>
  <c r="J27" i="74"/>
  <c r="I27" i="74"/>
  <c r="H27" i="74"/>
  <c r="G27" i="74"/>
  <c r="F27" i="74"/>
  <c r="N26" i="74"/>
  <c r="N25" i="74"/>
  <c r="N24" i="74"/>
  <c r="N23" i="74"/>
  <c r="L21" i="74"/>
  <c r="N21" i="74" s="1"/>
  <c r="A17" i="74"/>
  <c r="M27" i="74"/>
  <c r="L9" i="74" l="1"/>
  <c r="N9" i="74" s="1"/>
  <c r="L7" i="74"/>
  <c r="M15" i="73"/>
  <c r="D15" i="74" s="1"/>
  <c r="L15" i="74" s="1"/>
  <c r="N15" i="74" s="1"/>
  <c r="M11" i="73"/>
  <c r="D11" i="74" s="1"/>
  <c r="L11" i="74" s="1"/>
  <c r="N11" i="74" s="1"/>
  <c r="M22" i="73"/>
  <c r="D22" i="74" s="1"/>
  <c r="L22" i="74" s="1"/>
  <c r="N22" i="74" s="1"/>
  <c r="D8" i="73"/>
  <c r="L8" i="73" s="1"/>
  <c r="N8" i="73" s="1"/>
  <c r="D9" i="73"/>
  <c r="L9" i="73" s="1"/>
  <c r="N9" i="73" s="1"/>
  <c r="D10" i="73"/>
  <c r="L10" i="73" s="1"/>
  <c r="N10" i="73" s="1"/>
  <c r="D11" i="73"/>
  <c r="D12" i="73"/>
  <c r="L12" i="73" s="1"/>
  <c r="N12" i="73" s="1"/>
  <c r="D13" i="73"/>
  <c r="L13" i="73" s="1"/>
  <c r="N13" i="73" s="1"/>
  <c r="D14" i="73"/>
  <c r="L14" i="73" s="1"/>
  <c r="N14" i="73" s="1"/>
  <c r="D15" i="73"/>
  <c r="L15" i="73" s="1"/>
  <c r="D16" i="73"/>
  <c r="L16" i="73" s="1"/>
  <c r="D17" i="73"/>
  <c r="L17" i="73" s="1"/>
  <c r="N17" i="73" s="1"/>
  <c r="D18" i="73"/>
  <c r="L18" i="73" s="1"/>
  <c r="N18" i="73" s="1"/>
  <c r="D19" i="73"/>
  <c r="L19" i="73" s="1"/>
  <c r="N19" i="73" s="1"/>
  <c r="D20" i="73"/>
  <c r="L20" i="73" s="1"/>
  <c r="N20" i="73" s="1"/>
  <c r="D21" i="73"/>
  <c r="D22" i="73"/>
  <c r="L22" i="73" s="1"/>
  <c r="D23" i="73"/>
  <c r="D24" i="73"/>
  <c r="D25" i="73"/>
  <c r="D26" i="73"/>
  <c r="D7" i="73"/>
  <c r="L7" i="73" s="1"/>
  <c r="D4" i="73"/>
  <c r="E4" i="73" s="1"/>
  <c r="D8" i="72"/>
  <c r="L8" i="72" s="1"/>
  <c r="N8" i="72" s="1"/>
  <c r="D9" i="72"/>
  <c r="L9" i="72" s="1"/>
  <c r="N9" i="72" s="1"/>
  <c r="D10" i="72"/>
  <c r="L10" i="72" s="1"/>
  <c r="N10" i="72" s="1"/>
  <c r="D11" i="72"/>
  <c r="L11" i="72" s="1"/>
  <c r="N11" i="72" s="1"/>
  <c r="D12" i="72"/>
  <c r="L12" i="72" s="1"/>
  <c r="N12" i="72" s="1"/>
  <c r="D13" i="72"/>
  <c r="L13" i="72" s="1"/>
  <c r="N13" i="72" s="1"/>
  <c r="D14" i="72"/>
  <c r="L14" i="72" s="1"/>
  <c r="N14" i="72" s="1"/>
  <c r="D15" i="72"/>
  <c r="L15" i="72" s="1"/>
  <c r="N15" i="72" s="1"/>
  <c r="D16" i="72"/>
  <c r="L16" i="72" s="1"/>
  <c r="N16" i="72" s="1"/>
  <c r="D17" i="72"/>
  <c r="L17" i="72" s="1"/>
  <c r="N17" i="72" s="1"/>
  <c r="D18" i="72"/>
  <c r="L18" i="72" s="1"/>
  <c r="N18" i="72" s="1"/>
  <c r="D19" i="72"/>
  <c r="L19" i="72" s="1"/>
  <c r="N19" i="72" s="1"/>
  <c r="D20" i="72"/>
  <c r="L20" i="72" s="1"/>
  <c r="N20" i="72" s="1"/>
  <c r="D21" i="72"/>
  <c r="L21" i="72" s="1"/>
  <c r="N21" i="72" s="1"/>
  <c r="D22" i="72"/>
  <c r="L22" i="72" s="1"/>
  <c r="N22" i="72" s="1"/>
  <c r="D23" i="72"/>
  <c r="D24" i="72"/>
  <c r="D25" i="72"/>
  <c r="D26" i="72"/>
  <c r="D7" i="72"/>
  <c r="L7" i="72" s="1"/>
  <c r="D4" i="72"/>
  <c r="E4" i="72" s="1"/>
  <c r="K27" i="73"/>
  <c r="J27" i="73"/>
  <c r="I27" i="73"/>
  <c r="H27" i="73"/>
  <c r="G27" i="73"/>
  <c r="F27" i="73"/>
  <c r="E27" i="73"/>
  <c r="N26" i="73"/>
  <c r="N25" i="73"/>
  <c r="N24" i="73"/>
  <c r="N23" i="73"/>
  <c r="L21" i="73"/>
  <c r="N21" i="73" s="1"/>
  <c r="A17" i="73"/>
  <c r="L11" i="73"/>
  <c r="M27" i="72"/>
  <c r="K27" i="72"/>
  <c r="J27" i="72"/>
  <c r="I27" i="72"/>
  <c r="H27" i="72"/>
  <c r="G27" i="72"/>
  <c r="F27" i="72"/>
  <c r="N26" i="72"/>
  <c r="N25" i="72"/>
  <c r="N24" i="72"/>
  <c r="N23" i="72"/>
  <c r="A17" i="72"/>
  <c r="D27" i="74" l="1"/>
  <c r="L27" i="74"/>
  <c r="N7" i="74"/>
  <c r="N27" i="74" s="1"/>
  <c r="N15" i="73"/>
  <c r="N22" i="73"/>
  <c r="M27" i="73"/>
  <c r="N16" i="73"/>
  <c r="N11" i="73"/>
  <c r="D27" i="72"/>
  <c r="D27" i="73"/>
  <c r="L27" i="73"/>
  <c r="N7" i="73"/>
  <c r="L27" i="72"/>
  <c r="N7" i="72"/>
  <c r="N27" i="72" s="1"/>
  <c r="D8" i="71"/>
  <c r="L8" i="71" s="1"/>
  <c r="N8" i="71" s="1"/>
  <c r="D9" i="71"/>
  <c r="D10" i="71"/>
  <c r="L10" i="71" s="1"/>
  <c r="N10" i="71" s="1"/>
  <c r="D11" i="71"/>
  <c r="L11" i="71" s="1"/>
  <c r="N11" i="71" s="1"/>
  <c r="D12" i="71"/>
  <c r="L12" i="71" s="1"/>
  <c r="N12" i="71" s="1"/>
  <c r="D13" i="71"/>
  <c r="L13" i="71" s="1"/>
  <c r="N13" i="71" s="1"/>
  <c r="D14" i="71"/>
  <c r="L14" i="71" s="1"/>
  <c r="N14" i="71" s="1"/>
  <c r="D15" i="71"/>
  <c r="L15" i="71" s="1"/>
  <c r="N15" i="71" s="1"/>
  <c r="D16" i="71"/>
  <c r="L16" i="71" s="1"/>
  <c r="N16" i="71" s="1"/>
  <c r="D17" i="71"/>
  <c r="L17" i="71" s="1"/>
  <c r="N17" i="71" s="1"/>
  <c r="D18" i="71"/>
  <c r="L18" i="71" s="1"/>
  <c r="N18" i="71" s="1"/>
  <c r="D19" i="71"/>
  <c r="L19" i="71" s="1"/>
  <c r="N19" i="71" s="1"/>
  <c r="D20" i="71"/>
  <c r="D21" i="71"/>
  <c r="L21" i="71" s="1"/>
  <c r="N21" i="71" s="1"/>
  <c r="D22" i="71"/>
  <c r="D23" i="71"/>
  <c r="D24" i="71"/>
  <c r="D25" i="71"/>
  <c r="D26" i="71"/>
  <c r="D7" i="71"/>
  <c r="D4" i="71"/>
  <c r="E4" i="71" s="1"/>
  <c r="M27" i="71"/>
  <c r="K27" i="71"/>
  <c r="J27" i="71"/>
  <c r="I27" i="71"/>
  <c r="H27" i="71"/>
  <c r="G27" i="71"/>
  <c r="F27" i="71"/>
  <c r="N26" i="71"/>
  <c r="N25" i="71"/>
  <c r="N24" i="71"/>
  <c r="N23" i="71"/>
  <c r="L22" i="71"/>
  <c r="N22" i="71" s="1"/>
  <c r="E27" i="71"/>
  <c r="A17" i="71"/>
  <c r="L9" i="71"/>
  <c r="N9" i="71" s="1"/>
  <c r="N27" i="73" l="1"/>
  <c r="D27" i="71"/>
  <c r="L20" i="71"/>
  <c r="N20" i="71" s="1"/>
  <c r="L7" i="71"/>
  <c r="D4" i="70"/>
  <c r="E4" i="70" s="1"/>
  <c r="D8" i="70"/>
  <c r="L8" i="70" s="1"/>
  <c r="N8" i="70" s="1"/>
  <c r="D9" i="70"/>
  <c r="L9" i="70" s="1"/>
  <c r="N9" i="70" s="1"/>
  <c r="D10" i="70"/>
  <c r="L10" i="70" s="1"/>
  <c r="N10" i="70" s="1"/>
  <c r="D11" i="70"/>
  <c r="L11" i="70" s="1"/>
  <c r="N11" i="70" s="1"/>
  <c r="D12" i="70"/>
  <c r="L12" i="70" s="1"/>
  <c r="N12" i="70" s="1"/>
  <c r="D13" i="70"/>
  <c r="L13" i="70" s="1"/>
  <c r="N13" i="70" s="1"/>
  <c r="D14" i="70"/>
  <c r="L14" i="70" s="1"/>
  <c r="N14" i="70" s="1"/>
  <c r="D15" i="70"/>
  <c r="L15" i="70" s="1"/>
  <c r="N15" i="70" s="1"/>
  <c r="D16" i="70"/>
  <c r="L16" i="70" s="1"/>
  <c r="N16" i="70" s="1"/>
  <c r="D17" i="70"/>
  <c r="L17" i="70" s="1"/>
  <c r="N17" i="70" s="1"/>
  <c r="D18" i="70"/>
  <c r="L18" i="70" s="1"/>
  <c r="N18" i="70" s="1"/>
  <c r="D19" i="70"/>
  <c r="L19" i="70" s="1"/>
  <c r="N19" i="70" s="1"/>
  <c r="D20" i="70"/>
  <c r="L20" i="70" s="1"/>
  <c r="N20" i="70" s="1"/>
  <c r="D21" i="70"/>
  <c r="D22" i="70"/>
  <c r="L22" i="70" s="1"/>
  <c r="N22" i="70" s="1"/>
  <c r="D23" i="70"/>
  <c r="D24" i="70"/>
  <c r="D25" i="70"/>
  <c r="D26" i="70"/>
  <c r="D7" i="70"/>
  <c r="E21" i="70"/>
  <c r="E27" i="70" s="1"/>
  <c r="M27" i="70"/>
  <c r="K27" i="70"/>
  <c r="J27" i="70"/>
  <c r="I27" i="70"/>
  <c r="H27" i="70"/>
  <c r="G27" i="70"/>
  <c r="F27" i="70"/>
  <c r="N26" i="70"/>
  <c r="N25" i="70"/>
  <c r="N24" i="70"/>
  <c r="N23" i="70"/>
  <c r="A17" i="70"/>
  <c r="L21" i="70" l="1"/>
  <c r="N21" i="70" s="1"/>
  <c r="L27" i="71"/>
  <c r="N7" i="71"/>
  <c r="N27" i="71" s="1"/>
  <c r="D27" i="70"/>
  <c r="L7" i="70"/>
  <c r="E9" i="69"/>
  <c r="E27" i="69" s="1"/>
  <c r="D8" i="69"/>
  <c r="L8" i="69" s="1"/>
  <c r="N8" i="69" s="1"/>
  <c r="D9" i="69"/>
  <c r="D10" i="69"/>
  <c r="L10" i="69" s="1"/>
  <c r="N10" i="69" s="1"/>
  <c r="D11" i="69"/>
  <c r="L11" i="69" s="1"/>
  <c r="N11" i="69" s="1"/>
  <c r="D12" i="69"/>
  <c r="L12" i="69" s="1"/>
  <c r="N12" i="69" s="1"/>
  <c r="D13" i="69"/>
  <c r="L13" i="69" s="1"/>
  <c r="N13" i="69" s="1"/>
  <c r="D14" i="69"/>
  <c r="L14" i="69" s="1"/>
  <c r="N14" i="69" s="1"/>
  <c r="D15" i="69"/>
  <c r="L15" i="69" s="1"/>
  <c r="N15" i="69" s="1"/>
  <c r="D16" i="69"/>
  <c r="L16" i="69" s="1"/>
  <c r="N16" i="69" s="1"/>
  <c r="D17" i="69"/>
  <c r="L17" i="69" s="1"/>
  <c r="N17" i="69" s="1"/>
  <c r="D18" i="69"/>
  <c r="L18" i="69" s="1"/>
  <c r="N18" i="69" s="1"/>
  <c r="D19" i="69"/>
  <c r="L19" i="69" s="1"/>
  <c r="N19" i="69" s="1"/>
  <c r="D20" i="69"/>
  <c r="L20" i="69" s="1"/>
  <c r="N20" i="69" s="1"/>
  <c r="D21" i="69"/>
  <c r="L21" i="69" s="1"/>
  <c r="N21" i="69" s="1"/>
  <c r="D22" i="69"/>
  <c r="L22" i="69" s="1"/>
  <c r="N22" i="69" s="1"/>
  <c r="D23" i="69"/>
  <c r="D24" i="69"/>
  <c r="D25" i="69"/>
  <c r="D26" i="69"/>
  <c r="D7" i="69"/>
  <c r="D4" i="69"/>
  <c r="E4" i="69" s="1"/>
  <c r="M27" i="69"/>
  <c r="K27" i="69"/>
  <c r="J27" i="69"/>
  <c r="I27" i="69"/>
  <c r="H27" i="69"/>
  <c r="G27" i="69"/>
  <c r="F27" i="69"/>
  <c r="N26" i="69"/>
  <c r="N25" i="69"/>
  <c r="N24" i="69"/>
  <c r="N23" i="69"/>
  <c r="A17" i="69"/>
  <c r="D27" i="69" l="1"/>
  <c r="L27" i="70"/>
  <c r="N7" i="70"/>
  <c r="N27" i="70" s="1"/>
  <c r="L9" i="69"/>
  <c r="N9" i="69" s="1"/>
  <c r="L7" i="69"/>
  <c r="D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7" i="66"/>
  <c r="L27" i="69" l="1"/>
  <c r="N7" i="69"/>
  <c r="N27" i="69" s="1"/>
  <c r="E22" i="68"/>
  <c r="E27" i="68" s="1"/>
  <c r="D8" i="68"/>
  <c r="L8" i="68" s="1"/>
  <c r="N8" i="68" s="1"/>
  <c r="D9" i="68"/>
  <c r="L9" i="68" s="1"/>
  <c r="N9" i="68" s="1"/>
  <c r="D10" i="68"/>
  <c r="L10" i="68" s="1"/>
  <c r="N10" i="68" s="1"/>
  <c r="D11" i="68"/>
  <c r="L11" i="68" s="1"/>
  <c r="N11" i="68" s="1"/>
  <c r="D12" i="68"/>
  <c r="L12" i="68" s="1"/>
  <c r="N12" i="68" s="1"/>
  <c r="D13" i="68"/>
  <c r="L13" i="68" s="1"/>
  <c r="N13" i="68" s="1"/>
  <c r="D14" i="68"/>
  <c r="L14" i="68" s="1"/>
  <c r="N14" i="68" s="1"/>
  <c r="D15" i="68"/>
  <c r="L15" i="68" s="1"/>
  <c r="N15" i="68" s="1"/>
  <c r="D16" i="68"/>
  <c r="L16" i="68" s="1"/>
  <c r="N16" i="68" s="1"/>
  <c r="D17" i="68"/>
  <c r="L17" i="68" s="1"/>
  <c r="N17" i="68" s="1"/>
  <c r="D18" i="68"/>
  <c r="L18" i="68" s="1"/>
  <c r="N18" i="68" s="1"/>
  <c r="D19" i="68"/>
  <c r="L19" i="68" s="1"/>
  <c r="N19" i="68" s="1"/>
  <c r="D20" i="68"/>
  <c r="L20" i="68" s="1"/>
  <c r="N20" i="68" s="1"/>
  <c r="D21" i="68"/>
  <c r="L21" i="68" s="1"/>
  <c r="N21" i="68" s="1"/>
  <c r="D22" i="68"/>
  <c r="D23" i="68"/>
  <c r="D24" i="68"/>
  <c r="D25" i="68"/>
  <c r="D26" i="68"/>
  <c r="D7" i="68"/>
  <c r="L7" i="68" s="1"/>
  <c r="D4" i="68"/>
  <c r="E4" i="68" s="1"/>
  <c r="M27" i="68"/>
  <c r="K27" i="68"/>
  <c r="J27" i="68"/>
  <c r="I27" i="68"/>
  <c r="H27" i="68"/>
  <c r="G27" i="68"/>
  <c r="F27" i="68"/>
  <c r="N26" i="68"/>
  <c r="N25" i="68"/>
  <c r="N24" i="68"/>
  <c r="N23" i="68"/>
  <c r="A17" i="68"/>
  <c r="D27" i="68" l="1"/>
  <c r="L22" i="68"/>
  <c r="N22" i="68" s="1"/>
  <c r="N7" i="68"/>
  <c r="D8" i="67"/>
  <c r="D9" i="67"/>
  <c r="D10" i="67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4" i="67"/>
  <c r="D7" i="67"/>
  <c r="N27" i="68" l="1"/>
  <c r="L27" i="68"/>
  <c r="L12" i="65"/>
  <c r="N12" i="65" s="1"/>
  <c r="L14" i="65"/>
  <c r="N14" i="65" s="1"/>
  <c r="L15" i="65"/>
  <c r="N15" i="65" s="1"/>
  <c r="L16" i="65"/>
  <c r="N16" i="65" s="1"/>
  <c r="L17" i="65"/>
  <c r="N17" i="65" s="1"/>
  <c r="L19" i="65"/>
  <c r="N19" i="65" s="1"/>
  <c r="L21" i="65"/>
  <c r="N21" i="65" s="1"/>
  <c r="L22" i="65"/>
  <c r="N22" i="65" s="1"/>
  <c r="D7" i="65"/>
  <c r="L7" i="65" s="1"/>
  <c r="D4" i="65"/>
  <c r="E4" i="65" s="1"/>
  <c r="M27" i="67"/>
  <c r="K27" i="67"/>
  <c r="J27" i="67"/>
  <c r="I27" i="67"/>
  <c r="H27" i="67"/>
  <c r="G27" i="67"/>
  <c r="F27" i="67"/>
  <c r="N26" i="67"/>
  <c r="N25" i="67"/>
  <c r="N24" i="67"/>
  <c r="N23" i="67"/>
  <c r="L22" i="67"/>
  <c r="N22" i="67" s="1"/>
  <c r="L21" i="67"/>
  <c r="N21" i="67" s="1"/>
  <c r="L20" i="67"/>
  <c r="N20" i="67" s="1"/>
  <c r="L19" i="67"/>
  <c r="N19" i="67" s="1"/>
  <c r="L18" i="67"/>
  <c r="N18" i="67" s="1"/>
  <c r="L17" i="67"/>
  <c r="N17" i="67" s="1"/>
  <c r="A17" i="67"/>
  <c r="L16" i="67"/>
  <c r="N16" i="67" s="1"/>
  <c r="L15" i="67"/>
  <c r="N15" i="67" s="1"/>
  <c r="L14" i="67"/>
  <c r="N14" i="67" s="1"/>
  <c r="L13" i="67"/>
  <c r="N13" i="67" s="1"/>
  <c r="L12" i="67"/>
  <c r="N12" i="67" s="1"/>
  <c r="E27" i="67"/>
  <c r="L11" i="67"/>
  <c r="N11" i="67" s="1"/>
  <c r="L10" i="67"/>
  <c r="N10" i="67" s="1"/>
  <c r="L9" i="67"/>
  <c r="N9" i="67" s="1"/>
  <c r="L8" i="67"/>
  <c r="N8" i="67" s="1"/>
  <c r="L7" i="67"/>
  <c r="D27" i="67"/>
  <c r="E4" i="67"/>
  <c r="M27" i="66"/>
  <c r="K27" i="66"/>
  <c r="J27" i="66"/>
  <c r="I27" i="66"/>
  <c r="H27" i="66"/>
  <c r="G27" i="66"/>
  <c r="F27" i="66"/>
  <c r="N26" i="66"/>
  <c r="N25" i="66"/>
  <c r="N24" i="66"/>
  <c r="N23" i="66"/>
  <c r="L22" i="66"/>
  <c r="N22" i="66" s="1"/>
  <c r="L21" i="66"/>
  <c r="N21" i="66" s="1"/>
  <c r="L20" i="66"/>
  <c r="N20" i="66" s="1"/>
  <c r="L19" i="66"/>
  <c r="N19" i="66" s="1"/>
  <c r="L18" i="66"/>
  <c r="N18" i="66" s="1"/>
  <c r="L17" i="66"/>
  <c r="N17" i="66" s="1"/>
  <c r="A17" i="66"/>
  <c r="L16" i="66"/>
  <c r="N16" i="66" s="1"/>
  <c r="L15" i="66"/>
  <c r="N15" i="66" s="1"/>
  <c r="L14" i="66"/>
  <c r="N14" i="66" s="1"/>
  <c r="L13" i="66"/>
  <c r="N13" i="66" s="1"/>
  <c r="L12" i="66"/>
  <c r="N12" i="66" s="1"/>
  <c r="E27" i="66"/>
  <c r="L11" i="66"/>
  <c r="N11" i="66" s="1"/>
  <c r="L10" i="66"/>
  <c r="N10" i="66" s="1"/>
  <c r="L9" i="66"/>
  <c r="N9" i="66" s="1"/>
  <c r="L8" i="66"/>
  <c r="N8" i="66" s="1"/>
  <c r="L7" i="66"/>
  <c r="N7" i="66" s="1"/>
  <c r="D4" i="66"/>
  <c r="E4" i="66" s="1"/>
  <c r="M27" i="65"/>
  <c r="K27" i="65"/>
  <c r="J27" i="65"/>
  <c r="I27" i="65"/>
  <c r="H27" i="65"/>
  <c r="G27" i="65"/>
  <c r="F27" i="65"/>
  <c r="N26" i="65"/>
  <c r="N25" i="65"/>
  <c r="N24" i="65"/>
  <c r="N23" i="65"/>
  <c r="L20" i="65"/>
  <c r="N20" i="65" s="1"/>
  <c r="L18" i="65"/>
  <c r="N18" i="65" s="1"/>
  <c r="A17" i="65"/>
  <c r="L13" i="65"/>
  <c r="N13" i="65" s="1"/>
  <c r="E27" i="65"/>
  <c r="L11" i="65"/>
  <c r="N11" i="65" s="1"/>
  <c r="L10" i="65"/>
  <c r="N10" i="65" s="1"/>
  <c r="L9" i="65"/>
  <c r="N9" i="65" s="1"/>
  <c r="L8" i="65"/>
  <c r="N8" i="65" s="1"/>
  <c r="D27" i="65" l="1"/>
  <c r="L27" i="67"/>
  <c r="N27" i="66"/>
  <c r="L27" i="65"/>
  <c r="N7" i="67"/>
  <c r="N27" i="67" s="1"/>
  <c r="D27" i="66"/>
  <c r="L27" i="66"/>
  <c r="N7" i="65"/>
  <c r="N27" i="65" s="1"/>
  <c r="E21" i="64"/>
  <c r="D8" i="64"/>
  <c r="L8" i="64" s="1"/>
  <c r="N8" i="64" s="1"/>
  <c r="D9" i="64"/>
  <c r="L9" i="64" s="1"/>
  <c r="N9" i="64" s="1"/>
  <c r="D10" i="64"/>
  <c r="L10" i="64" s="1"/>
  <c r="N10" i="64" s="1"/>
  <c r="D11" i="64"/>
  <c r="L11" i="64" s="1"/>
  <c r="N11" i="64" s="1"/>
  <c r="D12" i="64"/>
  <c r="L12" i="64" s="1"/>
  <c r="N12" i="64" s="1"/>
  <c r="D13" i="64"/>
  <c r="L13" i="64" s="1"/>
  <c r="N13" i="64" s="1"/>
  <c r="D14" i="64"/>
  <c r="L14" i="64" s="1"/>
  <c r="N14" i="64" s="1"/>
  <c r="D15" i="64"/>
  <c r="D16" i="64"/>
  <c r="L16" i="64" s="1"/>
  <c r="N16" i="64" s="1"/>
  <c r="D17" i="64"/>
  <c r="L17" i="64" s="1"/>
  <c r="N17" i="64" s="1"/>
  <c r="D18" i="64"/>
  <c r="L18" i="64" s="1"/>
  <c r="N18" i="64" s="1"/>
  <c r="D19" i="64"/>
  <c r="L19" i="64" s="1"/>
  <c r="N19" i="64" s="1"/>
  <c r="D20" i="64"/>
  <c r="L20" i="64" s="1"/>
  <c r="N20" i="64" s="1"/>
  <c r="D21" i="64"/>
  <c r="L21" i="64" s="1"/>
  <c r="N21" i="64" s="1"/>
  <c r="D22" i="64"/>
  <c r="L22" i="64" s="1"/>
  <c r="N22" i="64" s="1"/>
  <c r="D23" i="64"/>
  <c r="D24" i="64"/>
  <c r="D25" i="64"/>
  <c r="D26" i="64"/>
  <c r="D7" i="64"/>
  <c r="L7" i="64" s="1"/>
  <c r="D4" i="64"/>
  <c r="E4" i="64" s="1"/>
  <c r="M27" i="64"/>
  <c r="K27" i="64"/>
  <c r="J27" i="64"/>
  <c r="I27" i="64"/>
  <c r="H27" i="64"/>
  <c r="G27" i="64"/>
  <c r="F27" i="64"/>
  <c r="N26" i="64"/>
  <c r="N25" i="64"/>
  <c r="N24" i="64"/>
  <c r="N23" i="64"/>
  <c r="A17" i="64"/>
  <c r="L15" i="64"/>
  <c r="N15" i="64" s="1"/>
  <c r="D8" i="63"/>
  <c r="D9" i="63"/>
  <c r="L9" i="63" s="1"/>
  <c r="N9" i="63" s="1"/>
  <c r="D10" i="63"/>
  <c r="L10" i="63" s="1"/>
  <c r="N10" i="63" s="1"/>
  <c r="D11" i="63"/>
  <c r="L11" i="63" s="1"/>
  <c r="N11" i="63" s="1"/>
  <c r="D12" i="63"/>
  <c r="L12" i="63" s="1"/>
  <c r="N12" i="63" s="1"/>
  <c r="D13" i="63"/>
  <c r="L13" i="63" s="1"/>
  <c r="N13" i="63" s="1"/>
  <c r="D14" i="63"/>
  <c r="L14" i="63" s="1"/>
  <c r="N14" i="63" s="1"/>
  <c r="D15" i="63"/>
  <c r="L15" i="63" s="1"/>
  <c r="N15" i="63" s="1"/>
  <c r="D16" i="63"/>
  <c r="L16" i="63" s="1"/>
  <c r="N16" i="63" s="1"/>
  <c r="D17" i="63"/>
  <c r="L17" i="63" s="1"/>
  <c r="N17" i="63" s="1"/>
  <c r="D18" i="63"/>
  <c r="L18" i="63" s="1"/>
  <c r="N18" i="63" s="1"/>
  <c r="D19" i="63"/>
  <c r="L19" i="63" s="1"/>
  <c r="N19" i="63" s="1"/>
  <c r="D20" i="63"/>
  <c r="L20" i="63" s="1"/>
  <c r="N20" i="63" s="1"/>
  <c r="D21" i="63"/>
  <c r="L21" i="63" s="1"/>
  <c r="N21" i="63" s="1"/>
  <c r="D22" i="63"/>
  <c r="L22" i="63" s="1"/>
  <c r="N22" i="63" s="1"/>
  <c r="D23" i="63"/>
  <c r="D24" i="63"/>
  <c r="D25" i="63"/>
  <c r="D26" i="63"/>
  <c r="D7" i="63"/>
  <c r="L7" i="63" s="1"/>
  <c r="D4" i="63"/>
  <c r="E4" i="63" s="1"/>
  <c r="M27" i="63"/>
  <c r="K27" i="63"/>
  <c r="J27" i="63"/>
  <c r="I27" i="63"/>
  <c r="H27" i="63"/>
  <c r="G27" i="63"/>
  <c r="F27" i="63"/>
  <c r="E27" i="63"/>
  <c r="N26" i="63"/>
  <c r="N25" i="63"/>
  <c r="N24" i="63"/>
  <c r="N23" i="63"/>
  <c r="A17" i="63"/>
  <c r="E27" i="64" l="1"/>
  <c r="D27" i="64"/>
  <c r="D27" i="63"/>
  <c r="L27" i="64"/>
  <c r="N7" i="64"/>
  <c r="N27" i="64" s="1"/>
  <c r="L8" i="63"/>
  <c r="N8" i="63" s="1"/>
  <c r="N7" i="63"/>
  <c r="D8" i="61"/>
  <c r="L8" i="61" s="1"/>
  <c r="N8" i="61" s="1"/>
  <c r="D9" i="61"/>
  <c r="L9" i="61" s="1"/>
  <c r="N9" i="61" s="1"/>
  <c r="D10" i="61"/>
  <c r="L10" i="61" s="1"/>
  <c r="N10" i="61" s="1"/>
  <c r="D11" i="61"/>
  <c r="L11" i="61" s="1"/>
  <c r="N11" i="61" s="1"/>
  <c r="D12" i="61"/>
  <c r="L12" i="61" s="1"/>
  <c r="N12" i="61" s="1"/>
  <c r="D13" i="61"/>
  <c r="L13" i="61" s="1"/>
  <c r="N13" i="61" s="1"/>
  <c r="D15" i="61"/>
  <c r="D16" i="61"/>
  <c r="L16" i="61" s="1"/>
  <c r="N16" i="61" s="1"/>
  <c r="D17" i="61"/>
  <c r="L17" i="61" s="1"/>
  <c r="N17" i="61" s="1"/>
  <c r="D18" i="61"/>
  <c r="L18" i="61" s="1"/>
  <c r="N18" i="61" s="1"/>
  <c r="D19" i="61"/>
  <c r="L19" i="61" s="1"/>
  <c r="N19" i="61" s="1"/>
  <c r="D20" i="61"/>
  <c r="L20" i="61" s="1"/>
  <c r="N20" i="61" s="1"/>
  <c r="D21" i="61"/>
  <c r="L21" i="61" s="1"/>
  <c r="N21" i="61" s="1"/>
  <c r="D22" i="61"/>
  <c r="D23" i="61"/>
  <c r="D24" i="61"/>
  <c r="D25" i="61"/>
  <c r="D26" i="61"/>
  <c r="D7" i="61"/>
  <c r="L7" i="61" s="1"/>
  <c r="D4" i="61"/>
  <c r="E4" i="61" s="1"/>
  <c r="K27" i="61"/>
  <c r="J27" i="61"/>
  <c r="I27" i="61"/>
  <c r="H27" i="61"/>
  <c r="F27" i="61"/>
  <c r="N26" i="61"/>
  <c r="N25" i="61"/>
  <c r="N24" i="61"/>
  <c r="N23" i="61"/>
  <c r="L22" i="61"/>
  <c r="N22" i="61" s="1"/>
  <c r="E27" i="61"/>
  <c r="A17" i="61"/>
  <c r="L15" i="61"/>
  <c r="N15" i="61" s="1"/>
  <c r="M27" i="61"/>
  <c r="G27" i="61"/>
  <c r="N27" i="63" l="1"/>
  <c r="L27" i="63"/>
  <c r="N7" i="61"/>
  <c r="G21" i="60"/>
  <c r="G9" i="60" l="1"/>
  <c r="E21" i="60" l="1"/>
  <c r="M14" i="60"/>
  <c r="D14" i="61" s="1"/>
  <c r="D8" i="60"/>
  <c r="L8" i="60" s="1"/>
  <c r="N8" i="60" s="1"/>
  <c r="D9" i="60"/>
  <c r="L9" i="60" s="1"/>
  <c r="N9" i="60" s="1"/>
  <c r="D10" i="60"/>
  <c r="L10" i="60" s="1"/>
  <c r="N10" i="60" s="1"/>
  <c r="D11" i="60"/>
  <c r="L11" i="60" s="1"/>
  <c r="N11" i="60" s="1"/>
  <c r="D12" i="60"/>
  <c r="L12" i="60" s="1"/>
  <c r="N12" i="60" s="1"/>
  <c r="D13" i="60"/>
  <c r="L13" i="60" s="1"/>
  <c r="N13" i="60" s="1"/>
  <c r="D14" i="60"/>
  <c r="L14" i="60" s="1"/>
  <c r="D15" i="60"/>
  <c r="L15" i="60" s="1"/>
  <c r="N15" i="60" s="1"/>
  <c r="D16" i="60"/>
  <c r="L16" i="60" s="1"/>
  <c r="N16" i="60" s="1"/>
  <c r="D17" i="60"/>
  <c r="L17" i="60" s="1"/>
  <c r="N17" i="60" s="1"/>
  <c r="D18" i="60"/>
  <c r="L18" i="60" s="1"/>
  <c r="N18" i="60" s="1"/>
  <c r="D19" i="60"/>
  <c r="D20" i="60"/>
  <c r="L20" i="60" s="1"/>
  <c r="N20" i="60" s="1"/>
  <c r="D21" i="60"/>
  <c r="D22" i="60"/>
  <c r="L22" i="60" s="1"/>
  <c r="N22" i="60" s="1"/>
  <c r="D23" i="60"/>
  <c r="D24" i="60"/>
  <c r="D25" i="60"/>
  <c r="D26" i="60"/>
  <c r="D7" i="60"/>
  <c r="D4" i="60"/>
  <c r="E4" i="60" s="1"/>
  <c r="M27" i="60"/>
  <c r="K27" i="60"/>
  <c r="J27" i="60"/>
  <c r="I27" i="60"/>
  <c r="H27" i="60"/>
  <c r="G27" i="60"/>
  <c r="F27" i="60"/>
  <c r="E27" i="60"/>
  <c r="N26" i="60"/>
  <c r="N25" i="60"/>
  <c r="N24" i="60"/>
  <c r="N23" i="60"/>
  <c r="L19" i="60"/>
  <c r="N19" i="60" s="1"/>
  <c r="A17" i="60"/>
  <c r="L14" i="61" l="1"/>
  <c r="D27" i="61"/>
  <c r="L21" i="60"/>
  <c r="N21" i="60" s="1"/>
  <c r="N14" i="60"/>
  <c r="D27" i="60"/>
  <c r="L7" i="60"/>
  <c r="D11" i="58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4" i="59"/>
  <c r="N14" i="61" l="1"/>
  <c r="N27" i="61" s="1"/>
  <c r="L27" i="61"/>
  <c r="L27" i="60"/>
  <c r="N7" i="60"/>
  <c r="N27" i="60" s="1"/>
  <c r="L10" i="59"/>
  <c r="N10" i="59" s="1"/>
  <c r="L12" i="59"/>
  <c r="N12" i="59" s="1"/>
  <c r="L14" i="59"/>
  <c r="N14" i="59" s="1"/>
  <c r="L16" i="59"/>
  <c r="N16" i="59" s="1"/>
  <c r="L17" i="59"/>
  <c r="N17" i="59" s="1"/>
  <c r="L18" i="59"/>
  <c r="N18" i="59" s="1"/>
  <c r="L19" i="59"/>
  <c r="N19" i="59" s="1"/>
  <c r="L20" i="59"/>
  <c r="N20" i="59" s="1"/>
  <c r="D26" i="59"/>
  <c r="D7" i="59"/>
  <c r="M27" i="59"/>
  <c r="K27" i="59"/>
  <c r="J27" i="59"/>
  <c r="I27" i="59"/>
  <c r="H27" i="59"/>
  <c r="G27" i="59"/>
  <c r="F27" i="59"/>
  <c r="N26" i="59"/>
  <c r="N25" i="59"/>
  <c r="N24" i="59"/>
  <c r="N23" i="59"/>
  <c r="L22" i="59"/>
  <c r="N22" i="59" s="1"/>
  <c r="L21" i="59"/>
  <c r="N21" i="59" s="1"/>
  <c r="E27" i="59"/>
  <c r="A17" i="59"/>
  <c r="L15" i="59"/>
  <c r="N15" i="59" s="1"/>
  <c r="L13" i="59"/>
  <c r="N13" i="59" s="1"/>
  <c r="L11" i="59"/>
  <c r="N11" i="59" s="1"/>
  <c r="L9" i="59"/>
  <c r="N9" i="59" s="1"/>
  <c r="L8" i="59"/>
  <c r="N8" i="59" s="1"/>
  <c r="E4" i="59"/>
  <c r="D27" i="59" l="1"/>
  <c r="L7" i="59"/>
  <c r="E20" i="58"/>
  <c r="L27" i="59" l="1"/>
  <c r="N7" i="59"/>
  <c r="N27" i="59" s="1"/>
  <c r="D8" i="58"/>
  <c r="L8" i="58" s="1"/>
  <c r="N8" i="58" s="1"/>
  <c r="D9" i="58"/>
  <c r="L9" i="58" s="1"/>
  <c r="D10" i="58"/>
  <c r="L10" i="58" s="1"/>
  <c r="N10" i="58" s="1"/>
  <c r="L11" i="58"/>
  <c r="N11" i="58" s="1"/>
  <c r="D12" i="58"/>
  <c r="L12" i="58" s="1"/>
  <c r="N12" i="58" s="1"/>
  <c r="D13" i="58"/>
  <c r="L13" i="58" s="1"/>
  <c r="N13" i="58" s="1"/>
  <c r="D14" i="58"/>
  <c r="L14" i="58" s="1"/>
  <c r="N14" i="58" s="1"/>
  <c r="D15" i="58"/>
  <c r="L15" i="58" s="1"/>
  <c r="N15" i="58" s="1"/>
  <c r="D16" i="58"/>
  <c r="L16" i="58" s="1"/>
  <c r="N16" i="58" s="1"/>
  <c r="D17" i="58"/>
  <c r="L17" i="58" s="1"/>
  <c r="N17" i="58" s="1"/>
  <c r="D18" i="58"/>
  <c r="L18" i="58" s="1"/>
  <c r="N18" i="58" s="1"/>
  <c r="D19" i="58"/>
  <c r="L19" i="58" s="1"/>
  <c r="N19" i="58" s="1"/>
  <c r="D20" i="58"/>
  <c r="L20" i="58" s="1"/>
  <c r="N20" i="58" s="1"/>
  <c r="D21" i="58"/>
  <c r="L21" i="58" s="1"/>
  <c r="N21" i="58" s="1"/>
  <c r="D22" i="58"/>
  <c r="L22" i="58" s="1"/>
  <c r="N22" i="58" s="1"/>
  <c r="D23" i="58"/>
  <c r="D24" i="58"/>
  <c r="D25" i="58"/>
  <c r="D26" i="58"/>
  <c r="D7" i="58"/>
  <c r="D4" i="58"/>
  <c r="E4" i="58" s="1"/>
  <c r="D8" i="57"/>
  <c r="L8" i="57" s="1"/>
  <c r="N8" i="57" s="1"/>
  <c r="D10" i="57"/>
  <c r="L10" i="57" s="1"/>
  <c r="N10" i="57" s="1"/>
  <c r="D11" i="57"/>
  <c r="L11" i="57" s="1"/>
  <c r="N11" i="57" s="1"/>
  <c r="D13" i="57"/>
  <c r="L13" i="57" s="1"/>
  <c r="N13" i="57" s="1"/>
  <c r="D14" i="57"/>
  <c r="L14" i="57" s="1"/>
  <c r="N14" i="57" s="1"/>
  <c r="D15" i="57"/>
  <c r="D16" i="57"/>
  <c r="L16" i="57" s="1"/>
  <c r="N16" i="57" s="1"/>
  <c r="D17" i="57"/>
  <c r="L17" i="57" s="1"/>
  <c r="N17" i="57" s="1"/>
  <c r="D18" i="57"/>
  <c r="L18" i="57" s="1"/>
  <c r="N18" i="57" s="1"/>
  <c r="D19" i="57"/>
  <c r="L19" i="57" s="1"/>
  <c r="N19" i="57" s="1"/>
  <c r="D20" i="57"/>
  <c r="L20" i="57" s="1"/>
  <c r="N20" i="57" s="1"/>
  <c r="D21" i="57"/>
  <c r="L21" i="57" s="1"/>
  <c r="N21" i="57" s="1"/>
  <c r="D22" i="57"/>
  <c r="L22" i="57" s="1"/>
  <c r="N22" i="57" s="1"/>
  <c r="D23" i="57"/>
  <c r="D24" i="57"/>
  <c r="D25" i="57"/>
  <c r="D26" i="57"/>
  <c r="D7" i="57"/>
  <c r="D4" i="57"/>
  <c r="E4" i="57" s="1"/>
  <c r="K27" i="58"/>
  <c r="J27" i="58"/>
  <c r="I27" i="58"/>
  <c r="H27" i="58"/>
  <c r="G27" i="58"/>
  <c r="F27" i="58"/>
  <c r="N26" i="58"/>
  <c r="N25" i="58"/>
  <c r="N24" i="58"/>
  <c r="N23" i="58"/>
  <c r="A17" i="58"/>
  <c r="E27" i="58"/>
  <c r="M27" i="58"/>
  <c r="K27" i="57"/>
  <c r="J27" i="57"/>
  <c r="I27" i="57"/>
  <c r="H27" i="57"/>
  <c r="G27" i="57"/>
  <c r="F27" i="57"/>
  <c r="N26" i="57"/>
  <c r="N25" i="57"/>
  <c r="N24" i="57"/>
  <c r="N23" i="57"/>
  <c r="A17" i="57"/>
  <c r="L15" i="57"/>
  <c r="N15" i="57" s="1"/>
  <c r="E27" i="57"/>
  <c r="M27" i="57"/>
  <c r="D27" i="58" l="1"/>
  <c r="L7" i="58"/>
  <c r="N9" i="58"/>
  <c r="L7" i="57"/>
  <c r="M9" i="56"/>
  <c r="D9" i="57" s="1"/>
  <c r="L9" i="57" s="1"/>
  <c r="N9" i="57" s="1"/>
  <c r="M12" i="56"/>
  <c r="D12" i="57" s="1"/>
  <c r="L12" i="57" s="1"/>
  <c r="N12" i="57" s="1"/>
  <c r="E12" i="56"/>
  <c r="E27" i="56" s="1"/>
  <c r="D8" i="56"/>
  <c r="L8" i="56" s="1"/>
  <c r="N8" i="56" s="1"/>
  <c r="D9" i="56"/>
  <c r="L9" i="56" s="1"/>
  <c r="D10" i="56"/>
  <c r="L10" i="56" s="1"/>
  <c r="N10" i="56" s="1"/>
  <c r="D11" i="56"/>
  <c r="L11" i="56" s="1"/>
  <c r="N11" i="56" s="1"/>
  <c r="D12" i="56"/>
  <c r="D13" i="56"/>
  <c r="L13" i="56" s="1"/>
  <c r="N13" i="56" s="1"/>
  <c r="D14" i="56"/>
  <c r="L14" i="56" s="1"/>
  <c r="N14" i="56" s="1"/>
  <c r="D15" i="56"/>
  <c r="L15" i="56" s="1"/>
  <c r="N15" i="56" s="1"/>
  <c r="D16" i="56"/>
  <c r="L16" i="56" s="1"/>
  <c r="N16" i="56" s="1"/>
  <c r="D17" i="56"/>
  <c r="L17" i="56" s="1"/>
  <c r="N17" i="56" s="1"/>
  <c r="D18" i="56"/>
  <c r="L18" i="56" s="1"/>
  <c r="N18" i="56" s="1"/>
  <c r="D19" i="56"/>
  <c r="L19" i="56" s="1"/>
  <c r="N19" i="56" s="1"/>
  <c r="D20" i="56"/>
  <c r="L20" i="56" s="1"/>
  <c r="N20" i="56" s="1"/>
  <c r="D21" i="56"/>
  <c r="D22" i="56"/>
  <c r="L22" i="56" s="1"/>
  <c r="N22" i="56" s="1"/>
  <c r="D23" i="56"/>
  <c r="D24" i="56"/>
  <c r="D25" i="56"/>
  <c r="D26" i="56"/>
  <c r="D7" i="56"/>
  <c r="D4" i="56"/>
  <c r="E4" i="56" s="1"/>
  <c r="K27" i="56"/>
  <c r="J27" i="56"/>
  <c r="I27" i="56"/>
  <c r="H27" i="56"/>
  <c r="G27" i="56"/>
  <c r="F27" i="56"/>
  <c r="N26" i="56"/>
  <c r="N25" i="56"/>
  <c r="N24" i="56"/>
  <c r="N23" i="56"/>
  <c r="L21" i="56"/>
  <c r="N21" i="56" s="1"/>
  <c r="A17" i="56"/>
  <c r="M27" i="56" l="1"/>
  <c r="D27" i="57"/>
  <c r="L27" i="58"/>
  <c r="N7" i="58"/>
  <c r="N27" i="58" s="1"/>
  <c r="L27" i="57"/>
  <c r="N7" i="57"/>
  <c r="N27" i="57" s="1"/>
  <c r="N9" i="56"/>
  <c r="L12" i="56"/>
  <c r="N12" i="56" s="1"/>
  <c r="D27" i="56"/>
  <c r="L7" i="56"/>
  <c r="E16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7" i="55"/>
  <c r="D4" i="55"/>
  <c r="L27" i="56" l="1"/>
  <c r="N7" i="56"/>
  <c r="N27" i="56" s="1"/>
  <c r="M27" i="55"/>
  <c r="K27" i="55"/>
  <c r="J27" i="55"/>
  <c r="I27" i="55"/>
  <c r="H27" i="55"/>
  <c r="G27" i="55"/>
  <c r="F27" i="55"/>
  <c r="E27" i="55"/>
  <c r="N26" i="55"/>
  <c r="N25" i="55"/>
  <c r="N24" i="55"/>
  <c r="N23" i="55"/>
  <c r="L22" i="55"/>
  <c r="N22" i="55" s="1"/>
  <c r="L21" i="55"/>
  <c r="N21" i="55" s="1"/>
  <c r="L20" i="55"/>
  <c r="N20" i="55" s="1"/>
  <c r="L19" i="55"/>
  <c r="N19" i="55" s="1"/>
  <c r="L18" i="55"/>
  <c r="N18" i="55" s="1"/>
  <c r="L17" i="55"/>
  <c r="N17" i="55" s="1"/>
  <c r="A17" i="55"/>
  <c r="L16" i="55"/>
  <c r="N16" i="55" s="1"/>
  <c r="L15" i="55"/>
  <c r="N15" i="55" s="1"/>
  <c r="L14" i="55"/>
  <c r="N14" i="55" s="1"/>
  <c r="L13" i="55"/>
  <c r="N13" i="55" s="1"/>
  <c r="L12" i="55"/>
  <c r="N12" i="55" s="1"/>
  <c r="L11" i="55"/>
  <c r="N11" i="55" s="1"/>
  <c r="L10" i="55"/>
  <c r="N10" i="55" s="1"/>
  <c r="L9" i="55"/>
  <c r="N9" i="55" s="1"/>
  <c r="L8" i="55"/>
  <c r="N8" i="55" s="1"/>
  <c r="L7" i="55"/>
  <c r="D27" i="55"/>
  <c r="E4" i="55"/>
  <c r="L27" i="55" l="1"/>
  <c r="N7" i="55"/>
  <c r="N27" i="55" s="1"/>
  <c r="D9" i="49" l="1"/>
  <c r="D10" i="49"/>
  <c r="D11" i="49"/>
  <c r="D13" i="49"/>
  <c r="D14" i="49"/>
  <c r="D15" i="49"/>
  <c r="D16" i="49"/>
  <c r="D17" i="49"/>
  <c r="D18" i="49"/>
  <c r="D19" i="49"/>
  <c r="D20" i="49"/>
  <c r="D22" i="49"/>
  <c r="D23" i="49"/>
  <c r="D24" i="49"/>
  <c r="D25" i="49"/>
  <c r="D26" i="49"/>
  <c r="D4" i="49"/>
  <c r="D26" i="54"/>
  <c r="D25" i="54"/>
  <c r="D24" i="54"/>
  <c r="D23" i="54"/>
  <c r="D22" i="54"/>
  <c r="L22" i="54" s="1"/>
  <c r="N22" i="54" s="1"/>
  <c r="D21" i="54"/>
  <c r="D20" i="54"/>
  <c r="L20" i="54" s="1"/>
  <c r="N20" i="54" s="1"/>
  <c r="D19" i="54"/>
  <c r="L19" i="54" s="1"/>
  <c r="N19" i="54" s="1"/>
  <c r="D18" i="54"/>
  <c r="L18" i="54" s="1"/>
  <c r="N18" i="54" s="1"/>
  <c r="D17" i="54"/>
  <c r="L17" i="54" s="1"/>
  <c r="N17" i="54" s="1"/>
  <c r="D16" i="54"/>
  <c r="L16" i="54" s="1"/>
  <c r="N16" i="54" s="1"/>
  <c r="D15" i="54"/>
  <c r="L15" i="54" s="1"/>
  <c r="N15" i="54" s="1"/>
  <c r="D14" i="54"/>
  <c r="L14" i="54" s="1"/>
  <c r="N14" i="54" s="1"/>
  <c r="D13" i="54"/>
  <c r="L13" i="54" s="1"/>
  <c r="N13" i="54" s="1"/>
  <c r="D12" i="54"/>
  <c r="L12" i="54" s="1"/>
  <c r="N12" i="54" s="1"/>
  <c r="D11" i="54"/>
  <c r="D10" i="54"/>
  <c r="L10" i="54" s="1"/>
  <c r="N10" i="54" s="1"/>
  <c r="D9" i="54"/>
  <c r="L9" i="54" s="1"/>
  <c r="N9" i="54" s="1"/>
  <c r="D8" i="54"/>
  <c r="D7" i="54"/>
  <c r="L7" i="54" s="1"/>
  <c r="D4" i="54"/>
  <c r="E4" i="54" s="1"/>
  <c r="M27" i="54"/>
  <c r="K27" i="54"/>
  <c r="J27" i="54"/>
  <c r="I27" i="54"/>
  <c r="H27" i="54"/>
  <c r="G27" i="54"/>
  <c r="F27" i="54"/>
  <c r="E27" i="54"/>
  <c r="N26" i="54"/>
  <c r="N25" i="54"/>
  <c r="N24" i="54"/>
  <c r="N23" i="54"/>
  <c r="L21" i="54"/>
  <c r="N21" i="54" s="1"/>
  <c r="A17" i="54"/>
  <c r="L11" i="54"/>
  <c r="N11" i="54" s="1"/>
  <c r="D27" i="54" l="1"/>
  <c r="L8" i="54"/>
  <c r="N8" i="54" s="1"/>
  <c r="N7" i="54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4" i="53"/>
  <c r="D7" i="53"/>
  <c r="N27" i="54" l="1"/>
  <c r="L27" i="54"/>
  <c r="M27" i="53"/>
  <c r="K27" i="53"/>
  <c r="J27" i="53"/>
  <c r="I27" i="53"/>
  <c r="H27" i="53"/>
  <c r="G27" i="53"/>
  <c r="F27" i="53"/>
  <c r="N26" i="53"/>
  <c r="N25" i="53"/>
  <c r="N24" i="53"/>
  <c r="N23" i="53"/>
  <c r="L22" i="53"/>
  <c r="N22" i="53" s="1"/>
  <c r="L21" i="53"/>
  <c r="N21" i="53" s="1"/>
  <c r="L20" i="53"/>
  <c r="N20" i="53" s="1"/>
  <c r="L19" i="53"/>
  <c r="N19" i="53" s="1"/>
  <c r="L18" i="53"/>
  <c r="N18" i="53" s="1"/>
  <c r="L17" i="53"/>
  <c r="N17" i="53" s="1"/>
  <c r="A17" i="53"/>
  <c r="L16" i="53"/>
  <c r="N16" i="53" s="1"/>
  <c r="L15" i="53"/>
  <c r="N15" i="53" s="1"/>
  <c r="L14" i="53"/>
  <c r="N14" i="53" s="1"/>
  <c r="L13" i="53"/>
  <c r="N13" i="53" s="1"/>
  <c r="L12" i="53"/>
  <c r="N12" i="53" s="1"/>
  <c r="L11" i="53"/>
  <c r="N11" i="53" s="1"/>
  <c r="L10" i="53"/>
  <c r="N10" i="53" s="1"/>
  <c r="E27" i="53"/>
  <c r="L9" i="53"/>
  <c r="N9" i="53" s="1"/>
  <c r="L8" i="53"/>
  <c r="N8" i="53" s="1"/>
  <c r="L7" i="53"/>
  <c r="D27" i="53"/>
  <c r="E4" i="53"/>
  <c r="L27" i="53" l="1"/>
  <c r="N7" i="53"/>
  <c r="N27" i="53" s="1"/>
  <c r="E9" i="52"/>
  <c r="E10" i="52"/>
  <c r="D8" i="52"/>
  <c r="L8" i="52" s="1"/>
  <c r="N8" i="52" s="1"/>
  <c r="D9" i="52"/>
  <c r="D10" i="52"/>
  <c r="D11" i="52"/>
  <c r="L11" i="52" s="1"/>
  <c r="N11" i="52" s="1"/>
  <c r="D12" i="52"/>
  <c r="L12" i="52" s="1"/>
  <c r="N12" i="52" s="1"/>
  <c r="D13" i="52"/>
  <c r="L13" i="52" s="1"/>
  <c r="N13" i="52" s="1"/>
  <c r="D14" i="52"/>
  <c r="L14" i="52" s="1"/>
  <c r="N14" i="52" s="1"/>
  <c r="D15" i="52"/>
  <c r="L15" i="52" s="1"/>
  <c r="N15" i="52" s="1"/>
  <c r="D16" i="52"/>
  <c r="L16" i="52" s="1"/>
  <c r="N16" i="52" s="1"/>
  <c r="D17" i="52"/>
  <c r="L17" i="52" s="1"/>
  <c r="N17" i="52" s="1"/>
  <c r="D18" i="52"/>
  <c r="L18" i="52" s="1"/>
  <c r="N18" i="52" s="1"/>
  <c r="D19" i="52"/>
  <c r="L19" i="52" s="1"/>
  <c r="N19" i="52" s="1"/>
  <c r="D20" i="52"/>
  <c r="L20" i="52" s="1"/>
  <c r="N20" i="52" s="1"/>
  <c r="D21" i="52"/>
  <c r="L21" i="52" s="1"/>
  <c r="N21" i="52" s="1"/>
  <c r="D22" i="52"/>
  <c r="L22" i="52" s="1"/>
  <c r="N22" i="52" s="1"/>
  <c r="D23" i="52"/>
  <c r="D24" i="52"/>
  <c r="D25" i="52"/>
  <c r="D26" i="52"/>
  <c r="D7" i="52"/>
  <c r="L7" i="52" s="1"/>
  <c r="D4" i="52"/>
  <c r="E4" i="52" s="1"/>
  <c r="M27" i="52"/>
  <c r="K27" i="52"/>
  <c r="J27" i="52"/>
  <c r="I27" i="52"/>
  <c r="H27" i="52"/>
  <c r="G27" i="52"/>
  <c r="F27" i="52"/>
  <c r="N26" i="52"/>
  <c r="N25" i="52"/>
  <c r="N24" i="52"/>
  <c r="N23" i="52"/>
  <c r="A17" i="52"/>
  <c r="L9" i="52" l="1"/>
  <c r="N9" i="52" s="1"/>
  <c r="E27" i="52"/>
  <c r="L10" i="52"/>
  <c r="N10" i="52" s="1"/>
  <c r="D27" i="52"/>
  <c r="L27" i="52"/>
  <c r="N7" i="52"/>
  <c r="D8" i="51"/>
  <c r="L8" i="51" s="1"/>
  <c r="N8" i="51" s="1"/>
  <c r="D9" i="51"/>
  <c r="L9" i="51" s="1"/>
  <c r="N9" i="51" s="1"/>
  <c r="D10" i="51"/>
  <c r="L10" i="51" s="1"/>
  <c r="N10" i="51" s="1"/>
  <c r="D11" i="51"/>
  <c r="L11" i="51" s="1"/>
  <c r="N11" i="51" s="1"/>
  <c r="D12" i="51"/>
  <c r="L12" i="51" s="1"/>
  <c r="N12" i="51" s="1"/>
  <c r="D13" i="51"/>
  <c r="L13" i="51" s="1"/>
  <c r="N13" i="51" s="1"/>
  <c r="D14" i="51"/>
  <c r="L14" i="51" s="1"/>
  <c r="N14" i="51" s="1"/>
  <c r="D15" i="51"/>
  <c r="L15" i="51" s="1"/>
  <c r="N15" i="51" s="1"/>
  <c r="D16" i="51"/>
  <c r="L16" i="51" s="1"/>
  <c r="N16" i="51" s="1"/>
  <c r="D17" i="51"/>
  <c r="D18" i="51"/>
  <c r="L18" i="51" s="1"/>
  <c r="D19" i="51"/>
  <c r="D20" i="51"/>
  <c r="D21" i="51"/>
  <c r="D22" i="51"/>
  <c r="D23" i="51"/>
  <c r="D24" i="51"/>
  <c r="D25" i="51"/>
  <c r="D26" i="51"/>
  <c r="D7" i="51"/>
  <c r="D4" i="51"/>
  <c r="E4" i="51" s="1"/>
  <c r="K27" i="51"/>
  <c r="J27" i="51"/>
  <c r="I27" i="51"/>
  <c r="H27" i="51"/>
  <c r="G27" i="51"/>
  <c r="F27" i="51"/>
  <c r="E27" i="51"/>
  <c r="N26" i="51"/>
  <c r="N25" i="51"/>
  <c r="N24" i="51"/>
  <c r="N23" i="51"/>
  <c r="L22" i="51"/>
  <c r="N22" i="51" s="1"/>
  <c r="L21" i="51"/>
  <c r="N21" i="51" s="1"/>
  <c r="L20" i="51"/>
  <c r="N20" i="51" s="1"/>
  <c r="L19" i="51"/>
  <c r="N19" i="51" s="1"/>
  <c r="M27" i="51"/>
  <c r="L17" i="51"/>
  <c r="N17" i="51" s="1"/>
  <c r="A17" i="51"/>
  <c r="D8" i="50"/>
  <c r="L8" i="50" s="1"/>
  <c r="N8" i="50" s="1"/>
  <c r="D9" i="50"/>
  <c r="L9" i="50" s="1"/>
  <c r="N9" i="50" s="1"/>
  <c r="D10" i="50"/>
  <c r="L10" i="50" s="1"/>
  <c r="N10" i="50" s="1"/>
  <c r="D11" i="50"/>
  <c r="L11" i="50" s="1"/>
  <c r="N11" i="50" s="1"/>
  <c r="D12" i="50"/>
  <c r="L12" i="50" s="1"/>
  <c r="N12" i="50" s="1"/>
  <c r="D13" i="50"/>
  <c r="L13" i="50" s="1"/>
  <c r="N13" i="50" s="1"/>
  <c r="D14" i="50"/>
  <c r="L14" i="50" s="1"/>
  <c r="N14" i="50" s="1"/>
  <c r="D15" i="50"/>
  <c r="L15" i="50" s="1"/>
  <c r="N15" i="50" s="1"/>
  <c r="D16" i="50"/>
  <c r="L16" i="50" s="1"/>
  <c r="N16" i="50" s="1"/>
  <c r="D17" i="50"/>
  <c r="L17" i="50" s="1"/>
  <c r="N17" i="50" s="1"/>
  <c r="D18" i="50"/>
  <c r="D19" i="50"/>
  <c r="L19" i="50" s="1"/>
  <c r="N19" i="50" s="1"/>
  <c r="D20" i="50"/>
  <c r="L20" i="50" s="1"/>
  <c r="N20" i="50" s="1"/>
  <c r="D21" i="50"/>
  <c r="D22" i="50"/>
  <c r="D23" i="50"/>
  <c r="D24" i="50"/>
  <c r="D25" i="50"/>
  <c r="D26" i="50"/>
  <c r="D7" i="50"/>
  <c r="D4" i="50"/>
  <c r="E4" i="50" s="1"/>
  <c r="M27" i="50"/>
  <c r="K27" i="50"/>
  <c r="J27" i="50"/>
  <c r="I27" i="50"/>
  <c r="H27" i="50"/>
  <c r="G27" i="50"/>
  <c r="F27" i="50"/>
  <c r="N26" i="50"/>
  <c r="N25" i="50"/>
  <c r="N24" i="50"/>
  <c r="N23" i="50"/>
  <c r="L22" i="50"/>
  <c r="N22" i="50" s="1"/>
  <c r="L21" i="50"/>
  <c r="N21" i="50" s="1"/>
  <c r="L18" i="50"/>
  <c r="A17" i="50"/>
  <c r="E27" i="50"/>
  <c r="N27" i="52" l="1"/>
  <c r="D27" i="51"/>
  <c r="L7" i="51"/>
  <c r="N18" i="51"/>
  <c r="N18" i="50"/>
  <c r="D27" i="50"/>
  <c r="L7" i="50"/>
  <c r="E10" i="49"/>
  <c r="L27" i="51" l="1"/>
  <c r="N7" i="51"/>
  <c r="N27" i="51" s="1"/>
  <c r="L27" i="50"/>
  <c r="N7" i="50"/>
  <c r="N27" i="50" s="1"/>
  <c r="L14" i="49"/>
  <c r="N14" i="49" s="1"/>
  <c r="L16" i="49"/>
  <c r="N16" i="49" s="1"/>
  <c r="D7" i="49"/>
  <c r="K27" i="49"/>
  <c r="J27" i="49"/>
  <c r="I27" i="49"/>
  <c r="H27" i="49"/>
  <c r="G27" i="49"/>
  <c r="F27" i="49"/>
  <c r="N26" i="49"/>
  <c r="N25" i="49"/>
  <c r="N24" i="49"/>
  <c r="N23" i="49"/>
  <c r="L22" i="49"/>
  <c r="N22" i="49" s="1"/>
  <c r="L20" i="49"/>
  <c r="N20" i="49" s="1"/>
  <c r="L19" i="49"/>
  <c r="N19" i="49" s="1"/>
  <c r="L18" i="49"/>
  <c r="N18" i="49" s="1"/>
  <c r="L17" i="49"/>
  <c r="N17" i="49" s="1"/>
  <c r="A17" i="49"/>
  <c r="L15" i="49"/>
  <c r="N15" i="49" s="1"/>
  <c r="L13" i="49"/>
  <c r="N13" i="49" s="1"/>
  <c r="E27" i="49"/>
  <c r="L11" i="49"/>
  <c r="N11" i="49" s="1"/>
  <c r="L10" i="49"/>
  <c r="N10" i="49" s="1"/>
  <c r="L9" i="49"/>
  <c r="N9" i="49" s="1"/>
  <c r="M27" i="49"/>
  <c r="E4" i="49"/>
  <c r="L7" i="49" l="1"/>
  <c r="M21" i="48"/>
  <c r="D21" i="49" s="1"/>
  <c r="L21" i="49" s="1"/>
  <c r="N21" i="49" s="1"/>
  <c r="M12" i="48"/>
  <c r="D12" i="49" s="1"/>
  <c r="L12" i="49" s="1"/>
  <c r="N12" i="49" s="1"/>
  <c r="M8" i="48"/>
  <c r="D8" i="49" s="1"/>
  <c r="L8" i="49" s="1"/>
  <c r="N8" i="49" s="1"/>
  <c r="D27" i="49" l="1"/>
  <c r="L27" i="49"/>
  <c r="N7" i="49"/>
  <c r="N27" i="49" s="1"/>
  <c r="E18" i="48"/>
  <c r="E12" i="48"/>
  <c r="D8" i="48"/>
  <c r="L8" i="48" s="1"/>
  <c r="N8" i="48" s="1"/>
  <c r="D9" i="48"/>
  <c r="L9" i="48" s="1"/>
  <c r="N9" i="48" s="1"/>
  <c r="D10" i="48"/>
  <c r="L10" i="48" s="1"/>
  <c r="N10" i="48" s="1"/>
  <c r="D11" i="48"/>
  <c r="L11" i="48" s="1"/>
  <c r="N11" i="48" s="1"/>
  <c r="D12" i="48"/>
  <c r="D13" i="48"/>
  <c r="L13" i="48" s="1"/>
  <c r="N13" i="48" s="1"/>
  <c r="D14" i="48"/>
  <c r="L14" i="48" s="1"/>
  <c r="N14" i="48" s="1"/>
  <c r="D15" i="48"/>
  <c r="L15" i="48" s="1"/>
  <c r="N15" i="48" s="1"/>
  <c r="D16" i="48"/>
  <c r="L16" i="48" s="1"/>
  <c r="N16" i="48" s="1"/>
  <c r="D17" i="48"/>
  <c r="L17" i="48" s="1"/>
  <c r="N17" i="48" s="1"/>
  <c r="D18" i="48"/>
  <c r="L18" i="48" s="1"/>
  <c r="N18" i="48" s="1"/>
  <c r="D19" i="48"/>
  <c r="L19" i="48" s="1"/>
  <c r="N19" i="48" s="1"/>
  <c r="D20" i="48"/>
  <c r="L20" i="48" s="1"/>
  <c r="N20" i="48" s="1"/>
  <c r="D21" i="48"/>
  <c r="D22" i="48"/>
  <c r="D23" i="48"/>
  <c r="D24" i="48"/>
  <c r="D25" i="48"/>
  <c r="D26" i="48"/>
  <c r="D7" i="48"/>
  <c r="L7" i="48" s="1"/>
  <c r="D4" i="48"/>
  <c r="E4" i="48" s="1"/>
  <c r="M27" i="48"/>
  <c r="K27" i="48"/>
  <c r="J27" i="48"/>
  <c r="I27" i="48"/>
  <c r="H27" i="48"/>
  <c r="G27" i="48"/>
  <c r="F27" i="48"/>
  <c r="N26" i="48"/>
  <c r="N25" i="48"/>
  <c r="N24" i="48"/>
  <c r="N23" i="48"/>
  <c r="L22" i="48"/>
  <c r="N22" i="48" s="1"/>
  <c r="L21" i="48"/>
  <c r="N21" i="48" s="1"/>
  <c r="A17" i="48"/>
  <c r="E27" i="48" l="1"/>
  <c r="L12" i="48"/>
  <c r="N12" i="48" s="1"/>
  <c r="D27" i="48"/>
  <c r="N7" i="48"/>
  <c r="E10" i="47"/>
  <c r="E21" i="47"/>
  <c r="D4" i="47"/>
  <c r="E4" i="47" s="1"/>
  <c r="D8" i="47"/>
  <c r="L8" i="47" s="1"/>
  <c r="N8" i="47" s="1"/>
  <c r="D9" i="47"/>
  <c r="L9" i="47" s="1"/>
  <c r="N9" i="47" s="1"/>
  <c r="D10" i="47"/>
  <c r="D11" i="47"/>
  <c r="L11" i="47" s="1"/>
  <c r="N11" i="47" s="1"/>
  <c r="D12" i="47"/>
  <c r="L12" i="47" s="1"/>
  <c r="N12" i="47" s="1"/>
  <c r="D13" i="47"/>
  <c r="L13" i="47" s="1"/>
  <c r="N13" i="47" s="1"/>
  <c r="D14" i="47"/>
  <c r="L14" i="47" s="1"/>
  <c r="N14" i="47" s="1"/>
  <c r="D15" i="47"/>
  <c r="L15" i="47" s="1"/>
  <c r="N15" i="47" s="1"/>
  <c r="D16" i="47"/>
  <c r="L16" i="47" s="1"/>
  <c r="N16" i="47" s="1"/>
  <c r="D17" i="47"/>
  <c r="L17" i="47" s="1"/>
  <c r="N17" i="47" s="1"/>
  <c r="D18" i="47"/>
  <c r="L18" i="47" s="1"/>
  <c r="N18" i="47" s="1"/>
  <c r="D19" i="47"/>
  <c r="L19" i="47" s="1"/>
  <c r="N19" i="47" s="1"/>
  <c r="D20" i="47"/>
  <c r="L20" i="47" s="1"/>
  <c r="N20" i="47" s="1"/>
  <c r="D21" i="47"/>
  <c r="D22" i="47"/>
  <c r="L22" i="47" s="1"/>
  <c r="N22" i="47" s="1"/>
  <c r="D23" i="47"/>
  <c r="D24" i="47"/>
  <c r="D25" i="47"/>
  <c r="D26" i="47"/>
  <c r="D7" i="47"/>
  <c r="M27" i="47"/>
  <c r="K27" i="47"/>
  <c r="J27" i="47"/>
  <c r="I27" i="47"/>
  <c r="H27" i="47"/>
  <c r="G27" i="47"/>
  <c r="F27" i="47"/>
  <c r="N26" i="47"/>
  <c r="N25" i="47"/>
  <c r="N24" i="47"/>
  <c r="N23" i="47"/>
  <c r="A17" i="47"/>
  <c r="L27" i="48" l="1"/>
  <c r="E27" i="47"/>
  <c r="L21" i="47"/>
  <c r="N21" i="47" s="1"/>
  <c r="L10" i="47"/>
  <c r="N10" i="47" s="1"/>
  <c r="N27" i="48"/>
  <c r="D27" i="47"/>
  <c r="L7" i="47"/>
  <c r="D8" i="46"/>
  <c r="L8" i="46" s="1"/>
  <c r="N8" i="46" s="1"/>
  <c r="D9" i="46"/>
  <c r="L9" i="46" s="1"/>
  <c r="N9" i="46" s="1"/>
  <c r="D10" i="46"/>
  <c r="L10" i="46" s="1"/>
  <c r="N10" i="46" s="1"/>
  <c r="D11" i="46"/>
  <c r="L11" i="46" s="1"/>
  <c r="N11" i="46" s="1"/>
  <c r="D12" i="46"/>
  <c r="L12" i="46" s="1"/>
  <c r="N12" i="46" s="1"/>
  <c r="D13" i="46"/>
  <c r="L13" i="46" s="1"/>
  <c r="N13" i="46" s="1"/>
  <c r="D14" i="46"/>
  <c r="L14" i="46" s="1"/>
  <c r="N14" i="46" s="1"/>
  <c r="D15" i="46"/>
  <c r="L15" i="46" s="1"/>
  <c r="N15" i="46" s="1"/>
  <c r="D16" i="46"/>
  <c r="L16" i="46" s="1"/>
  <c r="N16" i="46" s="1"/>
  <c r="D17" i="46"/>
  <c r="L17" i="46" s="1"/>
  <c r="N17" i="46" s="1"/>
  <c r="D18" i="46"/>
  <c r="L18" i="46" s="1"/>
  <c r="N18" i="46" s="1"/>
  <c r="D19" i="46"/>
  <c r="L19" i="46" s="1"/>
  <c r="N19" i="46" s="1"/>
  <c r="D20" i="46"/>
  <c r="L20" i="46" s="1"/>
  <c r="N20" i="46" s="1"/>
  <c r="D21" i="46"/>
  <c r="D22" i="46"/>
  <c r="L22" i="46" s="1"/>
  <c r="N22" i="46" s="1"/>
  <c r="D23" i="46"/>
  <c r="D24" i="46"/>
  <c r="D25" i="46"/>
  <c r="D26" i="46"/>
  <c r="D7" i="46"/>
  <c r="D4" i="46"/>
  <c r="E4" i="46" s="1"/>
  <c r="M27" i="46"/>
  <c r="K27" i="46"/>
  <c r="J27" i="46"/>
  <c r="I27" i="46"/>
  <c r="H27" i="46"/>
  <c r="G27" i="46"/>
  <c r="F27" i="46"/>
  <c r="E27" i="46"/>
  <c r="N26" i="46"/>
  <c r="N25" i="46"/>
  <c r="N24" i="46"/>
  <c r="N23" i="46"/>
  <c r="L21" i="46"/>
  <c r="N21" i="46" s="1"/>
  <c r="A17" i="46"/>
  <c r="L27" i="47" l="1"/>
  <c r="N7" i="47"/>
  <c r="N27" i="47" s="1"/>
  <c r="D27" i="46"/>
  <c r="L7" i="46"/>
  <c r="L27" i="46" s="1"/>
  <c r="N7" i="46" l="1"/>
  <c r="N27" i="46" s="1"/>
  <c r="D4" i="45"/>
  <c r="E4" i="45" s="1"/>
  <c r="D8" i="45"/>
  <c r="L8" i="45" s="1"/>
  <c r="N8" i="45" s="1"/>
  <c r="D9" i="45"/>
  <c r="L9" i="45" s="1"/>
  <c r="N9" i="45" s="1"/>
  <c r="D10" i="45"/>
  <c r="L10" i="45" s="1"/>
  <c r="N10" i="45" s="1"/>
  <c r="D11" i="45"/>
  <c r="L11" i="45" s="1"/>
  <c r="N11" i="45" s="1"/>
  <c r="D12" i="45"/>
  <c r="L12" i="45" s="1"/>
  <c r="N12" i="45" s="1"/>
  <c r="D13" i="45"/>
  <c r="L13" i="45" s="1"/>
  <c r="N13" i="45" s="1"/>
  <c r="D14" i="45"/>
  <c r="L14" i="45" s="1"/>
  <c r="N14" i="45" s="1"/>
  <c r="D15" i="45"/>
  <c r="L15" i="45" s="1"/>
  <c r="N15" i="45" s="1"/>
  <c r="D16" i="45"/>
  <c r="L16" i="45" s="1"/>
  <c r="N16" i="45" s="1"/>
  <c r="D17" i="45"/>
  <c r="D18" i="45"/>
  <c r="D19" i="45"/>
  <c r="D20" i="45"/>
  <c r="D21" i="45"/>
  <c r="D22" i="45"/>
  <c r="D23" i="45"/>
  <c r="D24" i="45"/>
  <c r="D25" i="45"/>
  <c r="D26" i="45"/>
  <c r="D7" i="45"/>
  <c r="M27" i="45"/>
  <c r="K27" i="45"/>
  <c r="J27" i="45"/>
  <c r="I27" i="45"/>
  <c r="H27" i="45"/>
  <c r="G27" i="45"/>
  <c r="F27" i="45"/>
  <c r="E27" i="45"/>
  <c r="N26" i="45"/>
  <c r="N25" i="45"/>
  <c r="N24" i="45"/>
  <c r="N23" i="45"/>
  <c r="L22" i="45"/>
  <c r="N22" i="45" s="1"/>
  <c r="L21" i="45"/>
  <c r="N21" i="45" s="1"/>
  <c r="L20" i="45"/>
  <c r="N20" i="45" s="1"/>
  <c r="L19" i="45"/>
  <c r="N19" i="45" s="1"/>
  <c r="L18" i="45"/>
  <c r="N18" i="45" s="1"/>
  <c r="L17" i="45"/>
  <c r="N17" i="45" s="1"/>
  <c r="A17" i="45"/>
  <c r="D27" i="45" l="1"/>
  <c r="L7" i="45"/>
  <c r="D8" i="44"/>
  <c r="L8" i="44" s="1"/>
  <c r="N8" i="44" s="1"/>
  <c r="D10" i="44"/>
  <c r="L10" i="44" s="1"/>
  <c r="N10" i="44" s="1"/>
  <c r="D12" i="44"/>
  <c r="L12" i="44" s="1"/>
  <c r="N12" i="44" s="1"/>
  <c r="D13" i="44"/>
  <c r="L13" i="44" s="1"/>
  <c r="N13" i="44" s="1"/>
  <c r="D14" i="44"/>
  <c r="L14" i="44" s="1"/>
  <c r="N14" i="44" s="1"/>
  <c r="D15" i="44"/>
  <c r="D16" i="44"/>
  <c r="L16" i="44" s="1"/>
  <c r="N16" i="44" s="1"/>
  <c r="D17" i="44"/>
  <c r="D18" i="44"/>
  <c r="D19" i="44"/>
  <c r="D20" i="44"/>
  <c r="D21" i="44"/>
  <c r="D22" i="44"/>
  <c r="D23" i="44"/>
  <c r="D24" i="44"/>
  <c r="D25" i="44"/>
  <c r="D26" i="44"/>
  <c r="D7" i="44"/>
  <c r="L7" i="44" s="1"/>
  <c r="D4" i="44"/>
  <c r="E4" i="44" s="1"/>
  <c r="K27" i="44"/>
  <c r="J27" i="44"/>
  <c r="I27" i="44"/>
  <c r="H27" i="44"/>
  <c r="G27" i="44"/>
  <c r="F27" i="44"/>
  <c r="E27" i="44"/>
  <c r="N26" i="44"/>
  <c r="N25" i="44"/>
  <c r="N24" i="44"/>
  <c r="N23" i="44"/>
  <c r="L22" i="44"/>
  <c r="N22" i="44" s="1"/>
  <c r="L21" i="44"/>
  <c r="N21" i="44" s="1"/>
  <c r="L20" i="44"/>
  <c r="N20" i="44" s="1"/>
  <c r="L19" i="44"/>
  <c r="N19" i="44" s="1"/>
  <c r="L18" i="44"/>
  <c r="N18" i="44" s="1"/>
  <c r="L17" i="44"/>
  <c r="N17" i="44" s="1"/>
  <c r="A17" i="44"/>
  <c r="L15" i="44"/>
  <c r="N15" i="44" s="1"/>
  <c r="M27" i="44"/>
  <c r="D4" i="43"/>
  <c r="E4" i="43" s="1"/>
  <c r="D8" i="43"/>
  <c r="L8" i="43" s="1"/>
  <c r="N8" i="43" s="1"/>
  <c r="D10" i="43"/>
  <c r="L10" i="43" s="1"/>
  <c r="N10" i="43" s="1"/>
  <c r="D12" i="43"/>
  <c r="L12" i="43" s="1"/>
  <c r="N12" i="43" s="1"/>
  <c r="D13" i="43"/>
  <c r="L13" i="43" s="1"/>
  <c r="N13" i="43" s="1"/>
  <c r="D14" i="43"/>
  <c r="L14" i="43" s="1"/>
  <c r="N14" i="43" s="1"/>
  <c r="D15" i="43"/>
  <c r="L15" i="43" s="1"/>
  <c r="N15" i="43" s="1"/>
  <c r="D16" i="43"/>
  <c r="L16" i="43" s="1"/>
  <c r="N16" i="43" s="1"/>
  <c r="D17" i="43"/>
  <c r="L17" i="43" s="1"/>
  <c r="N17" i="43" s="1"/>
  <c r="D18" i="43"/>
  <c r="L18" i="43" s="1"/>
  <c r="N18" i="43" s="1"/>
  <c r="D19" i="43"/>
  <c r="L19" i="43" s="1"/>
  <c r="N19" i="43" s="1"/>
  <c r="D20" i="43"/>
  <c r="L20" i="43" s="1"/>
  <c r="N20" i="43" s="1"/>
  <c r="D21" i="43"/>
  <c r="L21" i="43" s="1"/>
  <c r="N21" i="43" s="1"/>
  <c r="D22" i="43"/>
  <c r="L22" i="43" s="1"/>
  <c r="N22" i="43" s="1"/>
  <c r="D23" i="43"/>
  <c r="D24" i="43"/>
  <c r="D25" i="43"/>
  <c r="D26" i="43"/>
  <c r="D7" i="43"/>
  <c r="L7" i="43" s="1"/>
  <c r="K27" i="43"/>
  <c r="J27" i="43"/>
  <c r="I27" i="43"/>
  <c r="H27" i="43"/>
  <c r="G27" i="43"/>
  <c r="F27" i="43"/>
  <c r="E27" i="43"/>
  <c r="N26" i="43"/>
  <c r="N25" i="43"/>
  <c r="N24" i="43"/>
  <c r="N23" i="43"/>
  <c r="A17" i="43"/>
  <c r="M11" i="43"/>
  <c r="D11" i="44" s="1"/>
  <c r="L11" i="44" s="1"/>
  <c r="N11" i="44" s="1"/>
  <c r="M9" i="43"/>
  <c r="M27" i="43" l="1"/>
  <c r="D9" i="44"/>
  <c r="L9" i="44" s="1"/>
  <c r="N9" i="44" s="1"/>
  <c r="L27" i="45"/>
  <c r="N7" i="45"/>
  <c r="N27" i="45" s="1"/>
  <c r="N7" i="44"/>
  <c r="N7" i="43"/>
  <c r="M11" i="42"/>
  <c r="D11" i="43" s="1"/>
  <c r="L11" i="43" s="1"/>
  <c r="N11" i="43" s="1"/>
  <c r="N27" i="44" l="1"/>
  <c r="L27" i="44"/>
  <c r="D27" i="44"/>
  <c r="M9" i="42"/>
  <c r="D9" i="43" s="1"/>
  <c r="D9" i="42"/>
  <c r="L9" i="43" l="1"/>
  <c r="D27" i="43"/>
  <c r="E11" i="39"/>
  <c r="N9" i="43" l="1"/>
  <c r="N27" i="43" s="1"/>
  <c r="L27" i="43"/>
  <c r="D8" i="42"/>
  <c r="D10" i="42"/>
  <c r="L10" i="42" s="1"/>
  <c r="N10" i="42" s="1"/>
  <c r="D11" i="42"/>
  <c r="D12" i="42"/>
  <c r="L12" i="42" s="1"/>
  <c r="N12" i="42" s="1"/>
  <c r="D13" i="42"/>
  <c r="L13" i="42" s="1"/>
  <c r="N13" i="42" s="1"/>
  <c r="D14" i="42"/>
  <c r="L14" i="42" s="1"/>
  <c r="N14" i="42" s="1"/>
  <c r="D15" i="42"/>
  <c r="L15" i="42" s="1"/>
  <c r="N15" i="42" s="1"/>
  <c r="D16" i="42"/>
  <c r="L16" i="42" s="1"/>
  <c r="N16" i="42" s="1"/>
  <c r="D17" i="42"/>
  <c r="L17" i="42" s="1"/>
  <c r="N17" i="42" s="1"/>
  <c r="D18" i="42"/>
  <c r="L18" i="42" s="1"/>
  <c r="N18" i="42" s="1"/>
  <c r="D19" i="42"/>
  <c r="L19" i="42" s="1"/>
  <c r="N19" i="42" s="1"/>
  <c r="D20" i="42"/>
  <c r="L20" i="42" s="1"/>
  <c r="N20" i="42" s="1"/>
  <c r="D21" i="42"/>
  <c r="D22" i="42"/>
  <c r="L22" i="42" s="1"/>
  <c r="N22" i="42" s="1"/>
  <c r="D23" i="42"/>
  <c r="D24" i="42"/>
  <c r="D25" i="42"/>
  <c r="D26" i="42"/>
  <c r="D7" i="42"/>
  <c r="L7" i="42" s="1"/>
  <c r="D4" i="42"/>
  <c r="E4" i="42" s="1"/>
  <c r="M27" i="42"/>
  <c r="K27" i="42"/>
  <c r="J27" i="42"/>
  <c r="I27" i="42"/>
  <c r="H27" i="42"/>
  <c r="G27" i="42"/>
  <c r="F27" i="42"/>
  <c r="E27" i="42"/>
  <c r="N26" i="42"/>
  <c r="N25" i="42"/>
  <c r="N24" i="42"/>
  <c r="N23" i="42"/>
  <c r="L21" i="42"/>
  <c r="N21" i="42" s="1"/>
  <c r="A17" i="42"/>
  <c r="L11" i="42"/>
  <c r="N11" i="42" s="1"/>
  <c r="L9" i="42"/>
  <c r="N9" i="42" s="1"/>
  <c r="D27" i="42" l="1"/>
  <c r="N7" i="42"/>
  <c r="L8" i="42"/>
  <c r="N8" i="42" s="1"/>
  <c r="D4" i="41"/>
  <c r="D11" i="41"/>
  <c r="L11" i="41" s="1"/>
  <c r="D12" i="41"/>
  <c r="L12" i="41" s="1"/>
  <c r="N12" i="41" s="1"/>
  <c r="D13" i="41"/>
  <c r="L13" i="41" s="1"/>
  <c r="N13" i="41" s="1"/>
  <c r="D14" i="41"/>
  <c r="L14" i="41" s="1"/>
  <c r="N14" i="41" s="1"/>
  <c r="D17" i="41"/>
  <c r="D18" i="41"/>
  <c r="L18" i="41" s="1"/>
  <c r="N18" i="41" s="1"/>
  <c r="D19" i="41"/>
  <c r="L19" i="41" s="1"/>
  <c r="N19" i="41" s="1"/>
  <c r="D20" i="41"/>
  <c r="L20" i="41" s="1"/>
  <c r="N20" i="41" s="1"/>
  <c r="D22" i="41"/>
  <c r="L22" i="41" s="1"/>
  <c r="N22" i="41" s="1"/>
  <c r="D23" i="41"/>
  <c r="D24" i="41"/>
  <c r="D25" i="41"/>
  <c r="D26" i="41"/>
  <c r="K27" i="41"/>
  <c r="J27" i="41"/>
  <c r="I27" i="41"/>
  <c r="H27" i="41"/>
  <c r="G27" i="41"/>
  <c r="F27" i="41"/>
  <c r="E27" i="41"/>
  <c r="N26" i="41"/>
  <c r="N25" i="41"/>
  <c r="N24" i="41"/>
  <c r="N23" i="41"/>
  <c r="L17" i="41"/>
  <c r="N17" i="41" s="1"/>
  <c r="A17" i="41"/>
  <c r="E4" i="41"/>
  <c r="L27" i="42" l="1"/>
  <c r="N27" i="42"/>
  <c r="N11" i="41"/>
  <c r="M27" i="41"/>
  <c r="M15" i="40"/>
  <c r="D15" i="41" s="1"/>
  <c r="L15" i="41" s="1"/>
  <c r="N15" i="41" s="1"/>
  <c r="M16" i="40"/>
  <c r="D16" i="41" s="1"/>
  <c r="L16" i="41" s="1"/>
  <c r="N16" i="41" s="1"/>
  <c r="M9" i="40"/>
  <c r="D9" i="41" s="1"/>
  <c r="L9" i="41" s="1"/>
  <c r="N9" i="41" s="1"/>
  <c r="M21" i="40"/>
  <c r="D21" i="41" s="1"/>
  <c r="L21" i="41" s="1"/>
  <c r="N21" i="41" s="1"/>
  <c r="M10" i="40"/>
  <c r="D10" i="41" s="1"/>
  <c r="L10" i="41" s="1"/>
  <c r="N10" i="41" s="1"/>
  <c r="M8" i="40"/>
  <c r="D8" i="41" s="1"/>
  <c r="L8" i="41" s="1"/>
  <c r="N8" i="41" s="1"/>
  <c r="M7" i="40"/>
  <c r="D7" i="41" s="1"/>
  <c r="D27" i="41" l="1"/>
  <c r="L7" i="41"/>
  <c r="L27" i="41" s="1"/>
  <c r="D8" i="40"/>
  <c r="L8" i="40" s="1"/>
  <c r="N8" i="40" s="1"/>
  <c r="D9" i="40"/>
  <c r="L9" i="40" s="1"/>
  <c r="N9" i="40" s="1"/>
  <c r="D10" i="40"/>
  <c r="L10" i="40" s="1"/>
  <c r="N10" i="40" s="1"/>
  <c r="D11" i="40"/>
  <c r="L11" i="40" s="1"/>
  <c r="N11" i="40" s="1"/>
  <c r="D12" i="40"/>
  <c r="L12" i="40" s="1"/>
  <c r="N12" i="40" s="1"/>
  <c r="D13" i="40"/>
  <c r="L13" i="40" s="1"/>
  <c r="N13" i="40" s="1"/>
  <c r="D14" i="40"/>
  <c r="L14" i="40" s="1"/>
  <c r="N14" i="40" s="1"/>
  <c r="D15" i="40"/>
  <c r="L15" i="40" s="1"/>
  <c r="N15" i="40" s="1"/>
  <c r="D16" i="40"/>
  <c r="L16" i="40" s="1"/>
  <c r="N16" i="40" s="1"/>
  <c r="D17" i="40"/>
  <c r="L17" i="40" s="1"/>
  <c r="N17" i="40" s="1"/>
  <c r="D18" i="40"/>
  <c r="L18" i="40" s="1"/>
  <c r="N18" i="40" s="1"/>
  <c r="D19" i="40"/>
  <c r="L19" i="40" s="1"/>
  <c r="N19" i="40" s="1"/>
  <c r="D20" i="40"/>
  <c r="L20" i="40" s="1"/>
  <c r="N20" i="40" s="1"/>
  <c r="D21" i="40"/>
  <c r="D22" i="40"/>
  <c r="L22" i="40" s="1"/>
  <c r="N22" i="40" s="1"/>
  <c r="D7" i="40"/>
  <c r="D4" i="40"/>
  <c r="M27" i="40"/>
  <c r="K27" i="40"/>
  <c r="J27" i="40"/>
  <c r="I27" i="40"/>
  <c r="H27" i="40"/>
  <c r="G27" i="40"/>
  <c r="F27" i="40"/>
  <c r="E27" i="40"/>
  <c r="N26" i="40"/>
  <c r="N25" i="40"/>
  <c r="N24" i="40"/>
  <c r="N23" i="40"/>
  <c r="L21" i="40"/>
  <c r="N21" i="40" s="1"/>
  <c r="A17" i="40"/>
  <c r="E4" i="40"/>
  <c r="N7" i="41" l="1"/>
  <c r="N27" i="41" s="1"/>
  <c r="D27" i="40"/>
  <c r="L7" i="40"/>
  <c r="D4" i="39"/>
  <c r="E4" i="39" s="1"/>
  <c r="D8" i="39"/>
  <c r="L8" i="39" s="1"/>
  <c r="N8" i="39" s="1"/>
  <c r="D9" i="39"/>
  <c r="L9" i="39" s="1"/>
  <c r="N9" i="39" s="1"/>
  <c r="D10" i="39"/>
  <c r="L10" i="39" s="1"/>
  <c r="N10" i="39" s="1"/>
  <c r="D11" i="39"/>
  <c r="L11" i="39" s="1"/>
  <c r="N11" i="39" s="1"/>
  <c r="D12" i="39"/>
  <c r="L12" i="39" s="1"/>
  <c r="N12" i="39" s="1"/>
  <c r="D13" i="39"/>
  <c r="L13" i="39" s="1"/>
  <c r="N13" i="39" s="1"/>
  <c r="D14" i="39"/>
  <c r="L14" i="39" s="1"/>
  <c r="N14" i="39" s="1"/>
  <c r="D15" i="39"/>
  <c r="D16" i="39"/>
  <c r="L16" i="39" s="1"/>
  <c r="N16" i="39" s="1"/>
  <c r="D17" i="39"/>
  <c r="D18" i="39"/>
  <c r="D19" i="39"/>
  <c r="D20" i="39"/>
  <c r="L20" i="39" s="1"/>
  <c r="N20" i="39" s="1"/>
  <c r="D21" i="39"/>
  <c r="D22" i="39"/>
  <c r="D7" i="39"/>
  <c r="M27" i="39"/>
  <c r="K27" i="39"/>
  <c r="J27" i="39"/>
  <c r="I27" i="39"/>
  <c r="H27" i="39"/>
  <c r="G27" i="39"/>
  <c r="F27" i="39"/>
  <c r="E27" i="39"/>
  <c r="N26" i="39"/>
  <c r="N25" i="39"/>
  <c r="N24" i="39"/>
  <c r="N23" i="39"/>
  <c r="L22" i="39"/>
  <c r="N22" i="39" s="1"/>
  <c r="L21" i="39"/>
  <c r="N21" i="39" s="1"/>
  <c r="L19" i="39"/>
  <c r="N19" i="39" s="1"/>
  <c r="L18" i="39"/>
  <c r="N18" i="39" s="1"/>
  <c r="L17" i="39"/>
  <c r="N17" i="39" s="1"/>
  <c r="A17" i="39"/>
  <c r="L15" i="39"/>
  <c r="N15" i="39" s="1"/>
  <c r="L27" i="40" l="1"/>
  <c r="N7" i="40"/>
  <c r="N27" i="40" s="1"/>
  <c r="D27" i="39"/>
  <c r="L7" i="39"/>
  <c r="D8" i="38"/>
  <c r="L8" i="38" s="1"/>
  <c r="N8" i="38" s="1"/>
  <c r="D9" i="38"/>
  <c r="L9" i="38" s="1"/>
  <c r="N9" i="38" s="1"/>
  <c r="D10" i="38"/>
  <c r="L10" i="38" s="1"/>
  <c r="N10" i="38" s="1"/>
  <c r="D11" i="38"/>
  <c r="L11" i="38" s="1"/>
  <c r="N11" i="38" s="1"/>
  <c r="D12" i="38"/>
  <c r="L12" i="38" s="1"/>
  <c r="N12" i="38" s="1"/>
  <c r="D13" i="38"/>
  <c r="L13" i="38" s="1"/>
  <c r="N13" i="38" s="1"/>
  <c r="D14" i="38"/>
  <c r="L14" i="38" s="1"/>
  <c r="N14" i="38" s="1"/>
  <c r="D15" i="38"/>
  <c r="L15" i="38" s="1"/>
  <c r="N15" i="38" s="1"/>
  <c r="D16" i="38"/>
  <c r="L16" i="38" s="1"/>
  <c r="N16" i="38" s="1"/>
  <c r="D17" i="38"/>
  <c r="L17" i="38" s="1"/>
  <c r="N17" i="38" s="1"/>
  <c r="D18" i="38"/>
  <c r="L18" i="38" s="1"/>
  <c r="N18" i="38" s="1"/>
  <c r="D19" i="38"/>
  <c r="L19" i="38" s="1"/>
  <c r="N19" i="38" s="1"/>
  <c r="D20" i="38"/>
  <c r="L20" i="38" s="1"/>
  <c r="N20" i="38" s="1"/>
  <c r="D21" i="38"/>
  <c r="D22" i="38"/>
  <c r="L22" i="38" s="1"/>
  <c r="N22" i="38" s="1"/>
  <c r="D7" i="38"/>
  <c r="L7" i="38" s="1"/>
  <c r="N7" i="38" s="1"/>
  <c r="D4" i="38"/>
  <c r="E4" i="38" s="1"/>
  <c r="M27" i="38"/>
  <c r="K27" i="38"/>
  <c r="J27" i="38"/>
  <c r="I27" i="38"/>
  <c r="H27" i="38"/>
  <c r="G27" i="38"/>
  <c r="F27" i="38"/>
  <c r="E27" i="38"/>
  <c r="N26" i="38"/>
  <c r="N25" i="38"/>
  <c r="N24" i="38"/>
  <c r="N23" i="38"/>
  <c r="L21" i="38"/>
  <c r="N21" i="38" s="1"/>
  <c r="A17" i="38"/>
  <c r="D8" i="37"/>
  <c r="L8" i="37" s="1"/>
  <c r="N8" i="37" s="1"/>
  <c r="D9" i="37"/>
  <c r="D10" i="37"/>
  <c r="D11" i="37"/>
  <c r="D12" i="37"/>
  <c r="L12" i="37" s="1"/>
  <c r="N12" i="37" s="1"/>
  <c r="D13" i="37"/>
  <c r="D14" i="37"/>
  <c r="D15" i="37"/>
  <c r="D16" i="37"/>
  <c r="L16" i="37" s="1"/>
  <c r="N16" i="37" s="1"/>
  <c r="D17" i="37"/>
  <c r="L17" i="37" s="1"/>
  <c r="N17" i="37" s="1"/>
  <c r="D18" i="37"/>
  <c r="D19" i="37"/>
  <c r="L19" i="37" s="1"/>
  <c r="N19" i="37" s="1"/>
  <c r="D20" i="37"/>
  <c r="L20" i="37" s="1"/>
  <c r="N20" i="37" s="1"/>
  <c r="D21" i="37"/>
  <c r="L21" i="37" s="1"/>
  <c r="N21" i="37" s="1"/>
  <c r="D22" i="37"/>
  <c r="L22" i="37" s="1"/>
  <c r="N22" i="37" s="1"/>
  <c r="D7" i="37"/>
  <c r="D4" i="37"/>
  <c r="E4" i="37" s="1"/>
  <c r="M27" i="37"/>
  <c r="K27" i="37"/>
  <c r="J27" i="37"/>
  <c r="I27" i="37"/>
  <c r="H27" i="37"/>
  <c r="G27" i="37"/>
  <c r="F27" i="37"/>
  <c r="E27" i="37"/>
  <c r="N26" i="37"/>
  <c r="N25" i="37"/>
  <c r="N24" i="37"/>
  <c r="N23" i="37"/>
  <c r="L18" i="37"/>
  <c r="N18" i="37" s="1"/>
  <c r="A17" i="37"/>
  <c r="L15" i="37"/>
  <c r="N15" i="37" s="1"/>
  <c r="L14" i="37"/>
  <c r="N14" i="37" s="1"/>
  <c r="L13" i="37"/>
  <c r="N13" i="37" s="1"/>
  <c r="L11" i="37"/>
  <c r="N11" i="37" s="1"/>
  <c r="L10" i="37"/>
  <c r="N10" i="37" s="1"/>
  <c r="L9" i="37"/>
  <c r="N9" i="37" s="1"/>
  <c r="D4" i="36"/>
  <c r="E4" i="36" s="1"/>
  <c r="D8" i="36"/>
  <c r="L8" i="36" s="1"/>
  <c r="N8" i="36" s="1"/>
  <c r="D9" i="36"/>
  <c r="L9" i="36" s="1"/>
  <c r="N9" i="36" s="1"/>
  <c r="D10" i="36"/>
  <c r="L10" i="36" s="1"/>
  <c r="N10" i="36" s="1"/>
  <c r="D12" i="36"/>
  <c r="L12" i="36" s="1"/>
  <c r="N12" i="36" s="1"/>
  <c r="D13" i="36"/>
  <c r="L13" i="36" s="1"/>
  <c r="N13" i="36" s="1"/>
  <c r="D14" i="36"/>
  <c r="L14" i="36" s="1"/>
  <c r="N14" i="36" s="1"/>
  <c r="D15" i="36"/>
  <c r="L15" i="36" s="1"/>
  <c r="N15" i="36" s="1"/>
  <c r="D16" i="36"/>
  <c r="L16" i="36" s="1"/>
  <c r="N16" i="36" s="1"/>
  <c r="D17" i="36"/>
  <c r="L17" i="36" s="1"/>
  <c r="N17" i="36" s="1"/>
  <c r="D18" i="36"/>
  <c r="L18" i="36" s="1"/>
  <c r="N18" i="36" s="1"/>
  <c r="D19" i="36"/>
  <c r="L19" i="36" s="1"/>
  <c r="N19" i="36" s="1"/>
  <c r="D20" i="36"/>
  <c r="L20" i="36" s="1"/>
  <c r="N20" i="36" s="1"/>
  <c r="D21" i="36"/>
  <c r="L21" i="36" s="1"/>
  <c r="N21" i="36" s="1"/>
  <c r="D22" i="36"/>
  <c r="L22" i="36" s="1"/>
  <c r="N22" i="36" s="1"/>
  <c r="D7" i="36"/>
  <c r="L7" i="36" s="1"/>
  <c r="K27" i="36"/>
  <c r="J27" i="36"/>
  <c r="I27" i="36"/>
  <c r="H27" i="36"/>
  <c r="G27" i="36"/>
  <c r="F27" i="36"/>
  <c r="E27" i="36"/>
  <c r="N26" i="36"/>
  <c r="N25" i="36"/>
  <c r="N24" i="36"/>
  <c r="N23" i="36"/>
  <c r="A17" i="36"/>
  <c r="M27" i="36"/>
  <c r="M11" i="35"/>
  <c r="D11" i="36" s="1"/>
  <c r="L11" i="36" s="1"/>
  <c r="D27" i="37" l="1"/>
  <c r="L27" i="39"/>
  <c r="N7" i="39"/>
  <c r="N27" i="39" s="1"/>
  <c r="D27" i="38"/>
  <c r="N27" i="38"/>
  <c r="L27" i="38"/>
  <c r="L7" i="37"/>
  <c r="N7" i="36"/>
  <c r="L27" i="36"/>
  <c r="D27" i="36"/>
  <c r="N11" i="36"/>
  <c r="D8" i="35"/>
  <c r="L8" i="35" s="1"/>
  <c r="N8" i="35" s="1"/>
  <c r="D9" i="35"/>
  <c r="L9" i="35" s="1"/>
  <c r="N9" i="35" s="1"/>
  <c r="D10" i="35"/>
  <c r="L10" i="35" s="1"/>
  <c r="N10" i="35" s="1"/>
  <c r="D11" i="35"/>
  <c r="L11" i="35" s="1"/>
  <c r="N11" i="35" s="1"/>
  <c r="D12" i="35"/>
  <c r="L12" i="35" s="1"/>
  <c r="N12" i="35" s="1"/>
  <c r="D13" i="35"/>
  <c r="L13" i="35" s="1"/>
  <c r="N13" i="35" s="1"/>
  <c r="D14" i="35"/>
  <c r="L14" i="35" s="1"/>
  <c r="N14" i="35" s="1"/>
  <c r="D15" i="35"/>
  <c r="D16" i="35"/>
  <c r="L16" i="35" s="1"/>
  <c r="N16" i="35" s="1"/>
  <c r="D17" i="35"/>
  <c r="D18" i="35"/>
  <c r="D19" i="35"/>
  <c r="D20" i="35"/>
  <c r="L20" i="35" s="1"/>
  <c r="N20" i="35" s="1"/>
  <c r="D21" i="35"/>
  <c r="D22" i="35"/>
  <c r="L22" i="35" s="1"/>
  <c r="N22" i="35" s="1"/>
  <c r="D7" i="35"/>
  <c r="L7" i="35" s="1"/>
  <c r="N7" i="35" s="1"/>
  <c r="D4" i="35"/>
  <c r="E4" i="35" s="1"/>
  <c r="M27" i="35"/>
  <c r="K27" i="35"/>
  <c r="J27" i="35"/>
  <c r="I27" i="35"/>
  <c r="H27" i="35"/>
  <c r="G27" i="35"/>
  <c r="F27" i="35"/>
  <c r="E27" i="35"/>
  <c r="N26" i="35"/>
  <c r="N25" i="35"/>
  <c r="N24" i="35"/>
  <c r="N23" i="35"/>
  <c r="L21" i="35"/>
  <c r="N21" i="35" s="1"/>
  <c r="L19" i="35"/>
  <c r="N19" i="35" s="1"/>
  <c r="L18" i="35"/>
  <c r="N18" i="35" s="1"/>
  <c r="L17" i="35"/>
  <c r="N17" i="35" s="1"/>
  <c r="A17" i="35"/>
  <c r="L15" i="35"/>
  <c r="N15" i="35" s="1"/>
  <c r="D4" i="34"/>
  <c r="E4" i="34" s="1"/>
  <c r="D8" i="34"/>
  <c r="L8" i="34" s="1"/>
  <c r="N8" i="34" s="1"/>
  <c r="D9" i="34"/>
  <c r="L9" i="34" s="1"/>
  <c r="N9" i="34" s="1"/>
  <c r="D10" i="34"/>
  <c r="L10" i="34" s="1"/>
  <c r="N10" i="34" s="1"/>
  <c r="D11" i="34"/>
  <c r="L11" i="34" s="1"/>
  <c r="N11" i="34" s="1"/>
  <c r="D12" i="34"/>
  <c r="L12" i="34" s="1"/>
  <c r="N12" i="34" s="1"/>
  <c r="D13" i="34"/>
  <c r="L13" i="34" s="1"/>
  <c r="N13" i="34" s="1"/>
  <c r="D14" i="34"/>
  <c r="L14" i="34" s="1"/>
  <c r="N14" i="34" s="1"/>
  <c r="D15" i="34"/>
  <c r="L15" i="34" s="1"/>
  <c r="N15" i="34" s="1"/>
  <c r="D16" i="34"/>
  <c r="L16" i="34" s="1"/>
  <c r="N16" i="34" s="1"/>
  <c r="D17" i="34"/>
  <c r="L17" i="34" s="1"/>
  <c r="N17" i="34" s="1"/>
  <c r="D18" i="34"/>
  <c r="L18" i="34" s="1"/>
  <c r="N18" i="34" s="1"/>
  <c r="D19" i="34"/>
  <c r="L19" i="34" s="1"/>
  <c r="N19" i="34" s="1"/>
  <c r="D20" i="34"/>
  <c r="L20" i="34" s="1"/>
  <c r="N20" i="34" s="1"/>
  <c r="D21" i="34"/>
  <c r="L21" i="34" s="1"/>
  <c r="N21" i="34" s="1"/>
  <c r="D22" i="34"/>
  <c r="L22" i="34" s="1"/>
  <c r="N22" i="34" s="1"/>
  <c r="D7" i="34"/>
  <c r="M27" i="34"/>
  <c r="K27" i="34"/>
  <c r="J27" i="34"/>
  <c r="I27" i="34"/>
  <c r="H27" i="34"/>
  <c r="G27" i="34"/>
  <c r="F27" i="34"/>
  <c r="E27" i="34"/>
  <c r="N26" i="34"/>
  <c r="N25" i="34"/>
  <c r="N24" i="34"/>
  <c r="N23" i="34"/>
  <c r="A17" i="34"/>
  <c r="D8" i="33"/>
  <c r="L8" i="33" s="1"/>
  <c r="N8" i="33" s="1"/>
  <c r="D9" i="33"/>
  <c r="L9" i="33" s="1"/>
  <c r="N9" i="33" s="1"/>
  <c r="D10" i="33"/>
  <c r="D11" i="33"/>
  <c r="L11" i="33" s="1"/>
  <c r="N11" i="33" s="1"/>
  <c r="D12" i="33"/>
  <c r="L12" i="33" s="1"/>
  <c r="N12" i="33" s="1"/>
  <c r="D13" i="33"/>
  <c r="L13" i="33" s="1"/>
  <c r="N13" i="33" s="1"/>
  <c r="D14" i="33"/>
  <c r="L14" i="33" s="1"/>
  <c r="N14" i="33" s="1"/>
  <c r="D15" i="33"/>
  <c r="L15" i="33" s="1"/>
  <c r="N15" i="33" s="1"/>
  <c r="D16" i="33"/>
  <c r="L16" i="33" s="1"/>
  <c r="N16" i="33" s="1"/>
  <c r="D17" i="33"/>
  <c r="L17" i="33" s="1"/>
  <c r="N17" i="33" s="1"/>
  <c r="D18" i="33"/>
  <c r="L18" i="33" s="1"/>
  <c r="N18" i="33" s="1"/>
  <c r="D19" i="33"/>
  <c r="L19" i="33" s="1"/>
  <c r="N19" i="33" s="1"/>
  <c r="D20" i="33"/>
  <c r="L20" i="33" s="1"/>
  <c r="N20" i="33" s="1"/>
  <c r="D21" i="33"/>
  <c r="L21" i="33" s="1"/>
  <c r="N21" i="33" s="1"/>
  <c r="D22" i="33"/>
  <c r="L22" i="33" s="1"/>
  <c r="N22" i="33" s="1"/>
  <c r="D7" i="33"/>
  <c r="D4" i="33"/>
  <c r="E4" i="33" s="1"/>
  <c r="M27" i="33"/>
  <c r="K27" i="33"/>
  <c r="J27" i="33"/>
  <c r="I27" i="33"/>
  <c r="H27" i="33"/>
  <c r="G27" i="33"/>
  <c r="F27" i="33"/>
  <c r="E27" i="33"/>
  <c r="N26" i="33"/>
  <c r="N25" i="33"/>
  <c r="N24" i="33"/>
  <c r="N23" i="33"/>
  <c r="A17" i="33"/>
  <c r="L10" i="33"/>
  <c r="N10" i="33" s="1"/>
  <c r="L7" i="32"/>
  <c r="N7" i="32" s="1"/>
  <c r="D4" i="32"/>
  <c r="M27" i="32"/>
  <c r="K27" i="32"/>
  <c r="J27" i="32"/>
  <c r="I27" i="32"/>
  <c r="H27" i="32"/>
  <c r="G27" i="32"/>
  <c r="F27" i="32"/>
  <c r="E27" i="32"/>
  <c r="N26" i="32"/>
  <c r="N25" i="32"/>
  <c r="N24" i="32"/>
  <c r="N23" i="32"/>
  <c r="L22" i="32"/>
  <c r="N22" i="32" s="1"/>
  <c r="L21" i="32"/>
  <c r="N21" i="32" s="1"/>
  <c r="L20" i="32"/>
  <c r="N20" i="32" s="1"/>
  <c r="L19" i="32"/>
  <c r="N19" i="32" s="1"/>
  <c r="L18" i="32"/>
  <c r="N18" i="32" s="1"/>
  <c r="L17" i="32"/>
  <c r="N17" i="32" s="1"/>
  <c r="A17" i="32"/>
  <c r="L16" i="32"/>
  <c r="N16" i="32" s="1"/>
  <c r="L15" i="32"/>
  <c r="N15" i="32" s="1"/>
  <c r="L14" i="32"/>
  <c r="N14" i="32" s="1"/>
  <c r="L13" i="32"/>
  <c r="N13" i="32" s="1"/>
  <c r="L12" i="32"/>
  <c r="N12" i="32" s="1"/>
  <c r="L11" i="32"/>
  <c r="N11" i="32" s="1"/>
  <c r="L10" i="32"/>
  <c r="N10" i="32" s="1"/>
  <c r="L9" i="32"/>
  <c r="N9" i="32" s="1"/>
  <c r="L8" i="32"/>
  <c r="N8" i="32" s="1"/>
  <c r="D27" i="32"/>
  <c r="E4" i="32"/>
  <c r="D27" i="33" l="1"/>
  <c r="D27" i="34"/>
  <c r="N7" i="37"/>
  <c r="N27" i="37" s="1"/>
  <c r="L27" i="37"/>
  <c r="N27" i="36"/>
  <c r="D27" i="35"/>
  <c r="N27" i="35"/>
  <c r="L27" i="35"/>
  <c r="L7" i="34"/>
  <c r="L7" i="33"/>
  <c r="L27" i="33" s="1"/>
  <c r="N27" i="32"/>
  <c r="L27" i="32"/>
  <c r="N7" i="33" l="1"/>
  <c r="N27" i="33" s="1"/>
  <c r="L27" i="34"/>
  <c r="N7" i="34"/>
  <c r="N27" i="34" s="1"/>
  <c r="M27" i="188"/>
  <c r="N16" i="188"/>
  <c r="N27" i="188" s="1"/>
</calcChain>
</file>

<file path=xl/comments1.xml><?xml version="1.0" encoding="utf-8"?>
<comments xmlns="http://schemas.openxmlformats.org/spreadsheetml/2006/main">
  <authors>
    <author>Huyen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XUAT BS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CT TRA LAI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CHUYEN CHO BEP CAKE SING LAM, BANH MOI</t>
        </r>
      </text>
    </comment>
  </commentList>
</comments>
</file>

<file path=xl/comments7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DON HANG POUCHEN</t>
        </r>
      </text>
    </comment>
  </commentList>
</comments>
</file>

<file path=xl/comments8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DHANG POUCHEN</t>
        </r>
      </text>
    </comment>
  </commentList>
</comments>
</file>

<file path=xl/comments9.xml><?xml version="1.0" encoding="utf-8"?>
<comments xmlns="http://schemas.openxmlformats.org/spreadsheetml/2006/main">
  <authors>
    <author>BMTC</author>
  </authors>
  <commentList>
    <comment ref="T8" authorId="0">
      <text>
        <r>
          <rPr>
            <b/>
            <sz val="8"/>
            <color indexed="81"/>
            <rFont val="Tahoma"/>
            <family val="2"/>
          </rPr>
          <t>BỊ CHUA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<sst xmlns="http://schemas.openxmlformats.org/spreadsheetml/2006/main" count="15156" uniqueCount="82">
  <si>
    <t>THEO DÕI NHẬP XUẤT TỒN NHÂN HÀNG NGÀY</t>
  </si>
  <si>
    <t>STT</t>
  </si>
  <si>
    <t>TÊN NHÂN</t>
  </si>
  <si>
    <t>ĐVT</t>
  </si>
  <si>
    <t>TĐ</t>
  </si>
  <si>
    <t>NHẬP</t>
  </si>
  <si>
    <t>XUẤT</t>
  </si>
  <si>
    <t>TC</t>
  </si>
  <si>
    <t>T.T TẾ</t>
  </si>
  <si>
    <t>CL</t>
  </si>
  <si>
    <t>CT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</si>
  <si>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</si>
  <si>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</si>
  <si>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</si>
  <si>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</si>
  <si>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</si>
  <si>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</si>
  <si>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</si>
  <si>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</si>
  <si>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</si>
  <si>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</si>
  <si>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</si>
  <si>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</si>
  <si>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</si>
  <si>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</si>
  <si>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</si>
  <si>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</si>
  <si>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</si>
  <si>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</si>
  <si>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Potato Ham</t>
  </si>
  <si>
    <t>Gulamelaka (nước đường)</t>
  </si>
  <si>
    <t>Total</t>
  </si>
  <si>
    <t>NTP</t>
  </si>
  <si>
    <t>PXL</t>
  </si>
  <si>
    <t>PICO</t>
  </si>
  <si>
    <t>Q7</t>
  </si>
  <si>
    <t>VC</t>
  </si>
  <si>
    <t>VT</t>
  </si>
  <si>
    <t>TQD</t>
  </si>
  <si>
    <t>NO</t>
  </si>
  <si>
    <t>AOEN</t>
  </si>
  <si>
    <t>Q2</t>
  </si>
  <si>
    <t>Q.7</t>
  </si>
  <si>
    <t>VINCOM</t>
  </si>
  <si>
    <t>AEON</t>
  </si>
  <si>
    <t>MK</t>
  </si>
  <si>
    <t>VIVO</t>
  </si>
  <si>
    <t>AOEN MALL</t>
  </si>
  <si>
    <t>Q.2</t>
  </si>
  <si>
    <t>CRESENT</t>
  </si>
  <si>
    <t>CRESENT MALL</t>
  </si>
  <si>
    <t xml:space="preserve"> </t>
  </si>
  <si>
    <t>VTAU</t>
  </si>
  <si>
    <t>A. VÂN LÀM BÁNH MỚI</t>
  </si>
  <si>
    <t>AEON MALL</t>
  </si>
  <si>
    <t>AEONMALL</t>
  </si>
  <si>
    <t>VIVO BS</t>
  </si>
  <si>
    <t>NGOANH</t>
  </si>
  <si>
    <t>VŨNG TÀU</t>
  </si>
  <si>
    <t>BIÊN HÒA</t>
  </si>
  <si>
    <t>QT</t>
  </si>
  <si>
    <t>QUANG TRUNG</t>
  </si>
  <si>
    <t>QUẬN 2</t>
  </si>
  <si>
    <t>QUẬN 7</t>
  </si>
  <si>
    <t>-</t>
  </si>
  <si>
    <t>+</t>
  </si>
  <si>
    <t xml:space="preserve">TỒN ĐẦU </t>
  </si>
  <si>
    <t>Gà hấp</t>
  </si>
  <si>
    <t>Chinese Yam</t>
  </si>
  <si>
    <t>Khoai lang</t>
  </si>
  <si>
    <t>B.TÂN</t>
  </si>
  <si>
    <t>CH</t>
  </si>
  <si>
    <t>SGC</t>
  </si>
  <si>
    <t xml:space="preserve">Khoai môn cục hấp </t>
  </si>
  <si>
    <t>Nhân trứng muối</t>
  </si>
  <si>
    <t>BH</t>
  </si>
  <si>
    <t>TỔNG
XUẤT</t>
  </si>
  <si>
    <t>TỔNG</t>
  </si>
  <si>
    <t>NGÀY</t>
  </si>
  <si>
    <t>THÁNG 4</t>
  </si>
  <si>
    <t>NĐC</t>
  </si>
  <si>
    <t>HỦY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</si>
</sst>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15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b/>
      <sz val="11"/>
      <color indexed="40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49">
    <xf numFmtId="0" fontId="0" fillId="0" borderId="0" xfId="0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14" fontId="5" fillId="3" borderId="1" xfId="0" applyNumberFormat="1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4" xfId="0" applyFont="1" applyBorder="1" applyAlignment="1">
      <alignment horizontal="center"/>
    </xf>
    <xf numFmtId="43" fontId="0" fillId="0" borderId="1" xfId="1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43" fontId="2" fillId="0" borderId="1" xfId="0" applyNumberFormat="1" applyFont="1" applyBorder="1" applyAlignment="1"/>
    <xf numFmtId="43" fontId="7" fillId="0" borderId="1" xfId="0" applyNumberFormat="1" applyFont="1" applyBorder="1" applyAlignment="1"/>
    <xf numFmtId="43" fontId="8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43" fontId="8" fillId="6" borderId="1" xfId="0" applyNumberFormat="1" applyFont="1" applyFill="1" applyBorder="1" applyAlignment="1"/>
    <xf numFmtId="43" fontId="8" fillId="5" borderId="1" xfId="0" applyNumberFormat="1" applyFont="1" applyFill="1" applyBorder="1" applyAlignment="1"/>
    <xf numFmtId="164" fontId="7" fillId="0" borderId="1" xfId="0" applyNumberFormat="1" applyFont="1" applyBorder="1" applyAlignment="1"/>
    <xf numFmtId="1" fontId="2" fillId="0" borderId="1" xfId="0" applyNumberFormat="1" applyFont="1" applyBorder="1" applyAlignment="1"/>
    <xf numFmtId="165" fontId="2" fillId="0" borderId="1" xfId="0" applyNumberFormat="1" applyFont="1" applyBorder="1" applyAlignment="1"/>
    <xf numFmtId="43" fontId="12" fillId="0" borderId="1" xfId="0" applyNumberFormat="1" applyFont="1" applyBorder="1" applyAlignment="1"/>
    <xf numFmtId="41" fontId="2" fillId="0" borderId="1" xfId="0" applyNumberFormat="1" applyFont="1" applyBorder="1" applyAlignment="1"/>
    <xf numFmtId="0" fontId="7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6" fontId="7" fillId="4" borderId="1" xfId="0" applyNumberFormat="1" applyFont="1" applyFill="1" applyBorder="1" applyAlignment="1">
      <alignment vertical="center"/>
    </xf>
    <xf numFmtId="41" fontId="0" fillId="0" borderId="1" xfId="0" applyNumberFormat="1" applyBorder="1" applyAlignment="1"/>
    <xf numFmtId="41" fontId="12" fillId="0" borderId="1" xfId="0" applyNumberFormat="1" applyFont="1" applyBorder="1" applyAlignment="1"/>
    <xf numFmtId="164" fontId="0" fillId="0" borderId="1" xfId="0" applyNumberFormat="1" applyBorder="1" applyAlignment="1"/>
    <xf numFmtId="43" fontId="0" fillId="0" borderId="1" xfId="0" applyNumberFormat="1" applyBorder="1" applyAlignme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244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styles" Target="styles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9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3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7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DATE(2015,3,31)</f>
        <v>42094</v>
      </c>
      <c r="E4" s="36">
        <f>D4+1</f>
        <v>42095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v>42</v>
      </c>
      <c r="E7" s="10">
        <v>30</v>
      </c>
      <c r="F7" s="10">
        <v>8</v>
      </c>
      <c r="G7" s="10">
        <v>12</v>
      </c>
      <c r="H7" s="11">
        <v>10</v>
      </c>
      <c r="I7" s="10">
        <v>6</v>
      </c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v>0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v>16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9.5</v>
      </c>
      <c r="M9" s="10">
        <v>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v>2.7</v>
      </c>
      <c r="E10">
        <v>10.9</v>
      </c>
      <c r="F10" s="11">
        <v>1.8</v>
      </c>
      <c r="G10" s="10"/>
      <c r="H10" s="10">
        <v>0.6</v>
      </c>
      <c r="I10" s="11"/>
      <c r="J10" s="10"/>
      <c r="K10" s="10"/>
      <c r="L10" s="14">
        <f t="shared" si="1"/>
        <v>11.200000000000001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v>6.3999999999999986</v>
      </c>
      <c r="E11" s="10">
        <v>22.65</v>
      </c>
      <c r="F11" s="11"/>
      <c r="G11" s="10">
        <v>2.5</v>
      </c>
      <c r="H11" s="10">
        <v>2.9</v>
      </c>
      <c r="I11" s="11">
        <v>3.5</v>
      </c>
      <c r="J11" s="10"/>
      <c r="K11" s="10"/>
      <c r="L11" s="14">
        <f t="shared" si="1"/>
        <v>20.149999999999999</v>
      </c>
      <c r="M11" s="10">
        <v>20.149999999999999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v>11.5</v>
      </c>
      <c r="E12" s="10"/>
      <c r="F12" s="11"/>
      <c r="G12" s="10"/>
      <c r="H12" s="10">
        <v>3</v>
      </c>
      <c r="I12" s="11">
        <v>2</v>
      </c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v>14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12.5</v>
      </c>
      <c r="M14" s="10">
        <v>12.5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v>14.899999999999999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14.399999999999999</v>
      </c>
      <c r="M15" s="10">
        <v>14.4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v>16.3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15.8</v>
      </c>
      <c r="M16" s="10">
        <v>15.8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v>7.5</v>
      </c>
      <c r="E18" s="10"/>
      <c r="F18" s="11"/>
      <c r="G18" s="10">
        <v>0.9</v>
      </c>
      <c r="H18" s="10">
        <v>1.2</v>
      </c>
      <c r="I18" s="10">
        <v>0.9</v>
      </c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v>8.5</v>
      </c>
      <c r="E20" s="12"/>
      <c r="F20" s="12"/>
      <c r="G20" s="12">
        <v>1.5</v>
      </c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v>12.3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v>3.9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2.7</v>
      </c>
      <c r="M22" s="12">
        <v>2.7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160.50000000000003</v>
      </c>
      <c r="E27" s="13">
        <f t="shared" si="2"/>
        <v>63.55</v>
      </c>
      <c r="F27" s="13">
        <f t="shared" si="2"/>
        <v>9.8000000000000007</v>
      </c>
      <c r="G27" s="13">
        <f t="shared" si="2"/>
        <v>23.499999999999996</v>
      </c>
      <c r="H27" s="13">
        <f t="shared" si="2"/>
        <v>20.399999999999999</v>
      </c>
      <c r="I27" s="13">
        <f t="shared" si="2"/>
        <v>15.4</v>
      </c>
      <c r="J27" s="13">
        <f t="shared" si="2"/>
        <v>0</v>
      </c>
      <c r="K27" s="13">
        <f t="shared" si="2"/>
        <v>0</v>
      </c>
      <c r="L27" s="13">
        <f t="shared" si="2"/>
        <v>154.94999999999999</v>
      </c>
      <c r="M27" s="13">
        <f t="shared" si="2"/>
        <v>154.94999999999999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3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DATE(2015,4,9)</f>
        <v>42103</v>
      </c>
      <c r="E4" s="36">
        <f>D4+1</f>
        <v>42104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VLOOKUP($B7,'0904'!$B7:$N26,12,0)</f>
        <v>38</v>
      </c>
      <c r="E7" s="10"/>
      <c r="F7" s="10">
        <v>8</v>
      </c>
      <c r="G7" s="10">
        <v>28</v>
      </c>
      <c r="H7" s="11"/>
      <c r="I7" s="10"/>
      <c r="J7" s="10"/>
      <c r="K7" s="10"/>
      <c r="L7" s="14">
        <f>D7+E7-SUM(F7:K7)</f>
        <v>2</v>
      </c>
      <c r="M7" s="10">
        <v>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VLOOKUP($B8,'0904'!$B8:$N27,12,0)</f>
        <v>4.5</v>
      </c>
      <c r="E8" s="10">
        <v>10.3</v>
      </c>
      <c r="F8" s="11"/>
      <c r="G8" s="10">
        <v>3</v>
      </c>
      <c r="H8" s="10"/>
      <c r="I8" s="10"/>
      <c r="J8" s="10"/>
      <c r="K8" s="10"/>
      <c r="L8" s="14">
        <f t="shared" ref="L8:L22" si="1">D8+E8-SUM(F8:K8)</f>
        <v>11.8</v>
      </c>
      <c r="M8" s="10">
        <v>11.8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VLOOKUP($B9,'0904'!$B9:$N28,12,0)</f>
        <v>13.7</v>
      </c>
      <c r="E9" s="10"/>
      <c r="F9" s="11"/>
      <c r="G9" s="10">
        <v>5</v>
      </c>
      <c r="H9" s="10">
        <v>4</v>
      </c>
      <c r="I9" s="10"/>
      <c r="J9" s="10"/>
      <c r="K9" s="10"/>
      <c r="L9" s="14">
        <f t="shared" si="1"/>
        <v>4.6999999999999993</v>
      </c>
      <c r="M9" s="10">
        <v>4.7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VLOOKUP($B10,'0904'!$B10:$N29,12,0)</f>
        <v>6.8999999999999995</v>
      </c>
      <c r="F10" s="11"/>
      <c r="G10" s="10">
        <v>3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VLOOKUP($B11,'0904'!$B11:$N30,12,0)</f>
        <v>20.05</v>
      </c>
      <c r="E11" s="10">
        <v>23.6</v>
      </c>
      <c r="F11" s="11"/>
      <c r="G11" s="10">
        <v>7.2</v>
      </c>
      <c r="H11" s="10"/>
      <c r="I11" s="11"/>
      <c r="J11" s="10"/>
      <c r="K11" s="10"/>
      <c r="L11" s="14">
        <f t="shared" si="1"/>
        <v>36.450000000000003</v>
      </c>
      <c r="M11" s="10">
        <v>38.1</v>
      </c>
      <c r="N11" s="15">
        <f t="shared" si="0"/>
        <v>1.6499999999999986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VLOOKUP($B12,'0904'!$B12:$N31,12,0)</f>
        <v>6.5</v>
      </c>
      <c r="E12" s="10">
        <v>12.2</v>
      </c>
      <c r="F12" s="11"/>
      <c r="G12" s="10">
        <v>3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VLOOKUP($B14,'0904'!$B14:$N33,12,0)</f>
        <v>9.1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6.1</v>
      </c>
      <c r="M14" s="10">
        <v>6.1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VLOOKUP($B15,'0904'!$B15:$N34,12,0)</f>
        <v>16.2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VLOOKUP($B16,'0904'!$B16:$N35,12,0)</f>
        <v>13.8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10.8</v>
      </c>
      <c r="M16" s="10">
        <v>10.8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VLOOKUP($B18,'0904'!$B18:$N37,12,0)</f>
        <v>15.9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13.8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VLOOKUP($B20,'0904'!$B20:$N39,12,0)</f>
        <v>5</v>
      </c>
      <c r="E20" s="12">
        <v>11.7</v>
      </c>
      <c r="F20" s="12"/>
      <c r="G20" s="12">
        <v>3</v>
      </c>
      <c r="H20" s="11"/>
      <c r="I20" s="12"/>
      <c r="J20" s="12"/>
      <c r="K20" s="12"/>
      <c r="L20" s="14">
        <f t="shared" si="1"/>
        <v>13.7</v>
      </c>
      <c r="M20" s="12">
        <v>13.7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VLOOKUP($B21,'0904'!$B21:$N40,12,0)</f>
        <v>6.3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3.3</v>
      </c>
      <c r="M21" s="12">
        <v>3.3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VLOOKUP($B22,'0904'!$B22:$N41,12,0)</f>
        <v>0</v>
      </c>
      <c r="E22" s="10">
        <v>4.7</v>
      </c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160.45000000000002</v>
      </c>
      <c r="E27" s="13">
        <f t="shared" si="2"/>
        <v>62.500000000000014</v>
      </c>
      <c r="F27" s="13">
        <f t="shared" si="2"/>
        <v>8</v>
      </c>
      <c r="G27" s="13">
        <f t="shared" si="2"/>
        <v>66.300000000000011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144.64999999999998</v>
      </c>
      <c r="M27" s="13">
        <f t="shared" si="2"/>
        <v>146.29999999999998</v>
      </c>
      <c r="N27" s="13">
        <f t="shared" si="2"/>
        <v>1.6499999999999986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4" priority="1" stopIfTrue="1" operator="lessThan">
      <formula>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DATE(2015,7,8)</f>
        <v>42193</v>
      </c>
      <c r="E4" s="36">
        <f>D4+1</f>
        <v>42194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VLOOKUP($B7,'0807'!$B7:$N26,12,0)</f>
        <v>84</v>
      </c>
      <c r="E7" s="10">
        <v>30</v>
      </c>
      <c r="F7" s="10">
        <v>4</v>
      </c>
      <c r="G7" s="10">
        <v>24</v>
      </c>
      <c r="H7" s="11">
        <v>50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VLOOKUP($B8,'0807'!$B8:$N27,12,0)</f>
        <v>4.97</v>
      </c>
      <c r="E8" s="10"/>
      <c r="F8" s="11"/>
      <c r="G8" s="10">
        <v>1.07</v>
      </c>
      <c r="H8" s="10"/>
      <c r="I8" s="10"/>
      <c r="J8" s="10"/>
      <c r="K8" s="10"/>
      <c r="L8" s="14">
        <f t="shared" ref="L8:L22" si="1">D8+E8-SUM(F8:K8)</f>
        <v>3.8999999999999995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VLOOKUP($B9,'0807'!$B9:$N28,12,0)</f>
        <v>23.68</v>
      </c>
      <c r="E9" s="10">
        <v>16.3</v>
      </c>
      <c r="F9" s="11"/>
      <c r="G9" s="10">
        <v>6.7</v>
      </c>
      <c r="H9" s="10">
        <v>10</v>
      </c>
      <c r="I9" s="10"/>
      <c r="J9" s="10"/>
      <c r="K9" s="10"/>
      <c r="L9" s="14">
        <f t="shared" si="1"/>
        <v>23.280000000000005</v>
      </c>
      <c r="M9" s="10">
        <v>23.28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VLOOKUP($B11,'0807'!$B11:$N30,12,0)</f>
        <v>61.7</v>
      </c>
      <c r="E11" s="10"/>
      <c r="F11" s="11">
        <v>18</v>
      </c>
      <c r="G11" s="10">
        <v>4</v>
      </c>
      <c r="H11" s="10">
        <v>10</v>
      </c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VLOOKUP($B12,'0807'!$B12:$N31,12,0)</f>
        <v>10</v>
      </c>
      <c r="E12" s="10"/>
      <c r="F12" s="11">
        <v>1.5</v>
      </c>
      <c r="G12" s="10">
        <v>4</v>
      </c>
      <c r="H12" s="10"/>
      <c r="I12" s="11"/>
      <c r="J12" s="10"/>
      <c r="K12" s="10"/>
      <c r="L12" s="14">
        <f t="shared" si="1"/>
        <v>4.5</v>
      </c>
      <c r="M12" s="10">
        <v>4.5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VLOOKUP($B14,'0807'!$B14:$N33,12,0)</f>
        <v>4.63</v>
      </c>
      <c r="E14" s="10">
        <v>8.67</v>
      </c>
      <c r="F14" s="11"/>
      <c r="G14" s="10">
        <v>3</v>
      </c>
      <c r="H14" s="10"/>
      <c r="I14" s="11"/>
      <c r="J14" s="10"/>
      <c r="K14" s="10"/>
      <c r="L14" s="14">
        <f t="shared" si="1"/>
        <v>10.3</v>
      </c>
      <c r="M14" s="10">
        <v>10.3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VLOOKUP($B15,'0807'!$B15:$N34,12,0)</f>
        <v>2.77</v>
      </c>
      <c r="E15" s="10">
        <v>10.9</v>
      </c>
      <c r="F15" s="11"/>
      <c r="G15" s="10">
        <v>2</v>
      </c>
      <c r="H15" s="10"/>
      <c r="I15" s="10"/>
      <c r="J15" s="10"/>
      <c r="K15" s="10"/>
      <c r="L15" s="14">
        <f t="shared" si="1"/>
        <v>11.67</v>
      </c>
      <c r="M15" s="10">
        <v>11.67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VLOOKUP($B16,'0807'!$B16:$N35,12,0)</f>
        <v>9.49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5.49</v>
      </c>
      <c r="M16" s="10">
        <v>5.49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VLOOKUP($B18,'0807'!$B18:$N37,12,0)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VLOOKUP($B20,'0807'!$B20:$N39,12,0)</f>
        <v>13.75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8.75</v>
      </c>
      <c r="M20" s="12">
        <v>8.75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VLOOKUP($B21,'0807'!$B21:$N40,12,0)</f>
        <v>14.15</v>
      </c>
      <c r="E21" s="12"/>
      <c r="F21" s="12"/>
      <c r="G21" s="12">
        <v>2.1</v>
      </c>
      <c r="H21" s="11">
        <v>6</v>
      </c>
      <c r="I21" s="12"/>
      <c r="J21" s="12"/>
      <c r="K21" s="12"/>
      <c r="L21" s="14">
        <f t="shared" si="1"/>
        <v>6.0500000000000007</v>
      </c>
      <c r="M21" s="12">
        <v>6.05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VLOOKUP($B22,'0807'!$B22:$N41,12,0)</f>
        <v>4.2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65.87</v>
      </c>
      <c r="F27" s="13">
        <f t="shared" si="2"/>
        <v>23.5</v>
      </c>
      <c r="G27" s="13">
        <f>SUM(G7:G26)</f>
        <v>52.97</v>
      </c>
      <c r="H27" s="13">
        <f t="shared" si="2"/>
        <v>81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147.44</v>
      </c>
      <c r="M27" s="13">
        <f t="shared" si="2"/>
        <v>147.44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4" priority="1" stopIfTrue="1" operator="lessThan">
      <formula>0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DATE(2015,7,9)</f>
        <v>42194</v>
      </c>
      <c r="E4" s="36">
        <f>D4+1</f>
        <v>42195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VLOOKUP($B7,'0907'!$B7:$N26,12,0)</f>
        <v>36</v>
      </c>
      <c r="E7" s="10">
        <v>30</v>
      </c>
      <c r="F7" s="10">
        <v>6</v>
      </c>
      <c r="G7" s="10">
        <v>12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VLOOKUP($B9,'0907'!$B9:$N28,12,0)</f>
        <v>23.28</v>
      </c>
      <c r="E9" s="10">
        <v>16</v>
      </c>
      <c r="F9" s="11"/>
      <c r="G9" s="10">
        <v>8</v>
      </c>
      <c r="H9" s="10"/>
      <c r="I9" s="10"/>
      <c r="J9" s="10"/>
      <c r="K9" s="10"/>
      <c r="L9" s="14">
        <f t="shared" si="1"/>
        <v>31.28</v>
      </c>
      <c r="M9" s="10">
        <v>31.28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VLOOKUP($B11,'0907'!$B11:$N30,12,0)</f>
        <v>29.7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25.7</v>
      </c>
      <c r="M11" s="10">
        <v>25.7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VLOOKUP($B12,'0907'!$B12:$N31,12,0)</f>
        <v>4.5</v>
      </c>
      <c r="E12" s="10"/>
      <c r="F12" s="11">
        <v>2.5</v>
      </c>
      <c r="G12" s="10">
        <v>1</v>
      </c>
      <c r="H12" s="10"/>
      <c r="I12" s="11"/>
      <c r="J12" s="10"/>
      <c r="K12" s="10"/>
      <c r="L12" s="14">
        <f t="shared" si="1"/>
        <v>1</v>
      </c>
      <c r="M12" s="10">
        <v>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VLOOKUP($B14,'0907'!$B14:$N33,12,0)</f>
        <v>10.3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VLOOKUP($B15,'0907'!$B15:$N34,12,0)</f>
        <v>11.67</v>
      </c>
      <c r="E15" s="10"/>
      <c r="F15" s="11"/>
      <c r="G15" s="10">
        <v>1.7</v>
      </c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VLOOKUP($B16,'0907'!$B16:$N35,12,0)</f>
        <v>5.49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3.49</v>
      </c>
      <c r="M16" s="10">
        <v>3.49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VLOOKUP($B18,'0907'!$B18:$N37,12,0)</f>
        <v>5.7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VLOOKUP($B20,'0907'!$B20:$N39,12,0)</f>
        <v>8.75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VLOOKUP($B21,'0907'!$B21:$N40,12,0)</f>
        <v>6.05</v>
      </c>
      <c r="E21" s="12">
        <f>10.5+0.54</f>
        <v>11.04</v>
      </c>
      <c r="F21" s="12"/>
      <c r="G21" s="12">
        <v>3</v>
      </c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VLOOKUP($B22,'0907'!$B22:$N41,12,0)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57.04</v>
      </c>
      <c r="F27" s="13">
        <f t="shared" si="2"/>
        <v>8.5</v>
      </c>
      <c r="G27" s="13">
        <f>SUM(G7:G26)</f>
        <v>38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157.97999999999999</v>
      </c>
      <c r="M27" s="13">
        <f t="shared" si="2"/>
        <v>157.97999999999999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3" priority="1" stopIfTrue="1" operator="lessThan">
      <formula>0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DATE(2015,7,10)</f>
        <v>42195</v>
      </c>
      <c r="E4" s="36">
        <f>D4+1</f>
        <v>42196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VLOOKUP($B7,'1007'!$B7:$N26,12,0)</f>
        <v>48</v>
      </c>
      <c r="E7" s="10">
        <v>20</v>
      </c>
      <c r="F7" s="10">
        <v>10</v>
      </c>
      <c r="G7" s="10"/>
      <c r="H7" s="11">
        <v>4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VLOOKUP($B8,'1007'!$B8:$N27,12,0)</f>
        <v>2.7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1.5000000000000002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VLOOKUP($B9,'1007'!$B9:$N28,12,0)</f>
        <v>31.28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27.28</v>
      </c>
      <c r="M9" s="10">
        <f>26.5+0.78</f>
        <v>27.28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VLOOKUP($B11,'1007'!$B11:$N30,12,0)</f>
        <v>25.7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24.7</v>
      </c>
      <c r="M11" s="18">
        <f>20.5+1.34</f>
        <v>21.84</v>
      </c>
      <c r="N11" s="19">
        <f t="shared" si="0"/>
        <v>-2.8599999999999994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VLOOKUP($B12,'1007'!$B12:$N31,12,0)</f>
        <v>1</v>
      </c>
      <c r="E12" s="10">
        <v>13.7</v>
      </c>
      <c r="F12" s="11">
        <v>2</v>
      </c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VLOOKUP($B16,'1007'!$B16:$N35,12,0)</f>
        <v>3.49</v>
      </c>
      <c r="E16" s="10">
        <v>13.7</v>
      </c>
      <c r="F16" s="11"/>
      <c r="G16" s="10"/>
      <c r="H16" s="10"/>
      <c r="I16" s="10"/>
      <c r="J16" s="10"/>
      <c r="K16" s="10"/>
      <c r="L16" s="14">
        <f t="shared" si="1"/>
        <v>17.189999999999998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VLOOKUP($B22,'1007'!$B22:$N41,12,0)</f>
        <v>2.1</v>
      </c>
      <c r="E22" s="10">
        <v>23.4</v>
      </c>
      <c r="F22" s="10">
        <v>20</v>
      </c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70.800000000000011</v>
      </c>
      <c r="F27" s="13">
        <f t="shared" si="2"/>
        <v>32</v>
      </c>
      <c r="G27" s="13">
        <f>SUM(G7:G26)</f>
        <v>6.2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184.58</v>
      </c>
      <c r="M27" s="13">
        <f t="shared" si="2"/>
        <v>181.72</v>
      </c>
      <c r="N27" s="13">
        <f t="shared" si="2"/>
        <v>-2.8599999999999994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2" priority="1" stopIfTrue="1" operator="lessThan">
      <formula>0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DATE(2015,7,11)</f>
        <v>42196</v>
      </c>
      <c r="E4" s="36">
        <f>D4+1</f>
        <v>42197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VLOOKUP($B8,'1107'!$B8:$N27,12,0)</f>
        <v>1.5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VLOOKUP($B9,'1107'!$B9:$N28,12,0)</f>
        <v>27.28</v>
      </c>
      <c r="E9" s="10"/>
      <c r="F9" s="11">
        <v>0.5</v>
      </c>
      <c r="G9" s="10"/>
      <c r="H9" s="10"/>
      <c r="I9" s="10"/>
      <c r="J9" s="10"/>
      <c r="K9" s="10"/>
      <c r="L9" s="14">
        <f t="shared" si="1"/>
        <v>26.78</v>
      </c>
      <c r="M9" s="10">
        <v>26.78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VLOOKUP($B11,'1107'!$B11:$N30,12,0)</f>
        <v>21.84</v>
      </c>
      <c r="E11" s="10"/>
      <c r="F11" s="11"/>
      <c r="G11" s="10"/>
      <c r="H11" s="10"/>
      <c r="I11" s="11"/>
      <c r="J11" s="10"/>
      <c r="K11" s="10"/>
      <c r="L11" s="14">
        <f t="shared" si="1"/>
        <v>21.84</v>
      </c>
      <c r="M11" s="17">
        <f>20.5+1.34</f>
        <v>21.84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VLOOKUP($B12,'1107'!$B12:$N31,12,0)</f>
        <v>12.7</v>
      </c>
      <c r="E12" s="10"/>
      <c r="F12" s="11"/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VLOOKUP($B16,'1107'!$B16:$N35,12,0)</f>
        <v>17.190000000000001</v>
      </c>
      <c r="E16" s="10"/>
      <c r="F16" s="11"/>
      <c r="G16" s="10"/>
      <c r="H16" s="10"/>
      <c r="I16" s="10"/>
      <c r="J16" s="10"/>
      <c r="K16" s="10"/>
      <c r="L16" s="14">
        <f t="shared" si="1"/>
        <v>17.190000000000001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0.5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181.22</v>
      </c>
      <c r="M27" s="13">
        <f t="shared" si="2"/>
        <v>181.22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1" priority="1" stopIfTrue="1" operator="lessThan">
      <formula>0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DATE(2015,7,12)</f>
        <v>42197</v>
      </c>
      <c r="E4" s="36">
        <f>D4+1</f>
        <v>42198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VLOOKUP($B7,'1207'!$B7:$N26,12,0)</f>
        <v>52</v>
      </c>
      <c r="E7" s="10">
        <v>20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VLOOKUP($B8,'1207'!$B8:$N27,12,0)</f>
        <v>1.5</v>
      </c>
      <c r="E8" s="10">
        <v>7.8</v>
      </c>
      <c r="F8" s="11"/>
      <c r="G8" s="10"/>
      <c r="H8" s="10">
        <v>0.6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VLOOKUP($B9,'1207'!$B9:$N28,12,0)</f>
        <v>26.78</v>
      </c>
      <c r="E9" s="10"/>
      <c r="F9" s="11">
        <v>0.5</v>
      </c>
      <c r="G9" s="10"/>
      <c r="H9" s="10">
        <v>2.5</v>
      </c>
      <c r="I9" s="10">
        <v>6</v>
      </c>
      <c r="J9" s="10"/>
      <c r="K9" s="10"/>
      <c r="L9" s="14">
        <f t="shared" si="1"/>
        <v>17.78</v>
      </c>
      <c r="M9" s="10">
        <v>17.78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VLOOKUP($B11,'1207'!$B11:$N30,12,0)</f>
        <v>21.84</v>
      </c>
      <c r="E11" s="10">
        <v>24</v>
      </c>
      <c r="F11" s="11"/>
      <c r="G11" s="10">
        <v>5</v>
      </c>
      <c r="H11" s="10">
        <v>3.2</v>
      </c>
      <c r="I11" s="11">
        <v>6.14</v>
      </c>
      <c r="J11" s="10"/>
      <c r="K11" s="10"/>
      <c r="L11" s="14">
        <f t="shared" si="1"/>
        <v>31.500000000000004</v>
      </c>
      <c r="M11" s="17">
        <v>31.5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VLOOKUP($B12,'1207'!$B12:$N31,12,0)</f>
        <v>12.7</v>
      </c>
      <c r="E12" s="10"/>
      <c r="F12" s="11"/>
      <c r="G12" s="10">
        <v>7.2</v>
      </c>
      <c r="H12" s="10"/>
      <c r="I12" s="11"/>
      <c r="J12" s="10"/>
      <c r="K12" s="10"/>
      <c r="L12" s="14">
        <f t="shared" si="1"/>
        <v>5.4999999999999991</v>
      </c>
      <c r="M12" s="10">
        <v>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VLOOKUP($B14,'1207'!$B14:$N33,12,0)</f>
        <v>9.3000000000000007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VLOOKUP($B16,'1207'!$B16:$N35,12,0)</f>
        <v>17.190000000000001</v>
      </c>
      <c r="E16" s="10">
        <v>7</v>
      </c>
      <c r="F16" s="11"/>
      <c r="G16" s="10">
        <v>10</v>
      </c>
      <c r="H16" s="10">
        <v>2</v>
      </c>
      <c r="I16" s="10"/>
      <c r="J16" s="10"/>
      <c r="K16" s="10"/>
      <c r="L16" s="14">
        <f t="shared" si="1"/>
        <v>12.190000000000001</v>
      </c>
      <c r="M16" s="10">
        <v>12.19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VLOOKUP($B20,'1207'!$B20:$N39,12,0)</f>
        <v>6.75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VLOOKUP($B21,'1207'!$B21:$N40,12,0)</f>
        <v>14.09</v>
      </c>
      <c r="E21" s="12"/>
      <c r="F21" s="12">
        <v>2.1</v>
      </c>
      <c r="G21" s="12">
        <v>0.9</v>
      </c>
      <c r="H21" s="11">
        <v>1.5</v>
      </c>
      <c r="I21" s="12"/>
      <c r="J21" s="12"/>
      <c r="K21" s="12"/>
      <c r="L21" s="14">
        <f t="shared" si="1"/>
        <v>9.59</v>
      </c>
      <c r="M21" s="12">
        <v>9.59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58.8</v>
      </c>
      <c r="F27" s="13">
        <f t="shared" si="2"/>
        <v>6.6</v>
      </c>
      <c r="G27" s="13">
        <f>SUM(G7:G26)</f>
        <v>23.599999999999998</v>
      </c>
      <c r="H27" s="13">
        <f t="shared" si="2"/>
        <v>20.8</v>
      </c>
      <c r="I27" s="13">
        <f t="shared" si="2"/>
        <v>12.14</v>
      </c>
      <c r="J27" s="13">
        <f t="shared" si="2"/>
        <v>0</v>
      </c>
      <c r="K27" s="13">
        <f t="shared" si="2"/>
        <v>0</v>
      </c>
      <c r="L27" s="13">
        <f t="shared" si="2"/>
        <v>176.88</v>
      </c>
      <c r="M27" s="13">
        <f t="shared" si="2"/>
        <v>176.88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0" priority="1" stopIfTrue="1" operator="lessThan">
      <formula>0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DATE(2015,7,13)</f>
        <v>42198</v>
      </c>
      <c r="E4" s="36">
        <f>D4+1</f>
        <v>42199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VLOOKUP($B7,'1307'!$B7:$N26,12,0)</f>
        <v>58</v>
      </c>
      <c r="E7" s="10">
        <v>30</v>
      </c>
      <c r="F7" s="10">
        <v>4</v>
      </c>
      <c r="G7" s="10">
        <v>6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VLOOKUP($B9,'1307'!$B9:$N28,12,0)</f>
        <v>17.78</v>
      </c>
      <c r="E9" s="10">
        <v>18.97</v>
      </c>
      <c r="F9" s="11">
        <v>7.5</v>
      </c>
      <c r="G9" s="10">
        <v>3.25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VLOOKUP($B11,'1307'!$B11:$N30,12,0)</f>
        <v>31.5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27.5</v>
      </c>
      <c r="M11" s="17">
        <v>27.5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VLOOKUP($B12,'1307'!$B12:$N31,12,0)</f>
        <v>5.5</v>
      </c>
      <c r="E12" s="10">
        <v>12.7</v>
      </c>
      <c r="F12" s="11">
        <v>2</v>
      </c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VLOOKUP($B14,'1307'!$B14:$N33,12,0)</f>
        <v>8.8000000000000007</v>
      </c>
      <c r="E14" s="10"/>
      <c r="F14" s="11">
        <v>2.8</v>
      </c>
      <c r="G14" s="10">
        <v>1</v>
      </c>
      <c r="H14" s="10"/>
      <c r="I14" s="11"/>
      <c r="J14" s="10"/>
      <c r="K14" s="10"/>
      <c r="L14" s="14">
        <f t="shared" si="1"/>
        <v>5.0000000000000009</v>
      </c>
      <c r="M14" s="10">
        <v>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VLOOKUP($B15,'1307'!$B15:$N34,12,0)</f>
        <v>9.9700000000000006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7.4700000000000006</v>
      </c>
      <c r="M15" s="10">
        <v>7.47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VLOOKUP($B16,'1307'!$B16:$N35,12,0)</f>
        <v>12.19</v>
      </c>
      <c r="E16" s="10"/>
      <c r="F16" s="11"/>
      <c r="G16" s="10">
        <v>3.7</v>
      </c>
      <c r="H16" s="10"/>
      <c r="I16" s="10"/>
      <c r="J16" s="10"/>
      <c r="K16" s="10"/>
      <c r="L16" s="14">
        <f t="shared" si="1"/>
        <v>8.4899999999999984</v>
      </c>
      <c r="M16" s="10">
        <v>8.49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VLOOKUP($B18,'1307'!$B18:$N37,12,0)</f>
        <v>3.6</v>
      </c>
      <c r="E18" s="10">
        <v>10.1</v>
      </c>
      <c r="F18" s="11"/>
      <c r="G18" s="10">
        <v>1.2</v>
      </c>
      <c r="H18" s="10"/>
      <c r="I18" s="10"/>
      <c r="J18" s="10"/>
      <c r="K18" s="10"/>
      <c r="L18" s="14">
        <f t="shared" si="1"/>
        <v>12.5</v>
      </c>
      <c r="M18" s="10">
        <f>10.4+2.1</f>
        <v>12.5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VLOOKUP($B20,'1307'!$B20:$N39,12,0)</f>
        <v>5.75</v>
      </c>
      <c r="E20" s="12"/>
      <c r="F20" s="12"/>
      <c r="G20" s="12"/>
      <c r="H20" s="11"/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VLOOKUP($B21,'1307'!$B21:$N40,12,0)</f>
        <v>9.59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8.09</v>
      </c>
      <c r="M21" s="12">
        <v>8.09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71.77</v>
      </c>
      <c r="F27" s="13">
        <f t="shared" si="2"/>
        <v>18.8</v>
      </c>
      <c r="G27" s="13">
        <f>SUM(G7:G26)</f>
        <v>21.15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208.7</v>
      </c>
      <c r="M27" s="13">
        <f t="shared" si="2"/>
        <v>208.7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9" priority="1" stopIfTrue="1" operator="lessThan">
      <formula>0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DATE(2015,7,14)</f>
        <v>42199</v>
      </c>
      <c r="E4" s="36">
        <f>D4+1</f>
        <v>42200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VLOOKUP($B7,'1407'!$B7:$N26,12,0)</f>
        <v>78</v>
      </c>
      <c r="E7" s="10">
        <v>30</v>
      </c>
      <c r="F7" s="10">
        <v>4</v>
      </c>
      <c r="G7" s="10">
        <v>10</v>
      </c>
      <c r="H7" s="11">
        <v>8</v>
      </c>
      <c r="I7" s="10">
        <v>10</v>
      </c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VLOOKUP($B9,'1407'!$B9:$N28,12,0)</f>
        <v>26</v>
      </c>
      <c r="E9" s="10">
        <f>10+7.25</f>
        <v>17.25</v>
      </c>
      <c r="F9" s="11"/>
      <c r="G9" s="10">
        <v>2</v>
      </c>
      <c r="H9" s="10">
        <v>4</v>
      </c>
      <c r="I9" s="10">
        <v>6.5</v>
      </c>
      <c r="J9" s="10"/>
      <c r="K9" s="10"/>
      <c r="L9" s="14">
        <f t="shared" si="1"/>
        <v>30.75</v>
      </c>
      <c r="M9" s="10">
        <v>30.75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VLOOKUP($B11,'1407'!$B11:$N30,12,0)</f>
        <v>27.5</v>
      </c>
      <c r="E11" s="10">
        <v>23.6</v>
      </c>
      <c r="F11" s="11"/>
      <c r="G11" s="10">
        <v>2</v>
      </c>
      <c r="H11" s="10">
        <v>2</v>
      </c>
      <c r="I11" s="11">
        <v>1.5</v>
      </c>
      <c r="J11" s="10"/>
      <c r="K11" s="10"/>
      <c r="L11" s="14">
        <f t="shared" si="1"/>
        <v>45.6</v>
      </c>
      <c r="M11" s="17">
        <f>22+23.6</f>
        <v>45.6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VLOOKUP($B12,'1407'!$B12:$N31,12,0)</f>
        <v>15.7</v>
      </c>
      <c r="E12" s="10"/>
      <c r="F12" s="11"/>
      <c r="G12" s="10">
        <v>1</v>
      </c>
      <c r="H12" s="10">
        <v>2</v>
      </c>
      <c r="I12" s="11">
        <v>1</v>
      </c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VLOOKUP($B14,'1407'!$B14:$N33,12,0)</f>
        <v>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VLOOKUP($B15,'1407'!$B15:$N34,12,0)</f>
        <v>7.47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6.97</v>
      </c>
      <c r="M15" s="10">
        <v>7</v>
      </c>
      <c r="N15" s="15">
        <f t="shared" si="0"/>
        <v>3.0000000000000249E-2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VLOOKUP($B16,'1407'!$B16:$N35,12,0)</f>
        <v>8.49</v>
      </c>
      <c r="E16" s="10"/>
      <c r="F16" s="11"/>
      <c r="G16" s="10">
        <v>0.5</v>
      </c>
      <c r="H16" s="10">
        <v>1</v>
      </c>
      <c r="I16" s="10"/>
      <c r="J16" s="10"/>
      <c r="K16" s="10"/>
      <c r="L16" s="14">
        <f t="shared" si="1"/>
        <v>6.99</v>
      </c>
      <c r="M16" s="10">
        <v>7</v>
      </c>
      <c r="N16" s="15">
        <f t="shared" si="0"/>
        <v>9.9999999999997868E-3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VLOOKUP($B18,'1407'!$B18:$N37,12,0)</f>
        <v>12.5</v>
      </c>
      <c r="E18" s="10"/>
      <c r="F18" s="11"/>
      <c r="G18" s="10">
        <v>1.5</v>
      </c>
      <c r="H18" s="10"/>
      <c r="I18" s="10">
        <v>2.1</v>
      </c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VLOOKUP($B20,'1407'!$B20:$N39,12,0)</f>
        <v>5.75</v>
      </c>
      <c r="E20" s="12">
        <v>12</v>
      </c>
      <c r="F20" s="12"/>
      <c r="G20" s="12">
        <v>1</v>
      </c>
      <c r="H20" s="11">
        <v>2.25</v>
      </c>
      <c r="I20" s="12">
        <v>0.6</v>
      </c>
      <c r="J20" s="12"/>
      <c r="K20" s="12"/>
      <c r="L20" s="14">
        <f t="shared" si="1"/>
        <v>13.9</v>
      </c>
      <c r="M20" s="12">
        <f>2+12</f>
        <v>14</v>
      </c>
      <c r="N20" s="15">
        <f t="shared" si="0"/>
        <v>9.9999999999999645E-2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VLOOKUP($B21,'1407'!$B21:$N40,12,0)</f>
        <v>8.09</v>
      </c>
      <c r="E21" s="12"/>
      <c r="F21" s="12"/>
      <c r="G21" s="12"/>
      <c r="H21" s="11"/>
      <c r="I21" s="12"/>
      <c r="J21" s="12"/>
      <c r="K21" s="12"/>
      <c r="L21" s="14">
        <f t="shared" si="1"/>
        <v>8.09</v>
      </c>
      <c r="M21" s="12">
        <v>8.1</v>
      </c>
      <c r="N21" s="15">
        <f t="shared" si="0"/>
        <v>9.9999999999997868E-3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82.85</v>
      </c>
      <c r="F27" s="13">
        <f t="shared" si="2"/>
        <v>4</v>
      </c>
      <c r="G27" s="13">
        <f>SUM(G7:G26)</f>
        <v>19.5</v>
      </c>
      <c r="H27" s="13">
        <f t="shared" si="2"/>
        <v>19.25</v>
      </c>
      <c r="I27" s="13">
        <f t="shared" si="2"/>
        <v>21.700000000000003</v>
      </c>
      <c r="J27" s="13">
        <f t="shared" si="2"/>
        <v>0</v>
      </c>
      <c r="K27" s="13">
        <f t="shared" si="2"/>
        <v>0</v>
      </c>
      <c r="L27" s="13">
        <f t="shared" si="2"/>
        <v>227.10000000000002</v>
      </c>
      <c r="M27" s="13">
        <f t="shared" si="2"/>
        <v>227.25</v>
      </c>
      <c r="N27" s="13">
        <f t="shared" si="2"/>
        <v>0.14999999999999947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DATE(2015,7,15)</f>
        <v>42200</v>
      </c>
      <c r="E4" s="36">
        <f>D4+1</f>
        <v>42201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VLOOKUP($B7,'1507'!$B7:$N26,12,0)</f>
        <v>76</v>
      </c>
      <c r="E7" s="10">
        <v>30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52</v>
      </c>
      <c r="M7" s="10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VLOOKUP($B8,'1507'!$B8:$N27,12,0)</f>
        <v>8.6999999999999993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7.7999999999999989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VLOOKUP($B9,'1507'!$B9:$N28,12,0)</f>
        <v>30.75</v>
      </c>
      <c r="E9" s="10">
        <f>16.5+0.65</f>
        <v>17.149999999999999</v>
      </c>
      <c r="F9" s="11"/>
      <c r="G9" s="10">
        <v>14</v>
      </c>
      <c r="H9" s="10">
        <v>8.1</v>
      </c>
      <c r="I9" s="10"/>
      <c r="J9" s="10"/>
      <c r="K9" s="10"/>
      <c r="L9" s="14">
        <f t="shared" si="1"/>
        <v>25.799999999999997</v>
      </c>
      <c r="M9" s="16">
        <v>25.8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VLOOKUP($B11,'1507'!$B11:$N30,12,0)</f>
        <v>45.6</v>
      </c>
      <c r="E11" s="10"/>
      <c r="F11" s="11"/>
      <c r="G11" s="10">
        <v>19</v>
      </c>
      <c r="H11" s="10">
        <v>8</v>
      </c>
      <c r="I11" s="11"/>
      <c r="J11" s="10"/>
      <c r="K11" s="10"/>
      <c r="L11" s="14">
        <f t="shared" si="1"/>
        <v>18.600000000000001</v>
      </c>
      <c r="M11" s="17">
        <v>18.600000000000001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VLOOKUP($B12,'1507'!$B12:$N31,12,0)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VLOOKUP($B13,'1507'!$B13:$N32,12,0)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VLOOKUP($B14,'1507'!$B14:$N33,12,0)</f>
        <v>4</v>
      </c>
      <c r="E14" s="10">
        <v>7.5</v>
      </c>
      <c r="F14" s="11"/>
      <c r="G14" s="10"/>
      <c r="H14" s="10">
        <v>2</v>
      </c>
      <c r="I14" s="11"/>
      <c r="J14" s="10"/>
      <c r="K14" s="10"/>
      <c r="L14" s="14">
        <f t="shared" si="1"/>
        <v>9.5</v>
      </c>
      <c r="M14" s="10">
        <f>2+7.5</f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VLOOKUP($B15,'1507'!$B15:$N34,12,0)</f>
        <v>7</v>
      </c>
      <c r="E15" s="10">
        <v>7.65</v>
      </c>
      <c r="F15" s="11"/>
      <c r="G15" s="10"/>
      <c r="H15" s="10">
        <v>2</v>
      </c>
      <c r="I15" s="10"/>
      <c r="J15" s="10"/>
      <c r="K15" s="10"/>
      <c r="L15" s="14">
        <f t="shared" si="1"/>
        <v>12.65</v>
      </c>
      <c r="M15" s="10">
        <f>5.05+7.6</f>
        <v>12.649999999999999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VLOOKUP($B16,'1507'!$B16:$N35,12,0)</f>
        <v>7</v>
      </c>
      <c r="E16" s="10">
        <v>14.1</v>
      </c>
      <c r="F16" s="11"/>
      <c r="G16" s="10"/>
      <c r="H16" s="10">
        <v>3</v>
      </c>
      <c r="I16" s="10"/>
      <c r="J16" s="10"/>
      <c r="K16" s="10"/>
      <c r="L16" s="14">
        <f t="shared" si="1"/>
        <v>18.100000000000001</v>
      </c>
      <c r="M16" s="10">
        <f>4+14.1</f>
        <v>18.100000000000001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VLOOKUP($B18,'1507'!$B18:$N37,12,0)</f>
        <v>8.9</v>
      </c>
      <c r="E18" s="10"/>
      <c r="F18" s="11"/>
      <c r="G18" s="10"/>
      <c r="H18" s="10"/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VLOOKUP($B20,'1507'!$B20:$N39,12,0)</f>
        <v>14</v>
      </c>
      <c r="E20" s="12"/>
      <c r="F20" s="12"/>
      <c r="G20" s="12"/>
      <c r="H20" s="11"/>
      <c r="I20" s="12"/>
      <c r="J20" s="12"/>
      <c r="K20" s="12"/>
      <c r="L20" s="14">
        <f t="shared" si="1"/>
        <v>14</v>
      </c>
      <c r="M20" s="12">
        <v>14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VLOOKUP($B21,'1507'!$B21:$N40,12,0)</f>
        <v>8.1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VLOOKUP($B22,'1507'!$B22:$N41,12,0)</f>
        <v>5.5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78.199999999999989</v>
      </c>
      <c r="F27" s="13">
        <f t="shared" si="2"/>
        <v>7.8</v>
      </c>
      <c r="G27" s="13">
        <f>SUM(G7:G26)</f>
        <v>63.9</v>
      </c>
      <c r="H27" s="13">
        <f t="shared" si="2"/>
        <v>44.7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189.04999999999998</v>
      </c>
      <c r="M27" s="13">
        <f t="shared" si="2"/>
        <v>189.04999999999998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DATE(2015,7,16)</f>
        <v>42201</v>
      </c>
      <c r="E4" s="36">
        <f>D4+1</f>
        <v>42202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VLOOKUP($B7,'1607'!$B7:$N26,12,0)</f>
        <v>52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VLOOKUP($B8,'1607'!$B8:$N27,12,0)</f>
        <v>7.8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VLOOKUP($B9,'1607'!$B9:$N28,12,0)</f>
        <v>25.8</v>
      </c>
      <c r="E9" s="10">
        <v>17.3</v>
      </c>
      <c r="F9" s="11"/>
      <c r="G9" s="10">
        <v>11.9</v>
      </c>
      <c r="H9" s="10"/>
      <c r="I9" s="10"/>
      <c r="J9" s="10"/>
      <c r="K9" s="10"/>
      <c r="L9" s="14">
        <f t="shared" si="1"/>
        <v>31.200000000000003</v>
      </c>
      <c r="M9" s="16">
        <v>31.2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VLOOKUP($B11,'1607'!$B11:$N30,12,0)</f>
        <v>18.600000000000001</v>
      </c>
      <c r="E11" s="10">
        <v>24</v>
      </c>
      <c r="F11" s="11"/>
      <c r="G11" s="10">
        <v>6</v>
      </c>
      <c r="H11" s="10"/>
      <c r="I11" s="11"/>
      <c r="J11" s="10"/>
      <c r="K11" s="10"/>
      <c r="L11" s="14">
        <f t="shared" si="1"/>
        <v>36.6</v>
      </c>
      <c r="M11" s="17">
        <v>36.6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VLOOKUP($B12,'1607'!$B12:$N31,12,0)</f>
        <v>11.7</v>
      </c>
      <c r="E12" s="10"/>
      <c r="F12" s="11"/>
      <c r="G12" s="10">
        <v>3.2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VLOOKUP($B14,'1607'!$B14:$N33,12,0)</f>
        <v>9.5</v>
      </c>
      <c r="E14" s="10"/>
      <c r="F14" s="11"/>
      <c r="G14" s="10">
        <v>4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VLOOKUP($B15,'1607'!$B15:$N34,12,0)</f>
        <v>12.649999999999999</v>
      </c>
      <c r="E15" s="10">
        <v>7</v>
      </c>
      <c r="F15" s="11"/>
      <c r="G15" s="10">
        <v>4</v>
      </c>
      <c r="H15" s="10"/>
      <c r="I15" s="10"/>
      <c r="J15" s="10"/>
      <c r="K15" s="10"/>
      <c r="L15" s="14">
        <f t="shared" si="1"/>
        <v>15.649999999999999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VLOOKUP($B16,'1607'!$B16:$N35,12,0)</f>
        <v>18.100000000000001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14.600000000000001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VLOOKUP($B18,'1607'!$B18:$N37,12,0)</f>
        <v>8.9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VLOOKUP($B20,'1607'!$B20:$N39,12,0)</f>
        <v>14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VLOOKUP($B21,'1607'!$B21:$N40,12,0)</f>
        <v>6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4.8</v>
      </c>
      <c r="M21" s="12">
        <v>4.8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</v>
      </c>
      <c r="F27" s="13">
        <f t="shared" si="2"/>
        <v>4</v>
      </c>
      <c r="G27" s="13">
        <f>SUM(G7:G26)</f>
        <v>72.100000000000009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191.25</v>
      </c>
      <c r="M27" s="13">
        <f t="shared" si="2"/>
        <v>191.25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DATE(2015,7,17)</f>
        <v>42202</v>
      </c>
      <c r="E4" s="36">
        <f>D4+1</f>
        <v>42203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VLOOKUP($B7,'1707'!$B7:$N26,12,0)</f>
        <v>48</v>
      </c>
      <c r="E7" s="10">
        <v>20</v>
      </c>
      <c r="F7" s="10">
        <v>14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VLOOKUP($B9,'1707'!$B9:$N28,12,0)</f>
        <v>31.2</v>
      </c>
      <c r="E9" s="10">
        <v>17.55</v>
      </c>
      <c r="F9" s="11">
        <v>0.7</v>
      </c>
      <c r="G9" s="10">
        <v>4</v>
      </c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VLOOKUP($B11,'1707'!$B11:$N30,12,0)</f>
        <v>36.6</v>
      </c>
      <c r="E11" s="10"/>
      <c r="F11" s="11">
        <v>1</v>
      </c>
      <c r="G11" s="10">
        <v>4</v>
      </c>
      <c r="H11" s="10"/>
      <c r="I11" s="11"/>
      <c r="J11" s="10"/>
      <c r="K11" s="10"/>
      <c r="L11" s="14">
        <f t="shared" si="1"/>
        <v>31.6</v>
      </c>
      <c r="M11" s="17">
        <v>31.6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VLOOKUP($B12,'1707'!$B12:$N31,12,0)</f>
        <v>8.5</v>
      </c>
      <c r="E12" s="10"/>
      <c r="F12" s="11">
        <v>1.5</v>
      </c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VLOOKUP($B16,'1707'!$B16:$N35,12,0)</f>
        <v>14.6</v>
      </c>
      <c r="E16" s="10"/>
      <c r="F16" s="11"/>
      <c r="G16" s="10"/>
      <c r="H16" s="10"/>
      <c r="I16" s="10"/>
      <c r="J16" s="10"/>
      <c r="K16" s="10"/>
      <c r="L16" s="14">
        <f t="shared" si="1"/>
        <v>14.6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VLOOKUP($B20,'1707'!$B20:$N39,12,0)</f>
        <v>12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VLOOKUP($B21,'1707'!$B21:$N40,12,0)</f>
        <v>4.8</v>
      </c>
      <c r="E21" s="12">
        <v>10.99</v>
      </c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48.54</v>
      </c>
      <c r="F27" s="13">
        <f t="shared" si="2"/>
        <v>17.2</v>
      </c>
      <c r="G27" s="13">
        <f>SUM(G7:G26)</f>
        <v>10.199999999999999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210.39</v>
      </c>
      <c r="M27" s="13">
        <f t="shared" si="2"/>
        <v>210.39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DATE(2015,4,10)</f>
        <v>42104</v>
      </c>
      <c r="E4" s="36">
        <f>D4+1</f>
        <v>42105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32</v>
      </c>
      <c r="I6" s="5" t="s">
        <v>37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VLOOKUP($B7,'1004'!$B7:$N26,12,0)</f>
        <v>2</v>
      </c>
      <c r="E7" s="10">
        <v>70</v>
      </c>
      <c r="F7" s="10">
        <v>14</v>
      </c>
      <c r="G7" s="10">
        <v>2</v>
      </c>
      <c r="H7" s="11">
        <v>4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VLOOKUP($B8,'1004'!$B8:$N27,12,0)</f>
        <v>11.8</v>
      </c>
      <c r="E8" s="10"/>
      <c r="F8" s="11"/>
      <c r="G8" s="10"/>
      <c r="H8" s="10"/>
      <c r="I8" s="10">
        <v>1.8</v>
      </c>
      <c r="J8" s="10"/>
      <c r="K8" s="10"/>
      <c r="L8" s="14">
        <f t="shared" ref="L8:L22" si="1">D8+E8-SUM(F8:K8)</f>
        <v>10</v>
      </c>
      <c r="M8" s="10">
        <v>9.9</v>
      </c>
      <c r="N8" s="15">
        <f t="shared" si="0"/>
        <v>-9.9999999999999645E-2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VLOOKUP($B9,'1004'!$B9:$N28,12,0)</f>
        <v>4.7</v>
      </c>
      <c r="E9" s="10">
        <v>17.2</v>
      </c>
      <c r="F9" s="11"/>
      <c r="G9" s="10"/>
      <c r="H9" s="10"/>
      <c r="I9" s="10">
        <v>2.2000000000000002</v>
      </c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VLOOKUP($B10,'1004'!$B10:$N29,12,0)</f>
        <v>3.9</v>
      </c>
      <c r="F10" s="11"/>
      <c r="G10" s="10"/>
      <c r="H10" s="10"/>
      <c r="I10" s="11">
        <v>1.8</v>
      </c>
      <c r="J10" s="10"/>
      <c r="K10" s="10"/>
      <c r="L10" s="14">
        <f t="shared" si="1"/>
        <v>2.0999999999999996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VLOOKUP($B11,'1004'!$B11:$N30,12,0)</f>
        <v>38.1</v>
      </c>
      <c r="E11" s="10"/>
      <c r="F11" s="11"/>
      <c r="G11" s="10"/>
      <c r="H11" s="10"/>
      <c r="I11" s="11">
        <v>3</v>
      </c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VLOOKUP($B12,'1004'!$B12:$N31,12,0)</f>
        <v>15.7</v>
      </c>
      <c r="E12" s="10"/>
      <c r="F12" s="11">
        <v>2</v>
      </c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VLOOKUP($B14,'1004'!$B14:$N33,12,0)</f>
        <v>6.1</v>
      </c>
      <c r="E14" s="10"/>
      <c r="F14" s="11">
        <v>0.6</v>
      </c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VLOOKUP($B16,'1004'!$B16:$N35,12,0)</f>
        <v>10.8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VLOOKUP($B18,'1004'!$B18:$N37,12,0)</f>
        <v>13.8</v>
      </c>
      <c r="E18" s="10"/>
      <c r="F18" s="11"/>
      <c r="G18" s="10"/>
      <c r="H18" s="10"/>
      <c r="I18" s="10">
        <v>1.8</v>
      </c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VLOOKUP($B20,'1004'!$B20:$N39,12,0)</f>
        <v>13.7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VLOOKUP($B21,'1004'!$B21:$N40,12,0)</f>
        <v>3.3</v>
      </c>
      <c r="E21" s="12"/>
      <c r="F21" s="12">
        <v>0.9</v>
      </c>
      <c r="G21" s="12"/>
      <c r="H21" s="11"/>
      <c r="I21" s="12">
        <v>1.8</v>
      </c>
      <c r="J21" s="12"/>
      <c r="K21" s="12"/>
      <c r="L21" s="14">
        <f t="shared" si="1"/>
        <v>0.59999999999999964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146.29999999999998</v>
      </c>
      <c r="E27" s="13">
        <f t="shared" si="2"/>
        <v>87.2</v>
      </c>
      <c r="F27" s="13">
        <f t="shared" si="2"/>
        <v>20.5</v>
      </c>
      <c r="G27" s="13">
        <f t="shared" si="2"/>
        <v>2</v>
      </c>
      <c r="H27" s="13">
        <f t="shared" si="2"/>
        <v>4</v>
      </c>
      <c r="I27" s="13">
        <f t="shared" si="2"/>
        <v>12.400000000000002</v>
      </c>
      <c r="J27" s="13">
        <f t="shared" si="2"/>
        <v>0</v>
      </c>
      <c r="K27" s="13">
        <f t="shared" si="2"/>
        <v>0</v>
      </c>
      <c r="L27" s="13">
        <f t="shared" si="2"/>
        <v>194.59999999999997</v>
      </c>
      <c r="M27" s="13">
        <f t="shared" si="2"/>
        <v>194.49999999999994</v>
      </c>
      <c r="N27" s="13">
        <f t="shared" si="2"/>
        <v>-9.9999999999999645E-2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3" priority="1" stopIfTrue="1" operator="lessThan">
      <formula>0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DATE(2015,7,18)</f>
        <v>42203</v>
      </c>
      <c r="E4" s="36">
        <f>D4+1</f>
        <v>42204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39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VLOOKUP($B9,'1807'!$B9:$N28,12,0)</f>
        <v>44.05</v>
      </c>
      <c r="E9" s="10"/>
      <c r="F9" s="11"/>
      <c r="G9" s="10"/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VLOOKUP($B11,'1807'!$B11:$N30,12,0)</f>
        <v>31.6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55.7</v>
      </c>
      <c r="M11" s="17">
        <v>55.7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VLOOKUP($B12,'1807'!$B12:$N31,12,0)</f>
        <v>7</v>
      </c>
      <c r="E12" s="10"/>
      <c r="F12" s="11"/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VLOOKUP($B16,'1807'!$B16:$N35,12,0)</f>
        <v>14.6</v>
      </c>
      <c r="E16" s="10">
        <v>13</v>
      </c>
      <c r="F16" s="11">
        <v>1</v>
      </c>
      <c r="G16" s="10"/>
      <c r="H16" s="10"/>
      <c r="I16" s="10"/>
      <c r="J16" s="10"/>
      <c r="K16" s="10"/>
      <c r="L16" s="14">
        <f t="shared" si="1"/>
        <v>26.6</v>
      </c>
      <c r="M16" s="10">
        <v>26.6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VLOOKUP($B20,'1807'!$B20:$N39,12,0)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VLOOKUP($B21,'1807'!$B21:$N40,12,0)</f>
        <v>15.79</v>
      </c>
      <c r="E21" s="12"/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37.1</v>
      </c>
      <c r="F27" s="13">
        <f t="shared" si="2"/>
        <v>1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246.48999999999998</v>
      </c>
      <c r="M27" s="13">
        <f t="shared" si="2"/>
        <v>246.48999999999998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DATE(2015,7,19)</f>
        <v>42204</v>
      </c>
      <c r="E4" s="36">
        <f>D4+1</f>
        <v>42205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45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VLOOKUP($B7,'1907'!$B7:$N26,12,0)</f>
        <v>52</v>
      </c>
      <c r="E7" s="10">
        <v>50</v>
      </c>
      <c r="F7" s="10">
        <v>12</v>
      </c>
      <c r="G7" s="10">
        <v>10</v>
      </c>
      <c r="H7" s="11">
        <v>2</v>
      </c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VLOOKUP($B9,'1907'!$B9:$N28,12,0)</f>
        <v>44.05</v>
      </c>
      <c r="E9" s="10"/>
      <c r="F9" s="11">
        <v>6</v>
      </c>
      <c r="G9" s="10">
        <v>4</v>
      </c>
      <c r="H9" s="10"/>
      <c r="I9" s="10"/>
      <c r="J9" s="10"/>
      <c r="K9" s="10"/>
      <c r="L9" s="14">
        <f t="shared" si="1"/>
        <v>34.049999999999997</v>
      </c>
      <c r="M9" s="16">
        <v>34.049999999999997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VLOOKUP($B11,'1907'!$B11:$N30,12,0)</f>
        <v>55.7</v>
      </c>
      <c r="E11" s="10"/>
      <c r="F11" s="11">
        <v>6.1</v>
      </c>
      <c r="G11" s="10">
        <v>2</v>
      </c>
      <c r="H11" s="10"/>
      <c r="I11" s="11"/>
      <c r="J11" s="10"/>
      <c r="K11" s="10"/>
      <c r="L11" s="14">
        <f t="shared" si="1"/>
        <v>47.6</v>
      </c>
      <c r="M11" s="17">
        <f>29.1+18.5</f>
        <v>47.6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VLOOKUP($B12,'1907'!$B12:$N31,12,0)</f>
        <v>7</v>
      </c>
      <c r="E12" s="10">
        <v>12.4</v>
      </c>
      <c r="F12" s="11">
        <v>4</v>
      </c>
      <c r="G12" s="10"/>
      <c r="H12" s="10"/>
      <c r="I12" s="11"/>
      <c r="J12" s="10"/>
      <c r="K12" s="10"/>
      <c r="L12" s="14">
        <f t="shared" si="1"/>
        <v>15.399999999999999</v>
      </c>
      <c r="M12" s="10">
        <v>15.4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VLOOKUP($B14,'1907'!$B14:$N33,12,0)</f>
        <v>5.5</v>
      </c>
      <c r="E14" s="10"/>
      <c r="F14" s="11">
        <v>1</v>
      </c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VLOOKUP($B15,'1907'!$B15:$N34,12,0)</f>
        <v>15.65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14.65</v>
      </c>
      <c r="M15" s="10">
        <v>14.65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VLOOKUP($B16,'1907'!$B16:$N35,12,0)</f>
        <v>26.6</v>
      </c>
      <c r="E16" s="10">
        <v>13.5</v>
      </c>
      <c r="F16" s="11">
        <v>1</v>
      </c>
      <c r="G16" s="10">
        <v>2</v>
      </c>
      <c r="H16" s="10"/>
      <c r="I16" s="10">
        <v>10</v>
      </c>
      <c r="J16" s="10"/>
      <c r="K16" s="10"/>
      <c r="L16" s="14">
        <f t="shared" si="1"/>
        <v>27.1</v>
      </c>
      <c r="M16" s="10">
        <v>27.1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VLOOKUP($B20,'1907'!$B20:$N39,12,0)</f>
        <v>11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VLOOKUP($B21,'1907'!$B21:$N40,12,0)</f>
        <v>15.79</v>
      </c>
      <c r="E21" s="12"/>
      <c r="F21" s="12">
        <v>3</v>
      </c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75.900000000000006</v>
      </c>
      <c r="F27" s="13">
        <f t="shared" si="2"/>
        <v>34.1</v>
      </c>
      <c r="G27" s="13">
        <f>SUM(G7:G26)</f>
        <v>19</v>
      </c>
      <c r="H27" s="13">
        <f t="shared" si="2"/>
        <v>2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257.28999999999996</v>
      </c>
      <c r="M27" s="13">
        <f t="shared" si="2"/>
        <v>257.28999999999996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DATE(2015,7,20)</f>
        <v>42205</v>
      </c>
      <c r="E4" s="36">
        <f>D4+1</f>
        <v>42206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VLOOKUP($B7,'2007'!$B7:$N26,12,0)</f>
        <v>78</v>
      </c>
      <c r="E7" s="10">
        <v>30</v>
      </c>
      <c r="F7" s="10"/>
      <c r="G7" s="10">
        <v>24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VLOOKUP($B9,'2007'!$B9:$N28,12,0)</f>
        <v>34.049999999999997</v>
      </c>
      <c r="E9" s="10">
        <v>16.7</v>
      </c>
      <c r="F9" s="11"/>
      <c r="G9" s="10">
        <v>6</v>
      </c>
      <c r="H9" s="10"/>
      <c r="I9" s="10"/>
      <c r="J9" s="10"/>
      <c r="K9" s="10"/>
      <c r="L9" s="14">
        <f t="shared" si="1"/>
        <v>44.75</v>
      </c>
      <c r="M9" s="16">
        <v>44.75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VLOOKUP($B11,'2007'!$B11:$N30,12,0)</f>
        <v>47.6</v>
      </c>
      <c r="E11" s="10">
        <v>23.7</v>
      </c>
      <c r="F11" s="11">
        <v>15</v>
      </c>
      <c r="G11" s="10">
        <v>4</v>
      </c>
      <c r="H11" s="10"/>
      <c r="I11" s="11"/>
      <c r="J11" s="10"/>
      <c r="K11" s="10"/>
      <c r="L11" s="14">
        <f t="shared" si="1"/>
        <v>52.3</v>
      </c>
      <c r="M11" s="17">
        <v>52.3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VLOOKUP($B12,'2007'!$B12:$N31,12,0)</f>
        <v>15.4</v>
      </c>
      <c r="E12" s="10"/>
      <c r="F12" s="11"/>
      <c r="G12" s="10">
        <v>2</v>
      </c>
      <c r="H12" s="10"/>
      <c r="I12" s="11"/>
      <c r="J12" s="10"/>
      <c r="K12" s="10"/>
      <c r="L12" s="14">
        <f t="shared" si="1"/>
        <v>13.4</v>
      </c>
      <c r="M12" s="10">
        <v>13.4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VLOOKUP($B14,'2007'!$B14:$N33,12,0)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VLOOKUP($B15,'2007'!$B15:$N34,12,0)</f>
        <v>14.65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10.65</v>
      </c>
      <c r="M15" s="10">
        <v>10.65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VLOOKUP($B16,'2007'!$B16:$N35,12,0)</f>
        <v>27.1</v>
      </c>
      <c r="E16" s="10">
        <v>12.5</v>
      </c>
      <c r="F16" s="11"/>
      <c r="G16" s="10">
        <v>4</v>
      </c>
      <c r="H16" s="10"/>
      <c r="I16" s="10"/>
      <c r="J16" s="10"/>
      <c r="K16" s="10"/>
      <c r="L16" s="14">
        <f t="shared" si="1"/>
        <v>35.6</v>
      </c>
      <c r="M16" s="10">
        <v>35.6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VLOOKUP($B18,'2007'!$B18:$N37,12,0)</f>
        <v>6.5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4.0999999999999996</v>
      </c>
      <c r="M18" s="10">
        <v>4.0999999999999996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VLOOKUP($B20,'2007'!$B20:$N39,12,0)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VLOOKUP($B21,'2007'!$B21:$N40,12,0)</f>
        <v>12.79</v>
      </c>
      <c r="E21" s="12"/>
      <c r="F21" s="12"/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VLOOKUP($B22,'2007'!$B22:$N41,12,0)</f>
        <v>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</v>
      </c>
      <c r="M22" s="12">
        <v>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82.9</v>
      </c>
      <c r="F27" s="13">
        <f t="shared" si="2"/>
        <v>15</v>
      </c>
      <c r="G27" s="13">
        <f>SUM(G7:G26)</f>
        <v>51.4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273.79000000000002</v>
      </c>
      <c r="M27" s="13">
        <f t="shared" si="2"/>
        <v>273.79000000000002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DATE(2015,7,21)</f>
        <v>42206</v>
      </c>
      <c r="E4" s="36">
        <f>D4+1</f>
        <v>42207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VLOOKUP($B7,'2107'!$B7:$N26,12,0)</f>
        <v>84</v>
      </c>
      <c r="E7" s="10">
        <v>60</v>
      </c>
      <c r="F7" s="10">
        <v>6</v>
      </c>
      <c r="G7" s="10">
        <v>12</v>
      </c>
      <c r="H7" s="11">
        <v>16</v>
      </c>
      <c r="I7" s="10">
        <v>14</v>
      </c>
      <c r="J7" s="10"/>
      <c r="K7" s="10"/>
      <c r="L7" s="14">
        <f>D7+E7-SUM(F7:K7)</f>
        <v>96</v>
      </c>
      <c r="M7" s="10"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VLOOKUP($B8,'2107'!$B8:$N27,12,0)</f>
        <v>2.7</v>
      </c>
      <c r="E8" s="10"/>
      <c r="F8" s="11"/>
      <c r="G8" s="10"/>
      <c r="H8" s="10"/>
      <c r="I8" s="10">
        <v>2.1</v>
      </c>
      <c r="J8" s="10"/>
      <c r="K8" s="10"/>
      <c r="L8" s="14">
        <f t="shared" ref="L8:L22" si="1">D8+E8-SUM(F8:K8)</f>
        <v>0.60000000000000009</v>
      </c>
      <c r="M8" s="10">
        <v>0.6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VLOOKUP($B9,'2107'!$B9:$N28,12,0)</f>
        <v>44.75</v>
      </c>
      <c r="E9" s="10">
        <f>16.5+0.7</f>
        <v>17.2</v>
      </c>
      <c r="F9" s="11"/>
      <c r="G9" s="10">
        <v>5.5</v>
      </c>
      <c r="H9" s="10">
        <v>5</v>
      </c>
      <c r="I9" s="10">
        <v>4</v>
      </c>
      <c r="J9" s="10"/>
      <c r="K9" s="10"/>
      <c r="L9" s="14">
        <f t="shared" si="1"/>
        <v>47.45</v>
      </c>
      <c r="M9" s="16">
        <v>47.45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VLOOKUP($B11,'2107'!$B11:$N30,12,0)</f>
        <v>52.3</v>
      </c>
      <c r="E11" s="10"/>
      <c r="F11" s="11"/>
      <c r="G11" s="10">
        <v>2.5</v>
      </c>
      <c r="H11" s="10"/>
      <c r="I11" s="11">
        <v>4</v>
      </c>
      <c r="J11" s="10"/>
      <c r="K11" s="10"/>
      <c r="L11" s="14">
        <f t="shared" si="1"/>
        <v>45.8</v>
      </c>
      <c r="M11" s="17">
        <v>45.8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VLOOKUP($B12,'2107'!$B12:$N31,12,0)</f>
        <v>13.4</v>
      </c>
      <c r="E12" s="10">
        <v>13.9</v>
      </c>
      <c r="F12" s="11"/>
      <c r="G12" s="10"/>
      <c r="H12" s="10">
        <v>1.5</v>
      </c>
      <c r="I12" s="11">
        <v>2.4</v>
      </c>
      <c r="J12" s="10"/>
      <c r="K12" s="10"/>
      <c r="L12" s="14">
        <f t="shared" si="1"/>
        <v>23.400000000000002</v>
      </c>
      <c r="M12" s="10">
        <v>23.4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VLOOKUP($B14,'2107'!$B14:$N33,12,0)</f>
        <v>2.5</v>
      </c>
      <c r="E14" s="10">
        <v>3.69</v>
      </c>
      <c r="F14" s="11"/>
      <c r="G14" s="10"/>
      <c r="H14" s="10">
        <v>1.5</v>
      </c>
      <c r="I14" s="11"/>
      <c r="J14" s="10"/>
      <c r="K14" s="10"/>
      <c r="L14" s="14">
        <f t="shared" si="1"/>
        <v>4.6899999999999995</v>
      </c>
      <c r="M14" s="10">
        <v>4.6900000000000004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VLOOKUP($B15,'2107'!$B15:$N34,12,0)</f>
        <v>10.65</v>
      </c>
      <c r="E15" s="10"/>
      <c r="F15" s="11"/>
      <c r="G15" s="10"/>
      <c r="H15" s="10">
        <v>1.5</v>
      </c>
      <c r="I15" s="10"/>
      <c r="J15" s="10"/>
      <c r="K15" s="10"/>
      <c r="L15" s="14">
        <f t="shared" si="1"/>
        <v>9.15</v>
      </c>
      <c r="M15" s="10">
        <f>8.5+0.65</f>
        <v>9.15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VLOOKUP($B16,'2107'!$B16:$N35,12,0)</f>
        <v>35.6</v>
      </c>
      <c r="E16" s="10"/>
      <c r="F16" s="11"/>
      <c r="G16" s="10"/>
      <c r="H16" s="10">
        <v>18</v>
      </c>
      <c r="I16" s="10">
        <v>1.1000000000000001</v>
      </c>
      <c r="J16" s="10"/>
      <c r="K16" s="10"/>
      <c r="L16" s="14">
        <f t="shared" si="1"/>
        <v>16.5</v>
      </c>
      <c r="M16" s="10">
        <v>16.5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VLOOKUP($B18,'2107'!$B18:$N37,12,0)</f>
        <v>4.0999999999999996</v>
      </c>
      <c r="E18" s="10">
        <v>22.1</v>
      </c>
      <c r="F18" s="11"/>
      <c r="G18" s="10"/>
      <c r="H18" s="10">
        <v>0.5</v>
      </c>
      <c r="I18" s="10"/>
      <c r="J18" s="10"/>
      <c r="K18" s="10"/>
      <c r="L18" s="14">
        <f t="shared" si="1"/>
        <v>25.700000000000003</v>
      </c>
      <c r="M18" s="10">
        <v>25.7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VLOOKUP($B20,'2107'!$B20:$N39,12,0)</f>
        <v>10</v>
      </c>
      <c r="E20" s="12"/>
      <c r="F20" s="12"/>
      <c r="G20" s="12">
        <v>2</v>
      </c>
      <c r="H20" s="11">
        <v>1</v>
      </c>
      <c r="I20" s="12">
        <v>4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VLOOKUP($B21,'2107'!$B21:$N40,12,0)</f>
        <v>12.79</v>
      </c>
      <c r="E21" s="12"/>
      <c r="F21" s="12"/>
      <c r="G21" s="12"/>
      <c r="H21" s="11">
        <v>3</v>
      </c>
      <c r="I21" s="12"/>
      <c r="J21" s="12"/>
      <c r="K21" s="12"/>
      <c r="L21" s="14">
        <f t="shared" si="1"/>
        <v>9.7899999999999991</v>
      </c>
      <c r="M21" s="12">
        <f>8.8+0.99</f>
        <v>9.7900000000000009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VLOOKUP($B22,'2107'!$B22:$N41,12,0)</f>
        <v>1</v>
      </c>
      <c r="E22" s="10">
        <f>6.9+0.55</f>
        <v>7.45</v>
      </c>
      <c r="F22" s="10"/>
      <c r="G22" s="12"/>
      <c r="H22" s="11"/>
      <c r="I22" s="12"/>
      <c r="J22" s="12"/>
      <c r="K22" s="12"/>
      <c r="L22" s="14">
        <f t="shared" si="1"/>
        <v>8.4499999999999993</v>
      </c>
      <c r="M22" s="12">
        <v>8.4499999999999993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124.34000000000002</v>
      </c>
      <c r="F27" s="13">
        <f t="shared" si="2"/>
        <v>6</v>
      </c>
      <c r="G27" s="13">
        <f>SUM(G7:G26)</f>
        <v>22</v>
      </c>
      <c r="H27" s="13">
        <f t="shared" si="2"/>
        <v>48</v>
      </c>
      <c r="I27" s="13">
        <f t="shared" si="2"/>
        <v>31.6</v>
      </c>
      <c r="J27" s="13">
        <f t="shared" si="2"/>
        <v>0</v>
      </c>
      <c r="K27" s="13">
        <f t="shared" si="2"/>
        <v>0</v>
      </c>
      <c r="L27" s="13">
        <f t="shared" si="2"/>
        <v>290.53000000000003</v>
      </c>
      <c r="M27" s="13">
        <f t="shared" si="2"/>
        <v>290.53000000000003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DATE(2015,7,22)</f>
        <v>42207</v>
      </c>
      <c r="E4" s="36">
        <f>D4+1</f>
        <v>42208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VLOOKUP($B7,'2207'!$B7:$N26,12,0)</f>
        <v>96</v>
      </c>
      <c r="E7" s="10">
        <v>70</v>
      </c>
      <c r="F7" s="10">
        <v>4</v>
      </c>
      <c r="G7" s="10">
        <v>26</v>
      </c>
      <c r="H7" s="11">
        <v>60</v>
      </c>
      <c r="I7" s="10"/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VLOOKUP($B8,'2207'!$B8:$N27,12,0)</f>
        <v>0.6</v>
      </c>
      <c r="E8" s="10">
        <v>6.9</v>
      </c>
      <c r="F8" s="11"/>
      <c r="G8" s="10">
        <v>0.6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VLOOKUP($B9,'2207'!$B9:$N28,12,0)</f>
        <v>47.45</v>
      </c>
      <c r="E9" s="10">
        <v>17.5</v>
      </c>
      <c r="F9" s="11"/>
      <c r="G9" s="10">
        <v>16</v>
      </c>
      <c r="H9" s="10">
        <v>19.25</v>
      </c>
      <c r="I9" s="10"/>
      <c r="J9" s="10"/>
      <c r="K9" s="10"/>
      <c r="L9" s="14">
        <f t="shared" si="1"/>
        <v>29.700000000000003</v>
      </c>
      <c r="M9" s="16">
        <f>12.2+17.5</f>
        <v>29.7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VLOOKUP($B11,'2207'!$B11:$N30,12,0)</f>
        <v>45.8</v>
      </c>
      <c r="E11" s="10">
        <v>24.14</v>
      </c>
      <c r="F11" s="11"/>
      <c r="G11" s="10">
        <v>15.8</v>
      </c>
      <c r="H11" s="10">
        <v>25</v>
      </c>
      <c r="I11" s="11"/>
      <c r="J11" s="10"/>
      <c r="K11" s="10"/>
      <c r="L11" s="14">
        <f t="shared" si="1"/>
        <v>29.14</v>
      </c>
      <c r="M11" s="17">
        <f>5+24.14</f>
        <v>29.14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VLOOKUP($B12,'2207'!$B12:$N31,12,0)</f>
        <v>23.4</v>
      </c>
      <c r="E12" s="10"/>
      <c r="F12" s="11"/>
      <c r="G12" s="10">
        <v>12</v>
      </c>
      <c r="H12" s="10">
        <v>3</v>
      </c>
      <c r="I12" s="11"/>
      <c r="J12" s="10"/>
      <c r="K12" s="10"/>
      <c r="L12" s="14">
        <f t="shared" si="1"/>
        <v>8.3999999999999986</v>
      </c>
      <c r="M12" s="10">
        <v>8.4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VLOOKUP($B13,'2207'!$B13:$N32,12,0)</f>
        <v>0</v>
      </c>
      <c r="E13" s="10">
        <v>1.1850000000000001</v>
      </c>
      <c r="F13" s="11">
        <v>1.1850000000000001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VLOOKUP($B14,'2207'!$B14:$N33,12,0)</f>
        <v>4.6900000000000004</v>
      </c>
      <c r="E14" s="10">
        <v>4.5</v>
      </c>
      <c r="F14" s="11"/>
      <c r="G14" s="10">
        <v>4.6900000000000004</v>
      </c>
      <c r="H14" s="10"/>
      <c r="I14" s="11"/>
      <c r="J14" s="10"/>
      <c r="K14" s="10"/>
      <c r="L14" s="14">
        <f t="shared" si="1"/>
        <v>4.5000000000000009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VLOOKUP($B15,'2207'!$B15:$N34,12,0)</f>
        <v>9.15</v>
      </c>
      <c r="E15" s="10"/>
      <c r="F15" s="11"/>
      <c r="G15" s="10">
        <v>5</v>
      </c>
      <c r="H15" s="10"/>
      <c r="I15" s="10"/>
      <c r="J15" s="10"/>
      <c r="K15" s="10"/>
      <c r="L15" s="14">
        <f t="shared" si="1"/>
        <v>4.1500000000000004</v>
      </c>
      <c r="M15" s="10">
        <v>4.1500000000000004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VLOOKUP($B16,'2207'!$B16:$N35,12,0)</f>
        <v>16.5</v>
      </c>
      <c r="E16" s="10"/>
      <c r="F16" s="11"/>
      <c r="G16" s="10">
        <v>6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VLOOKUP($B18,'2207'!$B18:$N37,12,0)</f>
        <v>25.7</v>
      </c>
      <c r="E18" s="10"/>
      <c r="F18" s="11">
        <f>20+1.2</f>
        <v>21.2</v>
      </c>
      <c r="G18" s="10"/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VLOOKUP($B20,'2207'!$B20:$N39,12,0)</f>
        <v>3</v>
      </c>
      <c r="E20" s="12">
        <v>13</v>
      </c>
      <c r="F20" s="12"/>
      <c r="G20" s="12"/>
      <c r="H20" s="11">
        <v>3</v>
      </c>
      <c r="I20" s="12"/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VLOOKUP($B21,'2207'!$B21:$N40,12,0)</f>
        <v>9.7900000000000009</v>
      </c>
      <c r="E21" s="12"/>
      <c r="F21" s="12"/>
      <c r="G21" s="12">
        <v>4.5999999999999996</v>
      </c>
      <c r="H21" s="11">
        <v>2.19</v>
      </c>
      <c r="I21" s="12"/>
      <c r="J21" s="12"/>
      <c r="K21" s="12"/>
      <c r="L21" s="14">
        <f t="shared" si="1"/>
        <v>3.0000000000000018</v>
      </c>
      <c r="M21" s="12">
        <v>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VLOOKUP($B22,'2207'!$B22:$N41,12,0)</f>
        <v>8.4499999999999993</v>
      </c>
      <c r="E22" s="10"/>
      <c r="F22" s="10"/>
      <c r="G22" s="12">
        <v>7</v>
      </c>
      <c r="H22" s="11"/>
      <c r="I22" s="12"/>
      <c r="J22" s="12"/>
      <c r="K22" s="12"/>
      <c r="L22" s="14">
        <f t="shared" si="1"/>
        <v>1.4499999999999993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137.22500000000002</v>
      </c>
      <c r="F27" s="13">
        <f t="shared" si="2"/>
        <v>26.384999999999998</v>
      </c>
      <c r="G27" s="13">
        <f>SUM(G7:G26)</f>
        <v>97.69</v>
      </c>
      <c r="H27" s="13">
        <f t="shared" si="2"/>
        <v>112.44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191.24</v>
      </c>
      <c r="M27" s="13">
        <f t="shared" si="2"/>
        <v>191.24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DATE(2015,7,23)</f>
        <v>42208</v>
      </c>
      <c r="E4" s="36">
        <f>D4+1</f>
        <v>42209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 t="s">
        <v>33</v>
      </c>
      <c r="J6" s="5" t="s">
        <v>42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VLOOKUP($B7,'2307'!$B7:$N26,12,0)</f>
        <v>76</v>
      </c>
      <c r="E7" s="10">
        <v>60</v>
      </c>
      <c r="F7" s="10">
        <v>4</v>
      </c>
      <c r="G7" s="10">
        <v>70</v>
      </c>
      <c r="H7" s="11">
        <v>2</v>
      </c>
      <c r="I7" s="10"/>
      <c r="J7" s="10">
        <v>10</v>
      </c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VLOOKUP($B8,'2307'!$B8:$N27,12,0)</f>
        <v>6.9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3.0000000000000004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VLOOKUP($B9,'2307'!$B9:$N28,12,0)</f>
        <v>29.7</v>
      </c>
      <c r="E9" s="10"/>
      <c r="F9" s="11"/>
      <c r="G9" s="10">
        <v>14.7</v>
      </c>
      <c r="H9" s="10"/>
      <c r="I9" s="10"/>
      <c r="J9" s="10"/>
      <c r="K9" s="10"/>
      <c r="L9" s="14">
        <f t="shared" si="1"/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VLOOKUP($B11,'2307'!$B11:$N30,12,0)</f>
        <v>29.14</v>
      </c>
      <c r="E11" s="10"/>
      <c r="F11" s="11"/>
      <c r="G11" s="10">
        <v>15</v>
      </c>
      <c r="H11" s="10"/>
      <c r="I11" s="11">
        <v>5</v>
      </c>
      <c r="J11" s="10">
        <v>6</v>
      </c>
      <c r="K11" s="10"/>
      <c r="L11" s="14">
        <f t="shared" si="1"/>
        <v>3.1400000000000006</v>
      </c>
      <c r="M11" s="17">
        <v>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VLOOKUP($B12,'2307'!$B12:$N31,12,0)</f>
        <v>8.4</v>
      </c>
      <c r="E12" s="10">
        <v>12.7</v>
      </c>
      <c r="F12" s="11"/>
      <c r="G12" s="10">
        <v>2</v>
      </c>
      <c r="H12" s="10"/>
      <c r="I12" s="11"/>
      <c r="J12" s="10"/>
      <c r="K12" s="10"/>
      <c r="L12" s="14">
        <f t="shared" si="1"/>
        <v>19.100000000000001</v>
      </c>
      <c r="M12" s="10">
        <f>6.4+12.7</f>
        <v>19.100000000000001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VLOOKUP($B13,'2307'!$B13:$N32,12,0)</f>
        <v>0</v>
      </c>
      <c r="E13" s="10">
        <v>1.43</v>
      </c>
      <c r="F13" s="11">
        <v>1.43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VLOOKUP($B14,'2307'!$B14:$N33,12,0)</f>
        <v>4.5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VLOOKUP($B15,'2307'!$B15:$N34,12,0)</f>
        <v>4.1500000000000004</v>
      </c>
      <c r="E15" s="10"/>
      <c r="F15" s="11"/>
      <c r="G15" s="10">
        <v>2.15</v>
      </c>
      <c r="H15" s="10"/>
      <c r="I15" s="10"/>
      <c r="J15" s="10"/>
      <c r="K15" s="10"/>
      <c r="L15" s="14">
        <f t="shared" si="1"/>
        <v>2.0000000000000004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VLOOKUP($B16,'2307'!$B16:$N35,12,0)</f>
        <v>10.5</v>
      </c>
      <c r="E16" s="10"/>
      <c r="F16" s="11"/>
      <c r="G16" s="10">
        <v>4</v>
      </c>
      <c r="H16" s="10"/>
      <c r="I16" s="10">
        <v>6.5</v>
      </c>
      <c r="J16" s="10"/>
      <c r="K16" s="10"/>
      <c r="L16" s="14">
        <f t="shared" si="1"/>
        <v>0</v>
      </c>
      <c r="M16" s="10"/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VLOOKUP($B18,'2307'!$B18:$N37,12,0)</f>
        <v>4.5</v>
      </c>
      <c r="E18" s="10"/>
      <c r="F18" s="11"/>
      <c r="G18" s="10">
        <v>3</v>
      </c>
      <c r="H18" s="10"/>
      <c r="I18" s="10">
        <v>1.5</v>
      </c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VLOOKUP($B20,'2307'!$B20:$N39,12,0)</f>
        <v>13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VLOOKUP($B21,'2307'!$B21:$N40,12,0)</f>
        <v>3</v>
      </c>
      <c r="E21" s="12">
        <f>9+1.65</f>
        <v>10.65</v>
      </c>
      <c r="F21" s="12"/>
      <c r="G21" s="12">
        <v>3</v>
      </c>
      <c r="H21" s="11"/>
      <c r="I21" s="12"/>
      <c r="J21" s="12"/>
      <c r="K21" s="12"/>
      <c r="L21" s="14">
        <f t="shared" si="1"/>
        <v>10.65</v>
      </c>
      <c r="M21" s="12">
        <v>10.65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84.780000000000015</v>
      </c>
      <c r="F27" s="13">
        <f t="shared" si="2"/>
        <v>5.43</v>
      </c>
      <c r="G27" s="13">
        <f>SUM(G7:G26)</f>
        <v>123.25000000000001</v>
      </c>
      <c r="H27" s="13">
        <f t="shared" si="2"/>
        <v>2</v>
      </c>
      <c r="I27" s="13">
        <f t="shared" si="2"/>
        <v>13</v>
      </c>
      <c r="J27" s="13">
        <f t="shared" si="2"/>
        <v>16</v>
      </c>
      <c r="K27" s="13">
        <f t="shared" si="2"/>
        <v>0</v>
      </c>
      <c r="L27" s="13">
        <f t="shared" si="2"/>
        <v>116.34000000000002</v>
      </c>
      <c r="M27" s="13">
        <f t="shared" si="2"/>
        <v>116.34000000000002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DATE(2015,7,24)</f>
        <v>42209</v>
      </c>
      <c r="E4" s="36">
        <f>D4+1</f>
        <v>42210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VLOOKUP($B7,'2407'!$B7:$N26,12,0)</f>
        <v>50</v>
      </c>
      <c r="E7" s="10">
        <v>40</v>
      </c>
      <c r="F7" s="10">
        <v>14</v>
      </c>
      <c r="G7" s="10"/>
      <c r="H7" s="11">
        <v>30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VLOOKUP($B8,'2407'!$B8:$N27,12,0)</f>
        <v>3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VLOOKUP($B9,'2407'!$B9:$N28,12,0)</f>
        <v>15</v>
      </c>
      <c r="E9" s="10">
        <v>16.75</v>
      </c>
      <c r="F9" s="11">
        <v>3</v>
      </c>
      <c r="G9" s="10">
        <v>2</v>
      </c>
      <c r="H9" s="10"/>
      <c r="I9" s="10"/>
      <c r="J9" s="10"/>
      <c r="K9" s="10"/>
      <c r="L9" s="14">
        <f t="shared" si="1"/>
        <v>26.75</v>
      </c>
      <c r="M9" s="16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VLOOKUP($B11,'2407'!$B11:$N30,12,0)</f>
        <v>3.14</v>
      </c>
      <c r="E11" s="10">
        <v>24.25</v>
      </c>
      <c r="F11" s="11"/>
      <c r="G11" s="10">
        <v>3.14</v>
      </c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VLOOKUP($B12,'2407'!$B12:$N31,12,0)</f>
        <v>19.100000000000001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18.100000000000001</v>
      </c>
      <c r="M12" s="10">
        <f>17.7+0.4</f>
        <v>18.099999999999998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VLOOKUP($B14,'2407'!$B14:$N33,12,0)</f>
        <v>3</v>
      </c>
      <c r="E14" s="10"/>
      <c r="F14" s="11"/>
      <c r="G14" s="10"/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VLOOKUP($B15,'2407'!$B15:$N34,12,0)</f>
        <v>2</v>
      </c>
      <c r="E15" s="10"/>
      <c r="F15" s="11"/>
      <c r="G15" s="10"/>
      <c r="H15" s="10"/>
      <c r="I15" s="10"/>
      <c r="J15" s="10"/>
      <c r="K15" s="10"/>
      <c r="L15" s="14">
        <f t="shared" si="1"/>
        <v>2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VLOOKUP($B16,'2407'!$B16:$N35,12,0)</f>
        <v>0</v>
      </c>
      <c r="E16" s="10">
        <v>13.5</v>
      </c>
      <c r="F16" s="11"/>
      <c r="G16" s="10"/>
      <c r="H16" s="10">
        <v>1.5</v>
      </c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VLOOKUP($B18,'2407'!$B18:$N37,12,0)</f>
        <v>0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VLOOKUP($B21,'2407'!$B21:$N40,12,0)</f>
        <v>10.65</v>
      </c>
      <c r="E21" s="12"/>
      <c r="F21" s="12"/>
      <c r="G21" s="12"/>
      <c r="H21" s="11">
        <v>1.65</v>
      </c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105.1</v>
      </c>
      <c r="F27" s="13">
        <f t="shared" si="2"/>
        <v>17</v>
      </c>
      <c r="G27" s="13">
        <f>SUM(G7:G26)</f>
        <v>6.74</v>
      </c>
      <c r="H27" s="13">
        <f t="shared" si="2"/>
        <v>33.15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164.54999999999998</v>
      </c>
      <c r="M27" s="13">
        <f t="shared" si="2"/>
        <v>164.54999999999998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DATE(2015,7,25)</f>
        <v>42210</v>
      </c>
      <c r="E4" s="36">
        <f>D4+1</f>
        <v>42211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VLOOKUP($B7,'2507'!$B7:$N26,12,0)</f>
        <v>46</v>
      </c>
      <c r="E7" s="10"/>
      <c r="F7" s="10"/>
      <c r="G7" s="10"/>
      <c r="H7" s="11"/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VLOOKUP($B8,'2507'!$B8:$N27,12,0)</f>
        <v>2.4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VLOOKUP($B9,'2507'!$B9:$N28,12,0)</f>
        <v>26.75</v>
      </c>
      <c r="E9" s="10">
        <v>17</v>
      </c>
      <c r="F9" s="11"/>
      <c r="G9" s="10">
        <v>5</v>
      </c>
      <c r="H9" s="10"/>
      <c r="I9" s="10"/>
      <c r="J9" s="10"/>
      <c r="K9" s="10"/>
      <c r="L9" s="14">
        <f t="shared" si="1"/>
        <v>38.75</v>
      </c>
      <c r="M9" s="16">
        <f>21.75+17</f>
        <v>38.75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VLOOKUP($B11,'2507'!$B11:$N30,12,0)</f>
        <v>24.25</v>
      </c>
      <c r="E11" s="10"/>
      <c r="F11" s="11"/>
      <c r="G11" s="10"/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VLOOKUP($B12,'2507'!$B12:$N31,12,0)</f>
        <v>18.099999999999998</v>
      </c>
      <c r="E12" s="10"/>
      <c r="F12" s="11"/>
      <c r="G12" s="10">
        <v>4.9000000000000004</v>
      </c>
      <c r="H12" s="10"/>
      <c r="I12" s="11"/>
      <c r="J12" s="10"/>
      <c r="K12" s="10"/>
      <c r="L12" s="14">
        <f t="shared" si="1"/>
        <v>13.199999999999998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VLOOKUP($B14,'2507'!$B14:$N33,12,0)</f>
        <v>3</v>
      </c>
      <c r="E14" s="10">
        <v>4.5</v>
      </c>
      <c r="F14" s="11"/>
      <c r="G14" s="10"/>
      <c r="H14" s="10"/>
      <c r="I14" s="11"/>
      <c r="J14" s="10"/>
      <c r="K14" s="10"/>
      <c r="L14" s="14">
        <f t="shared" si="1"/>
        <v>7.5</v>
      </c>
      <c r="M14" s="10">
        <f>3+4.5</f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VLOOKUP($B15,'2507'!$B15:$N34,12,0)</f>
        <v>2</v>
      </c>
      <c r="E15" s="10">
        <v>9.8000000000000007</v>
      </c>
      <c r="F15" s="11"/>
      <c r="G15" s="10"/>
      <c r="H15" s="10"/>
      <c r="I15" s="10"/>
      <c r="J15" s="10"/>
      <c r="K15" s="10"/>
      <c r="L15" s="14">
        <f t="shared" si="1"/>
        <v>11.8</v>
      </c>
      <c r="M15" s="10">
        <f>2+9.8</f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VLOOKUP($B16,'2507'!$B16:$N35,12,0)</f>
        <v>12</v>
      </c>
      <c r="E16" s="10">
        <v>13.5</v>
      </c>
      <c r="F16" s="11"/>
      <c r="G16" s="10"/>
      <c r="H16" s="10"/>
      <c r="I16" s="10"/>
      <c r="J16" s="10"/>
      <c r="K16" s="10"/>
      <c r="L16" s="14">
        <f t="shared" si="1"/>
        <v>25.5</v>
      </c>
      <c r="M16" s="10">
        <f>12+13.5</f>
        <v>25.5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VLOOKUP($B18,'2507'!$B18:$N37,12,0)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VLOOKUP($B21,'2507'!$B21:$N40,12,0)</f>
        <v>9</v>
      </c>
      <c r="E21" s="12"/>
      <c r="F21" s="12"/>
      <c r="G21" s="12">
        <v>5.0999999999999996</v>
      </c>
      <c r="H21" s="11"/>
      <c r="I21" s="12"/>
      <c r="J21" s="12"/>
      <c r="K21" s="12"/>
      <c r="L21" s="14">
        <f t="shared" si="1"/>
        <v>3.9000000000000004</v>
      </c>
      <c r="M21" s="12">
        <v>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44.8</v>
      </c>
      <c r="F27" s="13">
        <f t="shared" si="2"/>
        <v>0</v>
      </c>
      <c r="G27" s="13">
        <f>SUM(G7:G26)</f>
        <v>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194.35000000000002</v>
      </c>
      <c r="M27" s="13">
        <f t="shared" si="2"/>
        <v>194.35000000000002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DATE(2015,7,26)</f>
        <v>42211</v>
      </c>
      <c r="E4" s="36">
        <f>D4+1</f>
        <v>42212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38</v>
      </c>
      <c r="I6" s="5" t="s">
        <v>45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VLOOKUP($B7,'2607'!$B7:$N26,12,0)</f>
        <v>46</v>
      </c>
      <c r="E7" s="10">
        <v>50</v>
      </c>
      <c r="F7" s="10"/>
      <c r="G7" s="10">
        <v>18</v>
      </c>
      <c r="H7" s="11">
        <v>2</v>
      </c>
      <c r="I7" s="10">
        <v>2</v>
      </c>
      <c r="J7" s="10"/>
      <c r="K7" s="10"/>
      <c r="L7" s="14">
        <f>D7+E7-SUM(F7:K7)</f>
        <v>74</v>
      </c>
      <c r="M7" s="10">
        <f>24+50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VLOOKUP($B8,'2607'!$B8:$N27,12,0)</f>
        <v>2.4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VLOOKUP($B9,'2607'!$B9:$N28,12,0)</f>
        <v>38.75</v>
      </c>
      <c r="E9" s="10"/>
      <c r="F9" s="11"/>
      <c r="G9" s="10">
        <v>5</v>
      </c>
      <c r="H9" s="10"/>
      <c r="I9" s="10"/>
      <c r="J9" s="10">
        <v>1</v>
      </c>
      <c r="K9" s="10"/>
      <c r="L9" s="14">
        <f t="shared" si="1"/>
        <v>32.75</v>
      </c>
      <c r="M9" s="16">
        <v>32.75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VLOOKUP($B11,'2607'!$B11:$N30,12,0)</f>
        <v>24.25</v>
      </c>
      <c r="E11" s="10">
        <v>24.05</v>
      </c>
      <c r="F11" s="11"/>
      <c r="G11" s="10">
        <v>7</v>
      </c>
      <c r="H11" s="10"/>
      <c r="I11" s="11"/>
      <c r="J11" s="10"/>
      <c r="K11" s="10"/>
      <c r="L11" s="14">
        <f t="shared" si="1"/>
        <v>41.3</v>
      </c>
      <c r="M11" s="17">
        <f>11.25+24.05+6</f>
        <v>41.3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VLOOKUP($B12,'2607'!$B12:$N31,12,0)</f>
        <v>13.2</v>
      </c>
      <c r="E12" s="10"/>
      <c r="F12" s="11"/>
      <c r="G12" s="10"/>
      <c r="H12" s="10"/>
      <c r="I12" s="11"/>
      <c r="J12" s="10"/>
      <c r="K12" s="10"/>
      <c r="L12" s="14">
        <f t="shared" si="1"/>
        <v>13.2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VLOOKUP($B14,'2607'!$B14:$N33,12,0)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VLOOKUP($B15,'2607'!$B15:$N34,12,0)</f>
        <v>11.8</v>
      </c>
      <c r="E15" s="10"/>
      <c r="F15" s="11"/>
      <c r="G15" s="10"/>
      <c r="H15" s="10"/>
      <c r="I15" s="10"/>
      <c r="J15" s="10"/>
      <c r="K15" s="10"/>
      <c r="L15" s="14">
        <f t="shared" si="1"/>
        <v>11.8</v>
      </c>
      <c r="M15" s="10"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VLOOKUP($B16,'2607'!$B16:$N35,12,0)</f>
        <v>25.5</v>
      </c>
      <c r="E16" s="10">
        <v>13</v>
      </c>
      <c r="F16" s="11"/>
      <c r="G16" s="10">
        <v>1.5</v>
      </c>
      <c r="H16" s="10"/>
      <c r="I16" s="10"/>
      <c r="J16" s="10"/>
      <c r="K16" s="10"/>
      <c r="L16" s="14">
        <f t="shared" si="1"/>
        <v>37</v>
      </c>
      <c r="M16" s="10">
        <f>24+13</f>
        <v>37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VLOOKUP($B18,'2607'!$B18:$N37,12,0)</f>
        <v>10.6</v>
      </c>
      <c r="E18" s="10"/>
      <c r="F18" s="11"/>
      <c r="G18" s="10"/>
      <c r="H18" s="10"/>
      <c r="I18" s="10"/>
      <c r="J18" s="10">
        <v>1.2</v>
      </c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VLOOKUP($B20,'2607'!$B20:$N39,12,0)</f>
        <v>9</v>
      </c>
      <c r="E20" s="12">
        <v>11.5</v>
      </c>
      <c r="F20" s="12"/>
      <c r="G20" s="12">
        <v>3</v>
      </c>
      <c r="H20" s="11"/>
      <c r="I20" s="12"/>
      <c r="J20" s="12">
        <v>1</v>
      </c>
      <c r="K20" s="12"/>
      <c r="L20" s="14">
        <f t="shared" si="1"/>
        <v>16.5</v>
      </c>
      <c r="M20" s="12">
        <f>5+11.5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VLOOKUP($B21,'2607'!$B21:$N40,12,0)</f>
        <v>3.9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0.89999999999999991</v>
      </c>
      <c r="M21" s="12">
        <v>0.9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98.55</v>
      </c>
      <c r="F27" s="13">
        <f t="shared" si="2"/>
        <v>0</v>
      </c>
      <c r="G27" s="13">
        <f>SUM(G7:G26)</f>
        <v>39.9</v>
      </c>
      <c r="H27" s="13">
        <f t="shared" si="2"/>
        <v>2</v>
      </c>
      <c r="I27" s="13">
        <f t="shared" si="2"/>
        <v>2</v>
      </c>
      <c r="J27" s="13">
        <f t="shared" si="2"/>
        <v>3.2</v>
      </c>
      <c r="K27" s="13">
        <f t="shared" si="2"/>
        <v>0</v>
      </c>
      <c r="L27" s="13">
        <f t="shared" si="2"/>
        <v>245.8</v>
      </c>
      <c r="M27" s="13">
        <f t="shared" si="2"/>
        <v>245.8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DATE(2015,7,27)</f>
        <v>42212</v>
      </c>
      <c r="E4" s="36">
        <f>D4+1</f>
        <v>42213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VLOOKUP($B7,'2707'!$B7:$N26,12,0)</f>
        <v>74</v>
      </c>
      <c r="E7" s="10">
        <v>40</v>
      </c>
      <c r="F7" s="10">
        <v>16</v>
      </c>
      <c r="G7" s="10">
        <v>4</v>
      </c>
      <c r="H7" s="11"/>
      <c r="I7" s="10"/>
      <c r="J7" s="10"/>
      <c r="K7" s="10"/>
      <c r="L7" s="14">
        <f>D7+E7-SUM(F7:K7)</f>
        <v>94</v>
      </c>
      <c r="M7" s="10">
        <v>94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VLOOKUP($B8,'2707'!$B8:$N27,12,0)</f>
        <v>0</v>
      </c>
      <c r="E8" s="10">
        <f>6+2.05</f>
        <v>8.0500000000000007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8.0500000000000007</v>
      </c>
      <c r="M8" s="10">
        <v>8.0500000000000007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VLOOKUP($B9,'2707'!$B9:$N28,12,0)</f>
        <v>32.75</v>
      </c>
      <c r="E9" s="22">
        <v>17</v>
      </c>
      <c r="F9" s="11">
        <v>6</v>
      </c>
      <c r="G9" s="10">
        <v>4</v>
      </c>
      <c r="H9" s="10"/>
      <c r="I9" s="10"/>
      <c r="J9" s="10"/>
      <c r="K9" s="10"/>
      <c r="L9" s="14">
        <f t="shared" si="1"/>
        <v>39.75</v>
      </c>
      <c r="M9" s="16">
        <f>22.75+17</f>
        <v>39.75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VLOOKUP($B11,'2707'!$B11:$N30,12,0)</f>
        <v>41.3</v>
      </c>
      <c r="E11" s="10"/>
      <c r="F11" s="11">
        <v>8</v>
      </c>
      <c r="G11" s="10">
        <v>5.25</v>
      </c>
      <c r="H11" s="10"/>
      <c r="I11" s="11"/>
      <c r="J11" s="10"/>
      <c r="K11" s="10"/>
      <c r="L11" s="14">
        <f t="shared" si="1"/>
        <v>28.049999999999997</v>
      </c>
      <c r="M11" s="17">
        <v>28.05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VLOOKUP($B12,'2707'!$B12:$N31,12,0)</f>
        <v>13.2</v>
      </c>
      <c r="E12" s="10"/>
      <c r="F12" s="11">
        <v>4</v>
      </c>
      <c r="G12" s="10">
        <v>1</v>
      </c>
      <c r="H12" s="10"/>
      <c r="I12" s="11"/>
      <c r="J12" s="10"/>
      <c r="K12" s="10"/>
      <c r="L12" s="14">
        <f t="shared" si="1"/>
        <v>8.1999999999999993</v>
      </c>
      <c r="M12" s="10">
        <v>8.5</v>
      </c>
      <c r="N12" s="15">
        <f t="shared" si="0"/>
        <v>0.30000000000000071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VLOOKUP($B13,'2707'!$B13:$N32,12,0)</f>
        <v>0</v>
      </c>
      <c r="E13" s="10">
        <v>0.6</v>
      </c>
      <c r="F13" s="11">
        <v>0.6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VLOOKUP($B14,'2707'!$B14:$N33,12,0)</f>
        <v>7.5</v>
      </c>
      <c r="E14" s="10"/>
      <c r="F14" s="11">
        <v>3</v>
      </c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VLOOKUP($B15,'2707'!$B15:$N34,12,0)</f>
        <v>11.8</v>
      </c>
      <c r="E15" s="10"/>
      <c r="F15" s="11">
        <v>2.8</v>
      </c>
      <c r="G15" s="10">
        <v>2.5</v>
      </c>
      <c r="H15" s="10"/>
      <c r="I15" s="10"/>
      <c r="J15" s="10"/>
      <c r="K15" s="10"/>
      <c r="L15" s="14">
        <f t="shared" si="1"/>
        <v>6.5000000000000009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VLOOKUP($B16,'2707'!$B16:$N35,12,0)</f>
        <v>37</v>
      </c>
      <c r="E16" s="10">
        <v>13.6</v>
      </c>
      <c r="F16" s="11">
        <v>2</v>
      </c>
      <c r="G16" s="10">
        <v>5</v>
      </c>
      <c r="H16" s="10"/>
      <c r="I16" s="10"/>
      <c r="J16" s="10"/>
      <c r="K16" s="10"/>
      <c r="L16" s="14">
        <f t="shared" si="1"/>
        <v>43.6</v>
      </c>
      <c r="M16" s="10">
        <f>30+13.6</f>
        <v>43.6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VLOOKUP($B18,'2707'!$B18:$N37,12,0)</f>
        <v>9.4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VLOOKUP($B20,'2707'!$B20:$N39,12,0)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VLOOKUP($B21,'2707'!$B21:$N40,12,0)</f>
        <v>0.9</v>
      </c>
      <c r="E21" s="12">
        <f>6+4.75</f>
        <v>10.75</v>
      </c>
      <c r="F21" s="12">
        <v>0.9</v>
      </c>
      <c r="G21" s="12"/>
      <c r="H21" s="11"/>
      <c r="I21" s="12"/>
      <c r="J21" s="12"/>
      <c r="K21" s="12"/>
      <c r="L21" s="14">
        <f t="shared" si="1"/>
        <v>10.75</v>
      </c>
      <c r="M21" s="12">
        <v>10.75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VLOOKUP($B22,'2707'!$B22:$N41,12,0)</f>
        <v>1.45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89.999999999999986</v>
      </c>
      <c r="F27" s="13">
        <f t="shared" si="2"/>
        <v>43.3</v>
      </c>
      <c r="G27" s="13">
        <f>SUM(G7:G26)</f>
        <v>25.8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266.70000000000005</v>
      </c>
      <c r="M27" s="13">
        <f t="shared" si="2"/>
        <v>267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DATE(2015,4,11)</f>
        <v>42105</v>
      </c>
      <c r="E4" s="36">
        <f>D4+1</f>
        <v>42106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VLOOKUP($B7,'1104'!$B7:$N26,12,0)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VLOOKUP($B8,'1104'!$B8:$N27,12,0)</f>
        <v>9.9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9.9</v>
      </c>
      <c r="M8" s="10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VLOOKUP($B9,'1104'!$B9:$N28,12,0)</f>
        <v>19.7</v>
      </c>
      <c r="E9" s="10"/>
      <c r="F9" s="11"/>
      <c r="G9" s="10"/>
      <c r="H9" s="10"/>
      <c r="I9" s="10"/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VLOOKUP($B10,'1104'!$B10:$N29,12,0)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VLOOKUP($B11,'1104'!$B11:$N30,12,0)</f>
        <v>35.1</v>
      </c>
      <c r="E11" s="10"/>
      <c r="F11" s="11"/>
      <c r="G11" s="10"/>
      <c r="H11" s="10"/>
      <c r="I11" s="11"/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VLOOKUP($B12,'1104'!$B12:$N31,12,0)</f>
        <v>13.7</v>
      </c>
      <c r="E12" s="10"/>
      <c r="F12" s="11"/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VLOOKUP($B16,'1104'!$B16:$N35,12,0)</f>
        <v>9.8000000000000007</v>
      </c>
      <c r="E16" s="10"/>
      <c r="F16" s="11"/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VLOOKUP($B20,'1104'!$B20:$N39,12,0)</f>
        <v>11.7</v>
      </c>
      <c r="E20" s="12"/>
      <c r="F20" s="12"/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VLOOKUP($B21,'1104'!$B21:$N40,12,0)</f>
        <v>0.6</v>
      </c>
      <c r="E21" s="12"/>
      <c r="F21" s="12"/>
      <c r="G21" s="12"/>
      <c r="H21" s="11"/>
      <c r="I21" s="12"/>
      <c r="J21" s="12"/>
      <c r="K21" s="12"/>
      <c r="L21" s="14">
        <f t="shared" si="1"/>
        <v>0.6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194.49999999999994</v>
      </c>
      <c r="M27" s="13">
        <f t="shared" si="2"/>
        <v>194.49999999999994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2" priority="1" stopIfTrue="1" operator="lessThan">
      <formula>0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DATE(2015,7,28)</f>
        <v>42213</v>
      </c>
      <c r="E4" s="36">
        <f>D4+1</f>
        <v>42214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43</v>
      </c>
      <c r="J6" s="5" t="s">
        <v>42</v>
      </c>
      <c r="K6" s="5" t="s">
        <v>46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VLOOKUP($B7,'2807'!$B7:$N26,12,0)</f>
        <v>94</v>
      </c>
      <c r="E7" s="10">
        <v>50</v>
      </c>
      <c r="F7" s="10">
        <v>12</v>
      </c>
      <c r="G7" s="10">
        <v>8</v>
      </c>
      <c r="H7" s="11">
        <v>4</v>
      </c>
      <c r="I7" s="10">
        <v>40</v>
      </c>
      <c r="J7" s="10">
        <v>20</v>
      </c>
      <c r="K7" s="10">
        <v>30</v>
      </c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VLOOKUP($B8,'2807'!$B8:$N27,12,0)</f>
        <v>8.0500000000000007</v>
      </c>
      <c r="E8" s="10"/>
      <c r="F8" s="11"/>
      <c r="G8" s="10"/>
      <c r="H8" s="10">
        <v>0.9</v>
      </c>
      <c r="I8" s="10">
        <v>3.85</v>
      </c>
      <c r="J8" s="10"/>
      <c r="K8" s="10"/>
      <c r="L8" s="14">
        <f t="shared" ref="L8:L22" si="1">D8+E8-SUM(F8:K8)</f>
        <v>3.3000000000000007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VLOOKUP($B9,'2807'!$B9:$N28,12,0)</f>
        <v>39.75</v>
      </c>
      <c r="E9" s="10"/>
      <c r="F9" s="11"/>
      <c r="G9" s="10">
        <v>8</v>
      </c>
      <c r="H9" s="10">
        <v>1</v>
      </c>
      <c r="I9" s="10">
        <v>16</v>
      </c>
      <c r="J9" s="10">
        <v>3</v>
      </c>
      <c r="K9" s="10">
        <v>11.75</v>
      </c>
      <c r="L9" s="14">
        <f t="shared" si="1"/>
        <v>0</v>
      </c>
      <c r="M9" s="16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VLOOKUP($B11,'2807'!$B11:$N30,12,0)</f>
        <v>28.05</v>
      </c>
      <c r="E11" s="10">
        <f>17.75+6</f>
        <v>23.75</v>
      </c>
      <c r="F11" s="11"/>
      <c r="G11" s="10">
        <v>10</v>
      </c>
      <c r="H11" s="10">
        <v>1</v>
      </c>
      <c r="I11" s="11">
        <v>10</v>
      </c>
      <c r="J11" s="10"/>
      <c r="K11" s="10">
        <v>8</v>
      </c>
      <c r="L11" s="21">
        <f t="shared" si="1"/>
        <v>22.799999999999997</v>
      </c>
      <c r="M11" s="17">
        <v>22.75</v>
      </c>
      <c r="N11" s="20">
        <f t="shared" si="0"/>
        <v>-4.9999999999997158E-2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VLOOKUP($B12,'2807'!$B12:$N31,12,0)</f>
        <v>8.5</v>
      </c>
      <c r="E12" s="10">
        <v>13.3</v>
      </c>
      <c r="F12" s="11"/>
      <c r="G12" s="10"/>
      <c r="H12" s="10"/>
      <c r="I12" s="11">
        <v>2</v>
      </c>
      <c r="J12" s="10">
        <v>5</v>
      </c>
      <c r="K12" s="10">
        <v>3</v>
      </c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VLOOKUP($B14,'2807'!$B14:$N33,12,0)</f>
        <v>2.5</v>
      </c>
      <c r="E14" s="10">
        <v>10.8</v>
      </c>
      <c r="F14" s="11"/>
      <c r="G14" s="10"/>
      <c r="H14" s="10"/>
      <c r="I14" s="11"/>
      <c r="J14" s="10">
        <v>4.5</v>
      </c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VLOOKUP($B15,'2807'!$B15:$N34,12,0)</f>
        <v>6.5</v>
      </c>
      <c r="E15" s="10"/>
      <c r="F15" s="11"/>
      <c r="G15" s="10">
        <v>0.5</v>
      </c>
      <c r="H15" s="10"/>
      <c r="I15" s="10">
        <v>3</v>
      </c>
      <c r="J15" s="10">
        <v>3</v>
      </c>
      <c r="K15" s="10"/>
      <c r="L15" s="14">
        <f t="shared" si="1"/>
        <v>0</v>
      </c>
      <c r="M15" s="10"/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VLOOKUP($B16,'2807'!$B16:$N35,12,0)</f>
        <v>43.6</v>
      </c>
      <c r="E16" s="10"/>
      <c r="F16" s="11"/>
      <c r="G16" s="10">
        <v>28</v>
      </c>
      <c r="H16" s="10"/>
      <c r="I16" s="10">
        <v>4</v>
      </c>
      <c r="J16" s="10">
        <v>3</v>
      </c>
      <c r="K16" s="10"/>
      <c r="L16" s="14">
        <f t="shared" si="1"/>
        <v>8.6000000000000014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VLOOKUP($B18,'2807'!$B18:$N37,12,0)</f>
        <v>8.8000000000000007</v>
      </c>
      <c r="E18" s="10"/>
      <c r="F18" s="11"/>
      <c r="G18" s="10"/>
      <c r="H18" s="10"/>
      <c r="I18" s="10">
        <v>3</v>
      </c>
      <c r="J18" s="10"/>
      <c r="K18" s="10"/>
      <c r="L18" s="14">
        <f t="shared" si="1"/>
        <v>5.8000000000000007</v>
      </c>
      <c r="M18" s="10">
        <v>5.8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VLOOKUP($B20,'2807'!$B20:$N39,12,0)</f>
        <v>16.5</v>
      </c>
      <c r="E20" s="12"/>
      <c r="F20" s="12"/>
      <c r="G20" s="12">
        <v>4</v>
      </c>
      <c r="H20" s="11"/>
      <c r="I20" s="12">
        <v>4</v>
      </c>
      <c r="J20" s="12"/>
      <c r="K20" s="12">
        <v>2</v>
      </c>
      <c r="L20" s="14">
        <f t="shared" si="1"/>
        <v>6.5</v>
      </c>
      <c r="M20" s="12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VLOOKUP($B21,'2807'!$B21:$N40,12,0)</f>
        <v>10.75</v>
      </c>
      <c r="E21" s="12"/>
      <c r="F21" s="12"/>
      <c r="G21" s="12">
        <v>1.5</v>
      </c>
      <c r="H21" s="11"/>
      <c r="I21" s="12">
        <v>2.4</v>
      </c>
      <c r="J21" s="12">
        <v>4.75</v>
      </c>
      <c r="K21" s="12">
        <v>2.1</v>
      </c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VLOOKUP($B22,'2807'!$B22:$N41,12,0)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97.85</v>
      </c>
      <c r="F27" s="13">
        <f t="shared" si="2"/>
        <v>12</v>
      </c>
      <c r="G27" s="13">
        <f>SUM(G7:G26)</f>
        <v>60</v>
      </c>
      <c r="H27" s="13">
        <f t="shared" si="2"/>
        <v>6.9</v>
      </c>
      <c r="I27" s="13">
        <f t="shared" si="2"/>
        <v>88.25</v>
      </c>
      <c r="J27" s="13">
        <f t="shared" si="2"/>
        <v>43.25</v>
      </c>
      <c r="K27" s="13">
        <f t="shared" si="2"/>
        <v>56.85</v>
      </c>
      <c r="L27" s="13">
        <f t="shared" si="2"/>
        <v>97.59999999999998</v>
      </c>
      <c r="M27" s="13">
        <f t="shared" si="2"/>
        <v>97.549999999999983</v>
      </c>
      <c r="N27" s="13">
        <f t="shared" si="2"/>
        <v>-4.9999999999997158E-2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DATE(2015,7,29)</f>
        <v>42214</v>
      </c>
      <c r="E4" s="36">
        <f>D4+1</f>
        <v>42215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VLOOKUP($B7,'2907'!$B7:$N26,12,0)</f>
        <v>30</v>
      </c>
      <c r="E7" s="10">
        <v>30</v>
      </c>
      <c r="F7" s="10">
        <v>8</v>
      </c>
      <c r="G7" s="10">
        <v>12</v>
      </c>
      <c r="H7" s="11">
        <v>2</v>
      </c>
      <c r="I7" s="10">
        <v>8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VLOOKUP($B9,'2907'!$B9:$N28,12,0)</f>
        <v>0</v>
      </c>
      <c r="E9" s="10">
        <v>16.899999999999999</v>
      </c>
      <c r="F9" s="11"/>
      <c r="G9" s="10">
        <v>4</v>
      </c>
      <c r="H9" s="10"/>
      <c r="I9" s="10"/>
      <c r="J9" s="10"/>
      <c r="K9" s="10"/>
      <c r="L9" s="14">
        <f t="shared" si="1"/>
        <v>12.899999999999999</v>
      </c>
      <c r="M9" s="16"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VLOOKUP($B11,'2907'!$B11:$N30,12,0)</f>
        <v>22.75</v>
      </c>
      <c r="E11" s="10"/>
      <c r="F11" s="11"/>
      <c r="G11" s="10">
        <v>10</v>
      </c>
      <c r="H11" s="10"/>
      <c r="I11" s="11"/>
      <c r="J11" s="10"/>
      <c r="K11" s="10"/>
      <c r="L11" s="21">
        <f t="shared" si="1"/>
        <v>12.75</v>
      </c>
      <c r="M11" s="17">
        <v>12.75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VLOOKUP($B12,'2907'!$B12:$N31,12,0)</f>
        <v>11.8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VLOOKUP($B15,'2907'!$B15:$N34,12,0)</f>
        <v>0</v>
      </c>
      <c r="E15" s="10">
        <f>9.5+0.75</f>
        <v>10.25</v>
      </c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VLOOKUP($B18,'2907'!$B18:$N37,12,0)</f>
        <v>5.8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VLOOKUP($B20,'2907'!$B20:$N39,12,0)</f>
        <v>6.5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VLOOKUP($B22,'2907'!$B22:$N41,12,0)</f>
        <v>0</v>
      </c>
      <c r="E22" s="10">
        <v>5.6</v>
      </c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62.75</v>
      </c>
      <c r="F27" s="13">
        <f t="shared" si="2"/>
        <v>8</v>
      </c>
      <c r="G27" s="13">
        <f>SUM(G7:G26)</f>
        <v>30.7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111.59999999999998</v>
      </c>
      <c r="M27" s="13">
        <f t="shared" si="2"/>
        <v>111.59999999999998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DATE(2015,7,30)</f>
        <v>42215</v>
      </c>
      <c r="E4" s="36">
        <f>D4+1</f>
        <v>42216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VLOOKUP($B7,'3007'!$B7:$N26,12,0)</f>
        <v>30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VLOOKUP($B9,'3007'!$B9:$N28,12,0)</f>
        <v>12.9</v>
      </c>
      <c r="E9" s="10">
        <v>17.3</v>
      </c>
      <c r="F9" s="11">
        <v>0.5</v>
      </c>
      <c r="G9" s="10"/>
      <c r="H9" s="10"/>
      <c r="I9" s="10"/>
      <c r="J9" s="10"/>
      <c r="K9" s="10"/>
      <c r="L9" s="14">
        <f t="shared" si="1"/>
        <v>29.700000000000003</v>
      </c>
      <c r="M9" s="16">
        <f>12.4+17.3</f>
        <v>29.700000000000003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VLOOKUP($B11,'3007'!$B11:$N30,12,0)</f>
        <v>12.75</v>
      </c>
      <c r="E11" s="10">
        <v>24.5</v>
      </c>
      <c r="F11" s="11">
        <v>4.5</v>
      </c>
      <c r="G11" s="10"/>
      <c r="H11" s="10">
        <v>1</v>
      </c>
      <c r="I11" s="11"/>
      <c r="J11" s="10"/>
      <c r="K11" s="10"/>
      <c r="L11" s="21">
        <f t="shared" si="1"/>
        <v>31.75</v>
      </c>
      <c r="M11" s="17">
        <f>11.75+20</f>
        <v>31.75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VLOOKUP($B12,'3007'!$B12:$N31,12,0)</f>
        <v>11.3</v>
      </c>
      <c r="E12" s="10"/>
      <c r="F12" s="11"/>
      <c r="G12" s="10"/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VLOOKUP($B20,'3007'!$B20:$N39,12,0)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VLOOKUP($B21,'3007'!$B21:$N40,12,0)</f>
        <v>0</v>
      </c>
      <c r="E21" s="12">
        <v>10.5</v>
      </c>
      <c r="F21" s="12"/>
      <c r="G21" s="12"/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82.3</v>
      </c>
      <c r="F27" s="13">
        <f t="shared" si="2"/>
        <v>9</v>
      </c>
      <c r="G27" s="13">
        <f>SUM(G7:G26)</f>
        <v>14</v>
      </c>
      <c r="H27" s="13">
        <f t="shared" si="2"/>
        <v>1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168.7</v>
      </c>
      <c r="M27" s="13">
        <f t="shared" si="2"/>
        <v>168.7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DATE(2015,7,31)</f>
        <v>42216</v>
      </c>
      <c r="E4" s="36">
        <f>D4+1</f>
        <v>42217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VLOOKUP($B7,'3107'!$B7:$N26,12,0)</f>
        <v>42</v>
      </c>
      <c r="E7" s="10">
        <v>30</v>
      </c>
      <c r="F7" s="10">
        <v>10</v>
      </c>
      <c r="G7" s="10"/>
      <c r="H7" s="11">
        <v>2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VLOOKUP($B8,'3107'!$B8:$N27,12,0)</f>
        <v>3.3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1.4999999999999998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VLOOKUP($B9,'3107'!$B9:$N28,12,0)</f>
        <v>29.700000000000003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VLOOKUP($B11,'3107'!$B11:$N30,12,0)</f>
        <v>31.75</v>
      </c>
      <c r="E11" s="10"/>
      <c r="F11" s="11"/>
      <c r="G11" s="10">
        <v>5</v>
      </c>
      <c r="H11" s="10"/>
      <c r="I11" s="11"/>
      <c r="J11" s="10"/>
      <c r="K11" s="10"/>
      <c r="L11" s="21">
        <f t="shared" si="1"/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VLOOKUP($B12,'3107'!$B12:$N31,12,0)</f>
        <v>11.3</v>
      </c>
      <c r="E12" s="10">
        <v>9.85</v>
      </c>
      <c r="F12" s="11"/>
      <c r="G12" s="10">
        <v>2</v>
      </c>
      <c r="H12" s="10"/>
      <c r="I12" s="11"/>
      <c r="J12" s="10"/>
      <c r="K12" s="10"/>
      <c r="L12" s="14">
        <f t="shared" si="1"/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VLOOKUP($B14,'3107'!$B14:$N33,12,0)</f>
        <v>8.8000000000000007</v>
      </c>
      <c r="E14" s="10">
        <v>5.75</v>
      </c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VLOOKUP($B20,'3107'!$B20:$N39,12,0)</f>
        <v>3.5</v>
      </c>
      <c r="E20" s="12">
        <v>12.3</v>
      </c>
      <c r="F20" s="12"/>
      <c r="G20" s="12">
        <v>2</v>
      </c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VLOOKUP($B21,'3107'!$B21:$N40,12,0)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57.900000000000006</v>
      </c>
      <c r="F27" s="13">
        <f t="shared" si="2"/>
        <v>10</v>
      </c>
      <c r="G27" s="13">
        <f>SUM(G7:G26)</f>
        <v>14.8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DATE(2015,8,1)</f>
        <v>42217</v>
      </c>
      <c r="E4" s="36">
        <f>D4+1</f>
        <v>42218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VLOOKUP($B8,'0108'!$B8:$N27,12,0)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VLOOKUP($B9,'0108'!$B9:$N28,12,0)</f>
        <v>25.700000000000003</v>
      </c>
      <c r="E9" s="10"/>
      <c r="F9" s="11"/>
      <c r="G9" s="10"/>
      <c r="H9" s="10"/>
      <c r="I9" s="10"/>
      <c r="J9" s="10"/>
      <c r="K9" s="10"/>
      <c r="L9" s="14">
        <f>D9+E9-SUM(F9:K9)</f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VLOOKUP($B11,'0108'!$B11:$N30,12,0)</f>
        <v>26.75</v>
      </c>
      <c r="E11" s="10"/>
      <c r="F11" s="11"/>
      <c r="G11" s="10"/>
      <c r="H11" s="10"/>
      <c r="I11" s="11"/>
      <c r="J11" s="10"/>
      <c r="K11" s="10"/>
      <c r="L11" s="21">
        <f>D11+E11-SUM(F11:K11)</f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VLOOKUP($B16,'0108'!$B16:$N35,12,0)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VLOOKUP($B20,'0108'!$B20:$N39,12,0)</f>
        <v>13.8</v>
      </c>
      <c r="E20" s="12"/>
      <c r="F20" s="12"/>
      <c r="G20" s="12"/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VLOOKUP($B21,'0108'!$B21:$N40,12,0)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DATE(2015,8,2)</f>
        <v>42218</v>
      </c>
      <c r="E4" s="36">
        <f>D4+1</f>
        <v>42219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VLOOKUP($B7,'0208'!$B7:$N26,12,0)</f>
        <v>60</v>
      </c>
      <c r="E7" s="10">
        <v>30</v>
      </c>
      <c r="F7" s="10">
        <v>6</v>
      </c>
      <c r="G7" s="10">
        <v>14</v>
      </c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VLOOKUP($B8,'0208'!$B8:$N27,12,0)</f>
        <v>1.5</v>
      </c>
      <c r="E8" s="10">
        <v>7.5</v>
      </c>
      <c r="F8" s="11"/>
      <c r="G8" s="10">
        <v>1.2</v>
      </c>
      <c r="H8" s="10"/>
      <c r="I8" s="10"/>
      <c r="J8" s="10"/>
      <c r="K8" s="10"/>
      <c r="L8" s="14">
        <f>D8+E8-SUM(F8:K8)</f>
        <v>7.8</v>
      </c>
      <c r="M8" s="10">
        <f>0.3+7.5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VLOOKUP($B9,'0208'!$B9:$N28,12,0)</f>
        <v>25.700000000000003</v>
      </c>
      <c r="E9" s="10">
        <v>17.8</v>
      </c>
      <c r="F9" s="11">
        <v>0.5</v>
      </c>
      <c r="G9" s="10">
        <v>3.9</v>
      </c>
      <c r="H9" s="10">
        <v>1</v>
      </c>
      <c r="I9" s="10"/>
      <c r="J9" s="10"/>
      <c r="K9" s="10"/>
      <c r="L9" s="14">
        <f>D9+E9-SUM(F9:K9)</f>
        <v>38.1</v>
      </c>
      <c r="M9" s="16">
        <f>20.3+17.8</f>
        <v>38.1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VLOOKUP($B11,'0208'!$B11:$N30,12,0)</f>
        <v>26.75</v>
      </c>
      <c r="E11" s="10"/>
      <c r="F11" s="11"/>
      <c r="G11" s="10"/>
      <c r="H11" s="10">
        <v>1.75</v>
      </c>
      <c r="I11" s="11"/>
      <c r="J11" s="10"/>
      <c r="K11" s="10"/>
      <c r="L11" s="21">
        <f>D11+E11-SUM(F11:K11)</f>
        <v>25</v>
      </c>
      <c r="M11" s="17">
        <v>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f>8.8+5.75</f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VLOOKUP($B16,'0208'!$B16:$N35,12,0)</f>
        <v>8.6</v>
      </c>
      <c r="E16" s="10">
        <v>16.7</v>
      </c>
      <c r="F16" s="11"/>
      <c r="G16" s="10">
        <v>1.6</v>
      </c>
      <c r="H16" s="10"/>
      <c r="I16" s="10">
        <v>2</v>
      </c>
      <c r="J16" s="10"/>
      <c r="K16" s="10"/>
      <c r="L16" s="14">
        <f t="shared" si="1"/>
        <v>21.699999999999996</v>
      </c>
      <c r="M16" s="10">
        <f>5+E16</f>
        <v>21.7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VLOOKUP($B20,'0208'!$B20:$N39,12,0)</f>
        <v>13.8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11.8</v>
      </c>
      <c r="M20" s="12">
        <v>11.8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VLOOKUP($B21,'0208'!$B21:$N40,12,0)</f>
        <v>9.3000000000000007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8.1000000000000014</v>
      </c>
      <c r="M21" s="12">
        <v>8.1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</v>
      </c>
      <c r="F27" s="13">
        <f t="shared" si="2"/>
        <v>6.5</v>
      </c>
      <c r="G27" s="13">
        <f>SUM(G7:G26)</f>
        <v>23.9</v>
      </c>
      <c r="H27" s="13">
        <f>SUM(H7:H26)</f>
        <v>2.75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236.65</v>
      </c>
      <c r="M27" s="13">
        <f t="shared" si="2"/>
        <v>236.65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DATE(2015,8,3)</f>
        <v>42219</v>
      </c>
      <c r="E4" s="36">
        <f>D4+1</f>
        <v>42220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VLOOKUP($B7,'0308'!$B7:$N26,12,0)</f>
        <v>70</v>
      </c>
      <c r="E7" s="10"/>
      <c r="F7" s="10">
        <v>4</v>
      </c>
      <c r="G7" s="10">
        <v>4</v>
      </c>
      <c r="H7" s="11"/>
      <c r="I7" s="10">
        <v>2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VLOOKUP($B8,'0308'!$B8:$N27,12,0)</f>
        <v>7.8</v>
      </c>
      <c r="E8" s="10"/>
      <c r="F8" s="11"/>
      <c r="G8" s="10"/>
      <c r="H8" s="10"/>
      <c r="I8" s="10"/>
      <c r="J8" s="10"/>
      <c r="K8" s="10"/>
      <c r="L8" s="14">
        <f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VLOOKUP($B9,'0308'!$B9:$N28,12,0)</f>
        <v>38.1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33.1</v>
      </c>
      <c r="M9" s="16">
        <f>15.3+17.8</f>
        <v>33.1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VLOOKUP($B11,'0308'!$B11:$N30,12,0)</f>
        <v>25</v>
      </c>
      <c r="E11" s="10">
        <v>24.5</v>
      </c>
      <c r="F11" s="11">
        <v>8</v>
      </c>
      <c r="G11" s="10">
        <v>1</v>
      </c>
      <c r="H11" s="10"/>
      <c r="I11" s="11"/>
      <c r="J11" s="10"/>
      <c r="K11" s="10"/>
      <c r="L11" s="21">
        <f>D11+E11-SUM(F11:K11)</f>
        <v>40.5</v>
      </c>
      <c r="M11" s="17">
        <f>16+24.5</f>
        <v>40.5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VLOOKUP($B12,'0308'!$B12:$N31,12,0)</f>
        <v>19.149999999999999</v>
      </c>
      <c r="E12" s="10"/>
      <c r="F12" s="11">
        <v>3.8</v>
      </c>
      <c r="G12" s="10"/>
      <c r="H12" s="10"/>
      <c r="I12" s="11"/>
      <c r="J12" s="10"/>
      <c r="K12" s="10"/>
      <c r="L12" s="14">
        <f t="shared" ref="L12:L22" si="1">D12+E12-SUM(F12:K12)</f>
        <v>15.349999999999998</v>
      </c>
      <c r="M12" s="10">
        <f>14.85+0.5</f>
        <v>15.35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VLOOKUP($B14,'0308'!$B14:$N33,12,0)</f>
        <v>14.55</v>
      </c>
      <c r="E14" s="10"/>
      <c r="F14" s="11">
        <v>3</v>
      </c>
      <c r="G14" s="10">
        <v>1.3</v>
      </c>
      <c r="H14" s="10"/>
      <c r="I14" s="11"/>
      <c r="J14" s="10"/>
      <c r="K14" s="10"/>
      <c r="L14" s="14">
        <f t="shared" si="1"/>
        <v>10.25</v>
      </c>
      <c r="M14" s="10"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VLOOKUP($B15,'0308'!$B15:$N34,12,0)</f>
        <v>10.25</v>
      </c>
      <c r="E15" s="10"/>
      <c r="F15" s="11">
        <v>3</v>
      </c>
      <c r="G15" s="10">
        <v>0.75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VLOOKUP($B16,'0308'!$B16:$N35,12,0)</f>
        <v>21.7</v>
      </c>
      <c r="E16" s="10">
        <v>16.3</v>
      </c>
      <c r="F16" s="11"/>
      <c r="G16" s="10">
        <v>3</v>
      </c>
      <c r="H16" s="10"/>
      <c r="I16" s="10"/>
      <c r="J16" s="10"/>
      <c r="K16" s="10"/>
      <c r="L16" s="14">
        <f t="shared" si="1"/>
        <v>35</v>
      </c>
      <c r="M16" s="10">
        <f>18.7+E16</f>
        <v>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VLOOKUP($B18,'0308'!$B18:$N37,12,0)</f>
        <v>4.5999999999999996</v>
      </c>
      <c r="E18" s="10"/>
      <c r="F18" s="11">
        <v>1.3</v>
      </c>
      <c r="G18" s="10">
        <v>0.3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VLOOKUP($B20,'0308'!$B20:$N39,12,0)</f>
        <v>11.8</v>
      </c>
      <c r="E20" s="12"/>
      <c r="F20" s="12"/>
      <c r="G20" s="12"/>
      <c r="H20" s="11">
        <v>1.8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VLOOKUP($B21,'0308'!$B21:$N40,12,0)</f>
        <v>8.1</v>
      </c>
      <c r="E21" s="12"/>
      <c r="F21" s="12">
        <v>1.8</v>
      </c>
      <c r="G21" s="12"/>
      <c r="H21" s="11"/>
      <c r="I21" s="12"/>
      <c r="J21" s="12"/>
      <c r="K21" s="12"/>
      <c r="L21" s="14">
        <f t="shared" si="1"/>
        <v>6.3</v>
      </c>
      <c r="M21" s="12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43.8</v>
      </c>
      <c r="F27" s="13">
        <f t="shared" si="2"/>
        <v>32.9</v>
      </c>
      <c r="G27" s="13">
        <f>SUM(G7:G26)</f>
        <v>10.350000000000001</v>
      </c>
      <c r="H27" s="13">
        <f>SUM(H7:H26)</f>
        <v>1.8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233.4</v>
      </c>
      <c r="M27" s="13">
        <f t="shared" si="2"/>
        <v>233.4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DATE(2015,8,4)</f>
        <v>42220</v>
      </c>
      <c r="E4" s="36">
        <f>D4+1</f>
        <v>42221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VLOOKUP($B7,'0408'!$B7:$N26,12,0)</f>
        <v>60</v>
      </c>
      <c r="E7" s="10">
        <v>50</v>
      </c>
      <c r="F7" s="10">
        <v>2</v>
      </c>
      <c r="G7" s="10">
        <v>30</v>
      </c>
      <c r="H7" s="11">
        <v>10</v>
      </c>
      <c r="I7" s="10"/>
      <c r="J7" s="10"/>
      <c r="K7" s="10"/>
      <c r="L7" s="14">
        <f>D7+E7-SUM(F7:K7)</f>
        <v>68</v>
      </c>
      <c r="M7" s="10">
        <f>18+50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VLOOKUP($B8,'0408'!$B8:$N27,12,0)</f>
        <v>7.8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VLOOKUP($B9,'0408'!$B9:$N28,12,0)</f>
        <v>33.1</v>
      </c>
      <c r="E9" s="10"/>
      <c r="F9" s="11"/>
      <c r="G9" s="10">
        <v>4</v>
      </c>
      <c r="H9" s="10">
        <v>2.5</v>
      </c>
      <c r="I9" s="10"/>
      <c r="J9" s="10"/>
      <c r="K9" s="10"/>
      <c r="L9" s="14">
        <f>D9+E9-SUM(F9:K9)</f>
        <v>26.6</v>
      </c>
      <c r="M9" s="16">
        <f>6.3+2.5+17.8</f>
        <v>26.6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VLOOKUP($B11,'0408'!$B11:$N30,12,0)</f>
        <v>40.5</v>
      </c>
      <c r="E11" s="10"/>
      <c r="F11" s="11"/>
      <c r="G11" s="10">
        <v>2</v>
      </c>
      <c r="H11" s="10">
        <v>3.5</v>
      </c>
      <c r="I11" s="11"/>
      <c r="J11" s="10"/>
      <c r="K11" s="10"/>
      <c r="L11" s="21">
        <f>D11+E11-SUM(F11:K11)</f>
        <v>35</v>
      </c>
      <c r="M11" s="17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VLOOKUP($B12,'0408'!$B12:$N31,12,0)</f>
        <v>15.35</v>
      </c>
      <c r="E12" s="10"/>
      <c r="F12" s="11"/>
      <c r="G12" s="10"/>
      <c r="H12" s="10">
        <v>0.5</v>
      </c>
      <c r="I12" s="11">
        <v>1</v>
      </c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VLOOKUP($B15,'0408'!$B15:$N34,12,0)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VLOOKUP($B16,'0408'!$B16:$N35,12,0)</f>
        <v>35</v>
      </c>
      <c r="E16" s="10">
        <v>12.75</v>
      </c>
      <c r="F16" s="11">
        <v>2.8</v>
      </c>
      <c r="G16" s="10">
        <v>33.700000000000003</v>
      </c>
      <c r="H16" s="10"/>
      <c r="I16" s="10"/>
      <c r="J16" s="10"/>
      <c r="K16" s="10"/>
      <c r="L16" s="14">
        <f t="shared" si="1"/>
        <v>11.25</v>
      </c>
      <c r="M16" s="10">
        <f>0.5+10.75</f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VLOOKUP($B18,'0408'!$B18:$N37,12,0)</f>
        <v>3</v>
      </c>
      <c r="E18" s="10">
        <v>10.6</v>
      </c>
      <c r="F18" s="11"/>
      <c r="G18" s="10">
        <v>2.1</v>
      </c>
      <c r="H18" s="10"/>
      <c r="I18" s="10">
        <v>0.9</v>
      </c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VLOOKUP($B20,'0408'!$B20:$N39,12,0)</f>
        <v>10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VLOOKUP($B21,'0408'!$B21:$N40,12,0)</f>
        <v>6.3</v>
      </c>
      <c r="E21" s="12"/>
      <c r="F21" s="12"/>
      <c r="G21" s="12">
        <v>0.9</v>
      </c>
      <c r="H21" s="11"/>
      <c r="I21" s="12">
        <v>0.9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76.349999999999994</v>
      </c>
      <c r="F27" s="13">
        <f t="shared" si="2"/>
        <v>7.8</v>
      </c>
      <c r="G27" s="13">
        <f>SUM(G7:G26)</f>
        <v>74.7</v>
      </c>
      <c r="H27" s="13">
        <f>SUM(H7:H26)</f>
        <v>18.100000000000001</v>
      </c>
      <c r="I27" s="13">
        <f t="shared" si="2"/>
        <v>2.8</v>
      </c>
      <c r="J27" s="13">
        <f t="shared" si="2"/>
        <v>0</v>
      </c>
      <c r="K27" s="13">
        <f t="shared" si="2"/>
        <v>0</v>
      </c>
      <c r="L27" s="13">
        <f t="shared" si="2"/>
        <v>206.35</v>
      </c>
      <c r="M27" s="13">
        <f t="shared" si="2"/>
        <v>206.35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DATE(2015,8,5)</f>
        <v>42221</v>
      </c>
      <c r="E4" s="36">
        <f>D4+1</f>
        <v>42222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VLOOKUP($B7,'0508'!$B7:$N26,12,0)</f>
        <v>68</v>
      </c>
      <c r="E7" s="10">
        <v>30</v>
      </c>
      <c r="F7" s="10">
        <v>6</v>
      </c>
      <c r="G7" s="10">
        <v>12</v>
      </c>
      <c r="H7" s="11">
        <v>40</v>
      </c>
      <c r="I7" s="10"/>
      <c r="J7" s="10"/>
      <c r="K7" s="10"/>
      <c r="L7" s="14">
        <f>D7+E7-SUM(F7:K7)</f>
        <v>40</v>
      </c>
      <c r="M7" s="10">
        <f>10+30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VLOOKUP($B8,'0508'!$B8:$N27,12,0)</f>
        <v>7.2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VLOOKUP($B9,'0508'!$B9:$N28,12,0)</f>
        <v>26.6</v>
      </c>
      <c r="E9" s="10">
        <f>15+3.15</f>
        <v>18.149999999999999</v>
      </c>
      <c r="F9" s="11"/>
      <c r="G9" s="10">
        <v>7.8</v>
      </c>
      <c r="H9" s="10">
        <v>5</v>
      </c>
      <c r="I9" s="10"/>
      <c r="J9" s="10"/>
      <c r="K9" s="10"/>
      <c r="L9" s="14">
        <f>D9+E9-SUM(F9:K9)</f>
        <v>31.95</v>
      </c>
      <c r="M9" s="16">
        <f>13.8+18.15</f>
        <v>31.95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VLOOKUP($B11,'0508'!$B11:$N30,12,0)</f>
        <v>35</v>
      </c>
      <c r="E11" s="10"/>
      <c r="F11" s="11"/>
      <c r="G11" s="10">
        <v>2</v>
      </c>
      <c r="H11" s="10">
        <v>7</v>
      </c>
      <c r="I11" s="11"/>
      <c r="J11" s="10"/>
      <c r="K11" s="10"/>
      <c r="L11" s="21">
        <f>D11+E11-SUM(F11:K11)</f>
        <v>26</v>
      </c>
      <c r="M11" s="17">
        <v>26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VLOOKUP($B12,'0508'!$B12:$N31,12,0)</f>
        <v>13.85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VLOOKUP($B15,'0508'!$B15:$N34,12,0)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VLOOKUP($B16,'0508'!$B16:$N35,12,0)</f>
        <v>11.25</v>
      </c>
      <c r="E16" s="10"/>
      <c r="F16" s="11"/>
      <c r="G16" s="10"/>
      <c r="H16" s="10"/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VLOOKUP($B18,'0508'!$B18:$N37,12,0)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VLOOKUP($B20,'0508'!$B20:$N39,12,0)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VLOOKUP($B21,'0508'!$B21:$N40,12,0)</f>
        <v>4.5</v>
      </c>
      <c r="E21" s="12">
        <f>0.53+9.9</f>
        <v>10.43</v>
      </c>
      <c r="F21" s="12"/>
      <c r="G21" s="12"/>
      <c r="H21" s="11"/>
      <c r="I21" s="12"/>
      <c r="J21" s="12"/>
      <c r="K21" s="12"/>
      <c r="L21" s="14">
        <f t="shared" si="1"/>
        <v>14.93</v>
      </c>
      <c r="M21" s="12">
        <f>4.5+10.43</f>
        <v>14.93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VLOOKUP($B22,'0508'!$B22:$N41,12,0)</f>
        <v>5.6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58.58</v>
      </c>
      <c r="F27" s="13">
        <f t="shared" si="2"/>
        <v>6</v>
      </c>
      <c r="G27" s="13">
        <f>SUM(G7:G26)</f>
        <v>26.9</v>
      </c>
      <c r="H27" s="13">
        <f>SUM(H7:H26)</f>
        <v>55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177.02999999999997</v>
      </c>
      <c r="M27" s="13">
        <f t="shared" si="2"/>
        <v>177.02999999999997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DATE(2015,8,6)</f>
        <v>42222</v>
      </c>
      <c r="E4" s="36">
        <f>D4+1</f>
        <v>42223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VLOOKUP($B7,'0608'!$B7:$N26,12,0)</f>
        <v>40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f>32+20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VLOOKUP($B9,'0608'!$B9:$N28,12,0)</f>
        <v>31.95</v>
      </c>
      <c r="E9" s="10"/>
      <c r="F9" s="11"/>
      <c r="G9" s="10">
        <v>7</v>
      </c>
      <c r="H9" s="10"/>
      <c r="I9" s="10"/>
      <c r="J9" s="10"/>
      <c r="K9" s="10"/>
      <c r="L9" s="14">
        <f>D9+E9-SUM(F9:K9)</f>
        <v>24.95</v>
      </c>
      <c r="M9" s="16">
        <f>20+4.95</f>
        <v>24.95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VLOOKUP($B11,'0608'!$B11:$N30,12,0)</f>
        <v>26</v>
      </c>
      <c r="E11" s="10">
        <v>24.2</v>
      </c>
      <c r="F11" s="11">
        <v>15</v>
      </c>
      <c r="G11" s="10">
        <v>4</v>
      </c>
      <c r="H11" s="10"/>
      <c r="I11" s="11"/>
      <c r="J11" s="10"/>
      <c r="K11" s="10"/>
      <c r="L11" s="21">
        <f>D11+E11-SUM(F11:K11)</f>
        <v>31.200000000000003</v>
      </c>
      <c r="M11" s="17">
        <f>22+9.2</f>
        <v>31.2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VLOOKUP($B12,'0608'!$B12:$N31,12,0)</f>
        <v>13.85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VLOOKUP($B14,'0608'!$B14:$N33,12,0)</f>
        <v>10.25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VLOOKUP($B15,'0608'!$B15:$N34,12,0)</f>
        <v>5.5</v>
      </c>
      <c r="E15" s="10">
        <v>10.55</v>
      </c>
      <c r="F15" s="11"/>
      <c r="G15" s="10">
        <v>1</v>
      </c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VLOOKUP($B16,'0608'!$B16:$N35,12,0)</f>
        <v>11.25</v>
      </c>
      <c r="E16" s="10"/>
      <c r="F16" s="11"/>
      <c r="G16" s="10">
        <v>1.25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VLOOKUP($B18,'0608'!$B18:$N37,12,0)</f>
        <v>10.6</v>
      </c>
      <c r="E18" s="10"/>
      <c r="F18" s="11"/>
      <c r="G18" s="10">
        <v>1</v>
      </c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VLOOKUP($B20,'0608'!$B20:$N39,12,0)</f>
        <v>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</v>
      </c>
      <c r="M20" s="12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VLOOKUP($B21,'0608'!$B21:$N40,12,0)</f>
        <v>14.93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14.03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54.75</v>
      </c>
      <c r="F27" s="13">
        <f t="shared" si="2"/>
        <v>21</v>
      </c>
      <c r="G27" s="13">
        <f>SUM(G7:G26)</f>
        <v>18.149999999999999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190.63</v>
      </c>
      <c r="M27" s="13">
        <f t="shared" si="2"/>
        <v>190.63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DATE(2015,4,12)</f>
        <v>42106</v>
      </c>
      <c r="E4" s="36">
        <f>D4+1</f>
        <v>42107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VLOOKUP($B7,'1204'!$B7:$N26,12,0)</f>
        <v>52</v>
      </c>
      <c r="E7" s="10"/>
      <c r="F7" s="10"/>
      <c r="G7" s="10">
        <v>8</v>
      </c>
      <c r="H7" s="11">
        <v>14</v>
      </c>
      <c r="I7" s="10">
        <v>2</v>
      </c>
      <c r="J7" s="10"/>
      <c r="K7" s="10"/>
      <c r="L7" s="14">
        <f>D7+E7-SUM(F7:K7)</f>
        <v>28</v>
      </c>
      <c r="M7" s="10">
        <v>28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VLOOKUP($B8,'1204'!$B8:$N27,12,0)</f>
        <v>9.9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VLOOKUP($B9,'1204'!$B9:$N28,12,0)</f>
        <v>19.7</v>
      </c>
      <c r="E9" s="10"/>
      <c r="F9" s="11">
        <v>1.2</v>
      </c>
      <c r="G9" s="10">
        <v>2</v>
      </c>
      <c r="H9" s="10">
        <v>4</v>
      </c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VLOOKUP($B10,'1204'!$B10:$N29,12,0)</f>
        <v>2.1</v>
      </c>
      <c r="E10">
        <v>11.15</v>
      </c>
      <c r="F10" s="11"/>
      <c r="G10" s="10">
        <v>2.1</v>
      </c>
      <c r="H10" s="10">
        <v>2.1</v>
      </c>
      <c r="I10" s="11"/>
      <c r="J10" s="10"/>
      <c r="K10" s="10"/>
      <c r="L10" s="14">
        <f t="shared" si="1"/>
        <v>9.0500000000000007</v>
      </c>
      <c r="M10" s="10">
        <v>9.0500000000000007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VLOOKUP($B11,'1204'!$B11:$N30,12,0)</f>
        <v>35.1</v>
      </c>
      <c r="E11" s="10"/>
      <c r="F11" s="11"/>
      <c r="G11" s="10">
        <v>5</v>
      </c>
      <c r="H11" s="10">
        <v>3</v>
      </c>
      <c r="I11" s="11"/>
      <c r="J11" s="10"/>
      <c r="K11" s="10"/>
      <c r="L11" s="14">
        <f t="shared" si="1"/>
        <v>27.1</v>
      </c>
      <c r="M11" s="10">
        <v>27.1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VLOOKUP($B12,'1204'!$B12:$N31,12,0)</f>
        <v>13.7</v>
      </c>
      <c r="E12" s="10">
        <v>12.1</v>
      </c>
      <c r="F12" s="11"/>
      <c r="G12" s="10">
        <v>11</v>
      </c>
      <c r="H12" s="10"/>
      <c r="I12" s="11"/>
      <c r="J12" s="10"/>
      <c r="K12" s="10"/>
      <c r="L12" s="14">
        <f t="shared" si="1"/>
        <v>14.799999999999997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VLOOKUP($B16,'1204'!$B16:$N35,12,0)</f>
        <v>9.8000000000000007</v>
      </c>
      <c r="E16" s="10">
        <v>12.5</v>
      </c>
      <c r="F16" s="11"/>
      <c r="G16" s="10"/>
      <c r="H16" s="10">
        <v>1.3</v>
      </c>
      <c r="I16" s="10"/>
      <c r="J16" s="10"/>
      <c r="K16" s="10"/>
      <c r="L16" s="14">
        <f t="shared" si="1"/>
        <v>21</v>
      </c>
      <c r="M16" s="10">
        <v>21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VLOOKUP($B20,'1204'!$B20:$N39,12,0)</f>
        <v>11.7</v>
      </c>
      <c r="E20" s="12"/>
      <c r="F20" s="12"/>
      <c r="G20" s="12">
        <v>2</v>
      </c>
      <c r="H20" s="11">
        <v>2</v>
      </c>
      <c r="I20" s="12"/>
      <c r="J20" s="12"/>
      <c r="K20" s="12"/>
      <c r="L20" s="14">
        <f t="shared" si="1"/>
        <v>7.6999999999999993</v>
      </c>
      <c r="M20" s="12">
        <v>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VLOOKUP($B21,'1204'!$B21:$N40,12,0)</f>
        <v>0.6</v>
      </c>
      <c r="E21" s="12">
        <v>10.7</v>
      </c>
      <c r="F21" s="12"/>
      <c r="G21" s="12"/>
      <c r="H21" s="11"/>
      <c r="I21" s="12"/>
      <c r="J21" s="12"/>
      <c r="K21" s="12"/>
      <c r="L21" s="14">
        <f t="shared" si="1"/>
        <v>11.299999999999999</v>
      </c>
      <c r="M21" s="12">
        <v>11.3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46.45</v>
      </c>
      <c r="F27" s="13">
        <f t="shared" si="2"/>
        <v>1.2</v>
      </c>
      <c r="G27" s="13">
        <f t="shared" si="2"/>
        <v>30.1</v>
      </c>
      <c r="H27" s="13">
        <f t="shared" si="2"/>
        <v>27.6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180.04999999999998</v>
      </c>
      <c r="M27" s="13">
        <f t="shared" si="2"/>
        <v>180.04999999999998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1" priority="1" stopIfTrue="1" operator="lessThan">
      <formula>0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VLOOKUP($B7,'0708'!$B7:$N26,12,0)</f>
        <v>52</v>
      </c>
      <c r="E7" s="10">
        <v>20</v>
      </c>
      <c r="F7" s="10">
        <v>18</v>
      </c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VLOOKUP($B9,'0708'!$B9:$N28,12,0)</f>
        <v>24.95</v>
      </c>
      <c r="E9" s="10"/>
      <c r="F9" s="11"/>
      <c r="G9" s="10">
        <v>1.95</v>
      </c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VLOOKUP($B11,'0708'!$B11:$N30,12,0)</f>
        <v>31.2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VLOOKUP($B16,'0708'!$B16:$N35,12,0)</f>
        <v>10</v>
      </c>
      <c r="E16" s="10">
        <v>13</v>
      </c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VLOOKUP($B20,'0708'!$B20:$N39,12,0)</f>
        <v>4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45.5</v>
      </c>
      <c r="F27" s="13">
        <f t="shared" si="2"/>
        <v>18</v>
      </c>
      <c r="G27" s="13">
        <f>SUM(G7:G26)</f>
        <v>3.95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214.17999999999998</v>
      </c>
      <c r="M27" s="13">
        <f t="shared" si="2"/>
        <v>214.17999999999998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VLOOKUP($B7,'0808'!$B7:$N26,12,0)</f>
        <v>54</v>
      </c>
      <c r="E7" s="10"/>
      <c r="F7" s="10"/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VLOOKUP($B9,'0808'!$B9:$N28,12,0)</f>
        <v>23</v>
      </c>
      <c r="E9" s="10"/>
      <c r="F9" s="11"/>
      <c r="G9" s="10"/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VLOOKUP($B11,'0808'!$B11:$N30,12,0)</f>
        <v>29.2</v>
      </c>
      <c r="E11" s="10"/>
      <c r="F11" s="11"/>
      <c r="G11" s="10"/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VLOOKUP($B16,'0808'!$B16:$N35,12,0)</f>
        <v>23</v>
      </c>
      <c r="E16" s="10"/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VLOOKUP($B22,'0808'!$B22:$N41,12,0)</f>
        <v>2.6</v>
      </c>
      <c r="E22" s="10">
        <v>25.6</v>
      </c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25.6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239.77999999999997</v>
      </c>
      <c r="M27" s="13">
        <f t="shared" si="2"/>
        <v>239.77999999999997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DATE(2015,8,9)</f>
        <v>42225</v>
      </c>
      <c r="E4" s="36">
        <f>D4+1</f>
        <v>42226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VLOOKUP($B7,'0908'!$B7:$N26,12,0)</f>
        <v>54</v>
      </c>
      <c r="E7" s="10">
        <v>20</v>
      </c>
      <c r="F7" s="10"/>
      <c r="G7" s="10">
        <v>12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VLOOKUP($B9,'0908'!$B9:$N28,12,0)</f>
        <v>23</v>
      </c>
      <c r="E9" s="10">
        <v>17.5</v>
      </c>
      <c r="F9" s="11"/>
      <c r="G9" s="10">
        <v>4.5</v>
      </c>
      <c r="H9" s="10"/>
      <c r="I9" s="10"/>
      <c r="J9" s="10"/>
      <c r="K9" s="10"/>
      <c r="L9" s="14">
        <f>D9+E9-SUM(F9:K9)</f>
        <v>36</v>
      </c>
      <c r="M9" s="16">
        <f>18.5+17.5</f>
        <v>36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VLOOKUP($B11,'0908'!$B11:$N30,12,0)</f>
        <v>29.2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26.2</v>
      </c>
      <c r="M11" s="17">
        <v>26.2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VLOOKUP($B12,'0908'!$B12:$N31,12,0)</f>
        <v>12.85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11.85</v>
      </c>
      <c r="M12" s="10">
        <f>9.85+2</f>
        <v>11.85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VLOOKUP($B14,'0908'!$B14:$N33,12,0)</f>
        <v>9.25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7.75</v>
      </c>
      <c r="M14" s="10">
        <v>7.75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VLOOKUP($B15,'0908'!$B15:$N34,12,0)</f>
        <v>15.05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12.55</v>
      </c>
      <c r="M15" s="10">
        <f>10.55+2</f>
        <v>12.55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VLOOKUP($B16,'0908'!$B16:$N35,12,0)</f>
        <v>23</v>
      </c>
      <c r="E16" s="10">
        <f>13.5+0.55</f>
        <v>14.05</v>
      </c>
      <c r="F16" s="11"/>
      <c r="G16" s="10">
        <v>1</v>
      </c>
      <c r="H16" s="10"/>
      <c r="I16" s="10"/>
      <c r="J16" s="10"/>
      <c r="K16" s="10"/>
      <c r="L16" s="14">
        <f t="shared" si="1"/>
        <v>36.049999999999997</v>
      </c>
      <c r="M16" s="10">
        <f>22+14.05</f>
        <v>36.049999999999997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VLOOKUP($B18,'0908'!$B18:$N37,12,0)</f>
        <v>9.6</v>
      </c>
      <c r="E18" s="10"/>
      <c r="F18" s="11"/>
      <c r="G18" s="10">
        <v>1.5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9.9+4.13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VLOOKUP($B22,'0908'!$B22:$N41,12,0)</f>
        <v>28.200000000000003</v>
      </c>
      <c r="E22" s="10"/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51.55</v>
      </c>
      <c r="F27" s="13">
        <f t="shared" si="2"/>
        <v>0</v>
      </c>
      <c r="G27" s="13">
        <f>SUM(G7:G26)</f>
        <v>27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264.33</v>
      </c>
      <c r="M27" s="13">
        <f t="shared" si="2"/>
        <v>264.33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DATE(2015,8,10)</f>
        <v>42226</v>
      </c>
      <c r="E4" s="36">
        <f>D4+1</f>
        <v>42227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VLOOKUP($B7,'1008'!$B7:$N26,12,0)</f>
        <v>62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82</v>
      </c>
      <c r="M7" s="10">
        <f>52+30</f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VLOOKUP($B8,'1008'!$B8:$N27,12,0)</f>
        <v>5.0999999999999996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VLOOKUP($B9,'1008'!$B9:$N28,12,0)</f>
        <v>36</v>
      </c>
      <c r="E9" s="10"/>
      <c r="F9" s="11">
        <v>10.5</v>
      </c>
      <c r="G9" s="10">
        <v>1</v>
      </c>
      <c r="H9" s="10"/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VLOOKUP($B10,'1008'!$B10:$N29,12,0)</f>
        <v>0</v>
      </c>
      <c r="E10">
        <f>9+1.65</f>
        <v>10.65</v>
      </c>
      <c r="F10" s="11"/>
      <c r="G10" s="10"/>
      <c r="H10" s="10"/>
      <c r="I10" s="11"/>
      <c r="J10" s="10"/>
      <c r="K10" s="10"/>
      <c r="L10" s="14">
        <f>D10+E10-SUM(F10:K10)</f>
        <v>10.65</v>
      </c>
      <c r="M10" s="10"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VLOOKUP($B11,'1008'!$B11:$N30,12,0)</f>
        <v>26.2</v>
      </c>
      <c r="E11" s="10">
        <v>24</v>
      </c>
      <c r="F11" s="11">
        <v>9</v>
      </c>
      <c r="G11" s="10">
        <v>4</v>
      </c>
      <c r="H11" s="10"/>
      <c r="I11" s="11"/>
      <c r="J11" s="10"/>
      <c r="K11" s="10"/>
      <c r="L11" s="21">
        <f>D11+E11-SUM(F11:K11)</f>
        <v>37.200000000000003</v>
      </c>
      <c r="M11" s="17">
        <f>13.2+24</f>
        <v>37.200000000000003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VLOOKUP($B12,'1008'!$B12:$N31,12,0)</f>
        <v>11.85</v>
      </c>
      <c r="E12" s="10"/>
      <c r="F12" s="11">
        <v>3</v>
      </c>
      <c r="G12" s="10"/>
      <c r="H12" s="10"/>
      <c r="I12" s="11"/>
      <c r="J12" s="10"/>
      <c r="K12" s="10"/>
      <c r="L12" s="14">
        <f t="shared" ref="L12:L22" si="1">D12+E12-SUM(F12:K12)</f>
        <v>8.85</v>
      </c>
      <c r="M12" s="10">
        <f>8.5+0.35</f>
        <v>8.85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VLOOKUP($B14,'1008'!$B14:$N33,12,0)</f>
        <v>7.75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5.75</v>
      </c>
      <c r="M14" s="10">
        <v>5.75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VLOOKUP($B15,'1008'!$B15:$N34,12,0)</f>
        <v>12.55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10.55</v>
      </c>
      <c r="M15" s="23">
        <f>5.55+5</f>
        <v>10.55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VLOOKUP($B16,'1008'!$B16:$N35,12,0)</f>
        <v>36.049999999999997</v>
      </c>
      <c r="E16" s="10">
        <v>12.85</v>
      </c>
      <c r="F16" s="11">
        <v>3</v>
      </c>
      <c r="G16" s="10">
        <v>1.5</v>
      </c>
      <c r="H16" s="10">
        <v>7</v>
      </c>
      <c r="I16" s="10"/>
      <c r="J16" s="10"/>
      <c r="K16" s="10"/>
      <c r="L16" s="14">
        <f t="shared" si="1"/>
        <v>37.4</v>
      </c>
      <c r="M16" s="10">
        <f>10.5+14.05+12.85</f>
        <v>37.4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VLOOKUP($B18,'1008'!$B18:$N37,12,0)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VLOOKUP($B20,'1008'!$B20:$N39,12,0)</f>
        <v>16.5</v>
      </c>
      <c r="E20" s="12"/>
      <c r="F20" s="12"/>
      <c r="G20" s="12">
        <v>0.5</v>
      </c>
      <c r="H20" s="11"/>
      <c r="I20" s="12"/>
      <c r="J20" s="12"/>
      <c r="K20" s="12"/>
      <c r="L20" s="14">
        <f t="shared" si="1"/>
        <v>16</v>
      </c>
      <c r="M20" s="12">
        <f>12.5+3.5</f>
        <v>16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VLOOKUP($B21,'1008'!$B21:$N40,12,0)</f>
        <v>14.030000000000001</v>
      </c>
      <c r="E21" s="12"/>
      <c r="F21" s="12">
        <v>3</v>
      </c>
      <c r="G21" s="12">
        <v>0.6</v>
      </c>
      <c r="H21" s="11"/>
      <c r="I21" s="12"/>
      <c r="J21" s="12"/>
      <c r="K21" s="12"/>
      <c r="L21" s="14">
        <f t="shared" si="1"/>
        <v>10.430000000000001</v>
      </c>
      <c r="M21" s="12">
        <f>10.13+0.3</f>
        <v>10.430000000000001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VLOOKUP($B22,'1008'!$B22:$N41,12,0)</f>
        <v>28.200000000000003</v>
      </c>
      <c r="E22" s="10"/>
      <c r="F22" s="10">
        <v>22</v>
      </c>
      <c r="G22" s="12"/>
      <c r="H22" s="11"/>
      <c r="I22" s="12"/>
      <c r="J22" s="12"/>
      <c r="K22" s="12"/>
      <c r="L22" s="14">
        <f t="shared" si="1"/>
        <v>6.2000000000000028</v>
      </c>
      <c r="M22" s="12">
        <f>3.6+2.6</f>
        <v>6.2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80.5</v>
      </c>
      <c r="F27" s="13">
        <f t="shared" si="2"/>
        <v>57.5</v>
      </c>
      <c r="G27" s="13">
        <f>SUM(G7:G26)</f>
        <v>18.5</v>
      </c>
      <c r="H27" s="13">
        <f>SUM(H7:H26)</f>
        <v>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261.83000000000004</v>
      </c>
      <c r="M27" s="13">
        <f t="shared" si="2"/>
        <v>261.83000000000004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DATE(2015,8,11)</f>
        <v>42227</v>
      </c>
      <c r="E4" s="36">
        <f>D4+1</f>
        <v>42228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VLOOKUP($B7,'1108'!$B7:$N26,12,0)</f>
        <v>82</v>
      </c>
      <c r="E7" s="10">
        <v>30</v>
      </c>
      <c r="F7" s="10">
        <v>2</v>
      </c>
      <c r="G7" s="10">
        <v>8</v>
      </c>
      <c r="H7" s="11"/>
      <c r="I7" s="10">
        <v>10</v>
      </c>
      <c r="J7" s="10"/>
      <c r="K7" s="10"/>
      <c r="L7" s="14">
        <f t="shared" ref="L7:L22" si="0">D7+E7-SUM(F7:K7)</f>
        <v>92</v>
      </c>
      <c r="M7" s="10">
        <f>62+30</f>
        <v>92</v>
      </c>
      <c r="N7" s="15">
        <f t="shared" ref="N7:N26" si="1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VLOOKUP($B8,'1108'!$B8:$N27,12,0)</f>
        <v>4.2</v>
      </c>
      <c r="E8" s="10"/>
      <c r="F8" s="11"/>
      <c r="G8" s="10">
        <v>0.3</v>
      </c>
      <c r="H8" s="10"/>
      <c r="I8" s="10"/>
      <c r="J8" s="10"/>
      <c r="K8" s="10"/>
      <c r="L8" s="14">
        <f t="shared" si="0"/>
        <v>3.9000000000000004</v>
      </c>
      <c r="M8" s="10">
        <v>3.9</v>
      </c>
      <c r="N8" s="15">
        <f t="shared" si="1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VLOOKUP($B9,'1108'!$B9:$N28,12,0)</f>
        <v>24.5</v>
      </c>
      <c r="E9" s="10">
        <v>17.7</v>
      </c>
      <c r="F9" s="11"/>
      <c r="G9" s="10">
        <v>3</v>
      </c>
      <c r="H9" s="10">
        <v>1.5</v>
      </c>
      <c r="I9" s="10">
        <v>2</v>
      </c>
      <c r="J9" s="10"/>
      <c r="K9" s="10"/>
      <c r="L9" s="14">
        <f t="shared" si="0"/>
        <v>35.700000000000003</v>
      </c>
      <c r="M9" s="16">
        <f>18+17.7</f>
        <v>35.700000000000003</v>
      </c>
      <c r="N9" s="15">
        <f t="shared" si="1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VLOOKUP($B10,'1108'!$B10:$N29,12,0)</f>
        <v>10.65</v>
      </c>
      <c r="F10" s="11"/>
      <c r="G10" s="10"/>
      <c r="H10" s="10"/>
      <c r="I10" s="11"/>
      <c r="J10" s="10"/>
      <c r="K10" s="10"/>
      <c r="L10" s="14">
        <f t="shared" si="0"/>
        <v>10.65</v>
      </c>
      <c r="M10" s="10">
        <v>10.65</v>
      </c>
      <c r="N10" s="15">
        <f t="shared" si="1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VLOOKUP($B11,'1108'!$B11:$N30,12,0)</f>
        <v>37.200000000000003</v>
      </c>
      <c r="E11" s="10"/>
      <c r="F11" s="11"/>
      <c r="G11" s="10">
        <v>2.5</v>
      </c>
      <c r="H11" s="10">
        <v>2.7</v>
      </c>
      <c r="I11" s="11">
        <v>3</v>
      </c>
      <c r="J11" s="10"/>
      <c r="K11" s="10"/>
      <c r="L11" s="21">
        <f t="shared" si="0"/>
        <v>29.000000000000004</v>
      </c>
      <c r="M11" s="17">
        <v>29</v>
      </c>
      <c r="N11" s="20">
        <f t="shared" si="1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VLOOKUP($B12,'1108'!$B12:$N31,12,0)</f>
        <v>8.85</v>
      </c>
      <c r="E12" s="10"/>
      <c r="F12" s="11"/>
      <c r="G12" s="10">
        <v>1.85</v>
      </c>
      <c r="H12" s="10"/>
      <c r="I12" s="11">
        <v>0.5</v>
      </c>
      <c r="J12" s="10"/>
      <c r="K12" s="10"/>
      <c r="L12" s="14">
        <f t="shared" si="0"/>
        <v>6.5</v>
      </c>
      <c r="M12" s="10">
        <v>6.5</v>
      </c>
      <c r="N12" s="15">
        <f t="shared" si="1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0"/>
        <v>0</v>
      </c>
      <c r="M13" s="10"/>
      <c r="N13" s="15">
        <f t="shared" si="1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VLOOKUP($B14,'1108'!$B14:$N33,12,0)</f>
        <v>5.75</v>
      </c>
      <c r="E14" s="10"/>
      <c r="F14" s="11"/>
      <c r="G14" s="10"/>
      <c r="H14" s="10"/>
      <c r="I14" s="11"/>
      <c r="J14" s="10"/>
      <c r="K14" s="10"/>
      <c r="L14" s="14">
        <f t="shared" si="0"/>
        <v>5.75</v>
      </c>
      <c r="M14" s="10">
        <v>5.75</v>
      </c>
      <c r="N14" s="15">
        <f t="shared" si="1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VLOOKUP($B15,'1108'!$B15:$N34,12,0)</f>
        <v>10.55</v>
      </c>
      <c r="E15" s="10"/>
      <c r="F15" s="11"/>
      <c r="G15" s="10"/>
      <c r="H15" s="10"/>
      <c r="I15" s="10"/>
      <c r="J15" s="10"/>
      <c r="K15" s="10"/>
      <c r="L15" s="14">
        <f t="shared" si="0"/>
        <v>10.55</v>
      </c>
      <c r="M15" s="23">
        <v>10.55</v>
      </c>
      <c r="N15" s="15">
        <f t="shared" si="1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VLOOKUP($B16,'1108'!$B16:$N35,12,0)</f>
        <v>37.4</v>
      </c>
      <c r="E16" s="10">
        <v>14.3</v>
      </c>
      <c r="F16" s="11"/>
      <c r="G16" s="10"/>
      <c r="H16" s="10">
        <v>33</v>
      </c>
      <c r="I16" s="10"/>
      <c r="J16" s="10"/>
      <c r="K16" s="10"/>
      <c r="L16" s="14">
        <f t="shared" si="0"/>
        <v>18.700000000000003</v>
      </c>
      <c r="M16" s="10">
        <f>4.4+14.3</f>
        <v>18.700000000000003</v>
      </c>
      <c r="N16" s="15">
        <f t="shared" si="1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0"/>
        <v>0</v>
      </c>
      <c r="M17" s="10"/>
      <c r="N17" s="15">
        <f t="shared" si="1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VLOOKUP($B18,'1108'!$B18:$N37,12,0)</f>
        <v>8.1</v>
      </c>
      <c r="E18" s="10"/>
      <c r="F18" s="11"/>
      <c r="G18" s="10"/>
      <c r="H18" s="10">
        <v>1.5</v>
      </c>
      <c r="I18" s="10">
        <v>0.6</v>
      </c>
      <c r="J18" s="10"/>
      <c r="K18" s="10"/>
      <c r="L18" s="14">
        <f t="shared" si="0"/>
        <v>6</v>
      </c>
      <c r="M18" s="10">
        <v>6</v>
      </c>
      <c r="N18" s="15">
        <f t="shared" si="1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0"/>
        <v>0</v>
      </c>
      <c r="M19" s="10"/>
      <c r="N19" s="15">
        <f t="shared" si="1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VLOOKUP($B20,'1108'!$B20:$N39,12,0)</f>
        <v>16</v>
      </c>
      <c r="E20" s="12"/>
      <c r="F20" s="12"/>
      <c r="G20" s="12">
        <v>1.5</v>
      </c>
      <c r="H20" s="11"/>
      <c r="I20" s="12"/>
      <c r="J20" s="12"/>
      <c r="K20" s="12"/>
      <c r="L20" s="14">
        <f t="shared" si="0"/>
        <v>14.5</v>
      </c>
      <c r="M20" s="12">
        <v>14.5</v>
      </c>
      <c r="N20" s="15">
        <f t="shared" si="1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VLOOKUP($B21,'1108'!$B21:$N40,12,0)</f>
        <v>10.430000000000001</v>
      </c>
      <c r="E21" s="12"/>
      <c r="F21" s="12"/>
      <c r="G21" s="12"/>
      <c r="H21" s="11">
        <v>1.2</v>
      </c>
      <c r="I21" s="12">
        <v>0.83</v>
      </c>
      <c r="J21" s="12"/>
      <c r="K21" s="12"/>
      <c r="L21" s="14">
        <f t="shared" si="0"/>
        <v>8.4000000000000021</v>
      </c>
      <c r="M21" s="12">
        <v>8.4</v>
      </c>
      <c r="N21" s="15">
        <f t="shared" si="1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VLOOKUP($B22,'1108'!$B22:$N41,12,0)</f>
        <v>6.2</v>
      </c>
      <c r="E22" s="10"/>
      <c r="F22" s="10"/>
      <c r="G22" s="12"/>
      <c r="H22" s="11"/>
      <c r="I22" s="12"/>
      <c r="J22" s="12"/>
      <c r="K22" s="12"/>
      <c r="L22" s="14">
        <f t="shared" si="0"/>
        <v>6.2</v>
      </c>
      <c r="M22" s="12">
        <f>3.6+2.6</f>
        <v>6.2</v>
      </c>
      <c r="N22" s="15">
        <f t="shared" si="1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1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1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1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1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</v>
      </c>
      <c r="F27" s="13">
        <f t="shared" si="2"/>
        <v>2</v>
      </c>
      <c r="G27" s="13">
        <f t="shared" si="2"/>
        <v>17.149999999999999</v>
      </c>
      <c r="H27" s="13">
        <f t="shared" si="2"/>
        <v>39.900000000000006</v>
      </c>
      <c r="I27" s="13">
        <f t="shared" si="2"/>
        <v>16.93</v>
      </c>
      <c r="J27" s="13">
        <f t="shared" si="2"/>
        <v>0</v>
      </c>
      <c r="K27" s="13">
        <f t="shared" si="2"/>
        <v>0</v>
      </c>
      <c r="L27" s="13">
        <f t="shared" si="2"/>
        <v>247.85000000000005</v>
      </c>
      <c r="M27" s="13">
        <f t="shared" si="2"/>
        <v>247.85000000000005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DATE(2015,8,12)</f>
        <v>42228</v>
      </c>
      <c r="E4" s="36">
        <f>D4+1</f>
        <v>42229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VLOOKUP($B7,'1208'!$B7:$N26,12,0)</f>
        <v>92</v>
      </c>
      <c r="E7" s="10">
        <v>30</v>
      </c>
      <c r="F7" s="10">
        <v>6</v>
      </c>
      <c r="G7" s="10">
        <v>40</v>
      </c>
      <c r="H7" s="11">
        <v>28</v>
      </c>
      <c r="I7" s="10">
        <v>2</v>
      </c>
      <c r="J7" s="10"/>
      <c r="K7" s="10"/>
      <c r="L7" s="14">
        <f>D7+E7-SUM(F7:K7)</f>
        <v>46</v>
      </c>
      <c r="M7" s="10">
        <f>16+30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VLOOKUP($B8,'1208'!$B8:$N27,12,0)</f>
        <v>3.9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VLOOKUP($B9,'1208'!$B9:$N28,12,0)</f>
        <v>35.700000000000003</v>
      </c>
      <c r="E9" s="10"/>
      <c r="F9" s="11"/>
      <c r="G9" s="10">
        <v>10</v>
      </c>
      <c r="H9" s="10">
        <v>8</v>
      </c>
      <c r="I9" s="10"/>
      <c r="J9" s="10"/>
      <c r="K9" s="10"/>
      <c r="L9" s="14">
        <f>D9+E9-SUM(F9:K9)</f>
        <v>17.700000000000003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VLOOKUP($B10,'1208'!$B10:$N29,12,0)</f>
        <v>10.65</v>
      </c>
      <c r="F10" s="11"/>
      <c r="G10" s="10"/>
      <c r="H10" s="10">
        <v>1.65</v>
      </c>
      <c r="I10" s="11"/>
      <c r="J10" s="10"/>
      <c r="K10" s="10"/>
      <c r="L10" s="14">
        <f>D10+E10-SUM(F10:K10)</f>
        <v>9</v>
      </c>
      <c r="M10" s="10">
        <v>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VLOOKUP($B11,'1208'!$B11:$N30,12,0)</f>
        <v>29</v>
      </c>
      <c r="E11" s="10"/>
      <c r="F11" s="11"/>
      <c r="G11" s="10">
        <v>10</v>
      </c>
      <c r="H11" s="10"/>
      <c r="I11" s="11"/>
      <c r="J11" s="10"/>
      <c r="K11" s="10"/>
      <c r="L11" s="21">
        <f>D11+E11-SUM(F11:K11)</f>
        <v>19</v>
      </c>
      <c r="M11" s="17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VLOOKUP($B12,'1208'!$B12:$N31,12,0)</f>
        <v>6.5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4.5</v>
      </c>
      <c r="M12" s="10">
        <v>4.5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VLOOKUP($B14,'1208'!$B14:$N33,12,0)</f>
        <v>5.75</v>
      </c>
      <c r="E14" s="10">
        <v>7.35</v>
      </c>
      <c r="F14" s="11"/>
      <c r="G14" s="10"/>
      <c r="H14" s="10"/>
      <c r="I14" s="11"/>
      <c r="J14" s="10"/>
      <c r="K14" s="10"/>
      <c r="L14" s="14">
        <f t="shared" si="1"/>
        <v>13.1</v>
      </c>
      <c r="M14" s="10">
        <f>5.75+7.35</f>
        <v>13.1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VLOOKUP($B15,'1208'!$B15:$N34,12,0)</f>
        <v>10.55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8.5500000000000007</v>
      </c>
      <c r="M15" s="23">
        <v>8.5500000000000007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VLOOKUP($B16,'1208'!$B16:$N35,12,0)</f>
        <v>18.700000000000003</v>
      </c>
      <c r="E16" s="10"/>
      <c r="F16" s="11"/>
      <c r="G16" s="10"/>
      <c r="H16" s="10"/>
      <c r="I16" s="10"/>
      <c r="J16" s="10"/>
      <c r="K16" s="10"/>
      <c r="L16" s="14">
        <f t="shared" si="1"/>
        <v>18.700000000000003</v>
      </c>
      <c r="M16" s="10">
        <f>4.4+14.3</f>
        <v>18.700000000000003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VLOOKUP($B18,'1208'!$B18:$N37,12,0)</f>
        <v>6</v>
      </c>
      <c r="E18" s="10"/>
      <c r="F18" s="11"/>
      <c r="G18" s="10"/>
      <c r="H18" s="10"/>
      <c r="I18" s="10"/>
      <c r="J18" s="10"/>
      <c r="K18" s="10"/>
      <c r="L18" s="14">
        <f t="shared" si="1"/>
        <v>6</v>
      </c>
      <c r="M18" s="10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VLOOKUP($B20,'1208'!$B20:$N39,12,0)</f>
        <v>14.5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VLOOKUP($B21,'1208'!$B21:$N40,12,0)</f>
        <v>8.4</v>
      </c>
      <c r="E21" s="12">
        <v>10.15</v>
      </c>
      <c r="F21" s="12"/>
      <c r="G21" s="12">
        <v>3.9</v>
      </c>
      <c r="H21" s="11">
        <v>1.5</v>
      </c>
      <c r="I21" s="12"/>
      <c r="J21" s="12"/>
      <c r="K21" s="12"/>
      <c r="L21" s="14">
        <f t="shared" si="1"/>
        <v>13.15</v>
      </c>
      <c r="M21" s="12">
        <f>3+10.15</f>
        <v>13.15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VLOOKUP($B22,'1208'!$B22:$N41,12,0)</f>
        <v>6.2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4.7</v>
      </c>
      <c r="M22" s="12">
        <f>3.6+1.1</f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47.5</v>
      </c>
      <c r="F27" s="13">
        <f t="shared" si="2"/>
        <v>6</v>
      </c>
      <c r="G27" s="13">
        <f>SUM(G7:G26)</f>
        <v>71.900000000000006</v>
      </c>
      <c r="H27" s="13">
        <f>SUM(H7:H26)</f>
        <v>44.15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171.29999999999998</v>
      </c>
      <c r="M27" s="13">
        <f t="shared" si="2"/>
        <v>171.29999999999998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DATE(2015,8,13)</f>
        <v>42229</v>
      </c>
      <c r="E4" s="36">
        <f>D4+1</f>
        <v>42230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VLOOKUP($B7,'1308'!$B7:$N26,12,0)</f>
        <v>46</v>
      </c>
      <c r="E7" s="10">
        <v>40</v>
      </c>
      <c r="F7" s="10">
        <f>6+8</f>
        <v>14</v>
      </c>
      <c r="G7" s="10">
        <v>40</v>
      </c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VLOOKUP($B8,'1308'!$B8:$N27,12,0)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VLOOKUP($B9,'1308'!$B9:$N28,12,0)</f>
        <v>17.7</v>
      </c>
      <c r="E9" s="10">
        <v>17.600000000000001</v>
      </c>
      <c r="F9" s="11"/>
      <c r="G9" s="10">
        <v>12</v>
      </c>
      <c r="H9" s="10"/>
      <c r="I9" s="10"/>
      <c r="J9" s="10"/>
      <c r="K9" s="10"/>
      <c r="L9" s="14">
        <f>D9+E9-SUM(F9:K9)</f>
        <v>23.299999999999997</v>
      </c>
      <c r="M9" s="16">
        <f>5.7+17.6</f>
        <v>23.3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VLOOKUP($B10,'1308'!$B10:$N29,12,0)</f>
        <v>9</v>
      </c>
      <c r="F10" s="11"/>
      <c r="G10" s="10">
        <v>3</v>
      </c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VLOOKUP($B11,'1308'!$B11:$N30,12,0)</f>
        <v>19</v>
      </c>
      <c r="E11" s="10">
        <v>23.78</v>
      </c>
      <c r="F11" s="11"/>
      <c r="G11" s="10">
        <v>12</v>
      </c>
      <c r="H11" s="10"/>
      <c r="I11" s="11"/>
      <c r="J11" s="10"/>
      <c r="K11" s="10"/>
      <c r="L11" s="21">
        <f>D11+E11-SUM(F11:K11)</f>
        <v>30.78</v>
      </c>
      <c r="M11" s="17">
        <f>7+23.78</f>
        <v>30.78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VLOOKUP($B12,'1308'!$B12:$N31,12,0)</f>
        <v>4.5</v>
      </c>
      <c r="E12" s="10">
        <f>11.5+0.65</f>
        <v>12.15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15.649999999999999</v>
      </c>
      <c r="M12" s="10">
        <f>3.5+12.15</f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VLOOKUP($B13,'1308'!$B13:$N32,12,0)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VLOOKUP($B14,'1308'!$B14:$N33,12,0)</f>
        <v>13.1</v>
      </c>
      <c r="E14" s="10"/>
      <c r="F14" s="11"/>
      <c r="G14" s="10">
        <v>4.5</v>
      </c>
      <c r="H14" s="10"/>
      <c r="I14" s="11"/>
      <c r="J14" s="10"/>
      <c r="K14" s="10"/>
      <c r="L14" s="14">
        <f t="shared" si="1"/>
        <v>8.6</v>
      </c>
      <c r="M14" s="10">
        <f>5+3.6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VLOOKUP($B15,'1308'!$B15:$N34,12,0)</f>
        <v>8.5500000000000007</v>
      </c>
      <c r="E15" s="10"/>
      <c r="F15" s="11"/>
      <c r="G15" s="10">
        <v>4.5</v>
      </c>
      <c r="H15" s="10"/>
      <c r="I15" s="10"/>
      <c r="J15" s="10"/>
      <c r="K15" s="10"/>
      <c r="L15" s="14">
        <f t="shared" si="1"/>
        <v>4.0500000000000007</v>
      </c>
      <c r="M15" s="23">
        <v>4.05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VLOOKUP($B16,'1308'!$B16:$N35,12,0)</f>
        <v>18.700000000000003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15.700000000000003</v>
      </c>
      <c r="M16" s="10">
        <f>14.3+1.4</f>
        <v>15.700000000000001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VLOOKUP($B18,'1308'!$B18:$N37,12,0)</f>
        <v>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</v>
      </c>
      <c r="M18" s="10">
        <v>3.9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VLOOKUP($B20,'1308'!$B20:$N39,12,0)</f>
        <v>8.5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VLOOKUP($B21,'1308'!$B21:$N40,12,0)</f>
        <v>13.15</v>
      </c>
      <c r="E21" s="12"/>
      <c r="F21" s="12"/>
      <c r="G21" s="12">
        <v>4.1500000000000004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96.03</v>
      </c>
      <c r="F27" s="13">
        <f t="shared" si="2"/>
        <v>14</v>
      </c>
      <c r="G27" s="13">
        <f>SUM(G7:G26)</f>
        <v>89.25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164.07999999999998</v>
      </c>
      <c r="M27" s="13">
        <f t="shared" si="2"/>
        <v>164.07999999999998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DATE(2015,8,14)</f>
        <v>42230</v>
      </c>
      <c r="E4" s="36">
        <f>D4+1</f>
        <v>42231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VLOOKUP($B7,'1408'!$B7:$N26,12,0)</f>
        <v>32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60</v>
      </c>
      <c r="M7" s="10">
        <f>30+30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VLOOKUP($B8,'1408'!$B8:$N27,12,0)</f>
        <v>2.4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1.2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VLOOKUP($B9,'1408'!$B9:$N28,12,0)</f>
        <v>23.3</v>
      </c>
      <c r="E9" s="10"/>
      <c r="F9" s="11"/>
      <c r="G9" s="10">
        <v>1.2</v>
      </c>
      <c r="H9" s="10"/>
      <c r="I9" s="10"/>
      <c r="J9" s="10"/>
      <c r="K9" s="10"/>
      <c r="L9" s="14">
        <f>D9+E9-SUM(F9:K9)</f>
        <v>22.1</v>
      </c>
      <c r="M9" s="16">
        <f>17.6+4.5</f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VLOOKUP($B11,'1408'!$B11:$N30,12,0)</f>
        <v>30.78</v>
      </c>
      <c r="E11" s="10"/>
      <c r="F11" s="11"/>
      <c r="G11" s="10">
        <v>4</v>
      </c>
      <c r="H11" s="10"/>
      <c r="I11" s="11"/>
      <c r="J11" s="10"/>
      <c r="K11" s="10"/>
      <c r="L11" s="21">
        <f>D11+E11-SUM(F11:K11)</f>
        <v>26.78</v>
      </c>
      <c r="M11" s="17"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VLOOKUP($B12,'1408'!$B12:$N31,12,0)</f>
        <v>15.65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13.65</v>
      </c>
      <c r="M12" s="10">
        <f>12.15+1.5</f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VLOOKUP($B13,'1408'!$B13:$N32,12,0)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1"/>
        <v>8.6</v>
      </c>
      <c r="M14" s="10"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VLOOKUP($B15,'1408'!$B15:$N34,12,0)</f>
        <v>4.05</v>
      </c>
      <c r="E15" s="10">
        <v>8.6999999999999993</v>
      </c>
      <c r="F15" s="11"/>
      <c r="G15" s="10"/>
      <c r="H15" s="10"/>
      <c r="I15" s="10"/>
      <c r="J15" s="10"/>
      <c r="K15" s="10"/>
      <c r="L15" s="14">
        <f t="shared" si="1"/>
        <v>12.75</v>
      </c>
      <c r="M15" s="23">
        <f>4.05+8.7</f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VLOOKUP($B16,'1408'!$B16:$N35,12,0)</f>
        <v>15.700000000000001</v>
      </c>
      <c r="E16" s="10">
        <v>14.1</v>
      </c>
      <c r="F16" s="11"/>
      <c r="G16" s="10"/>
      <c r="H16" s="10"/>
      <c r="I16" s="10"/>
      <c r="J16" s="10"/>
      <c r="K16" s="10"/>
      <c r="L16" s="14">
        <f t="shared" si="1"/>
        <v>29.8</v>
      </c>
      <c r="M16" s="10">
        <f>15.7+14.1</f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VLOOKUP($B18,'1408'!$B18:$N37,12,0)</f>
        <v>3.9</v>
      </c>
      <c r="E18" s="10"/>
      <c r="F18" s="11">
        <v>1.8</v>
      </c>
      <c r="G18" s="10"/>
      <c r="H18" s="10"/>
      <c r="I18" s="10"/>
      <c r="J18" s="10"/>
      <c r="K18" s="10"/>
      <c r="L18" s="14">
        <f t="shared" si="1"/>
        <v>2.0999999999999996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VLOOKUP($B20,'1408'!$B20:$N39,12,0)</f>
        <v>5.5</v>
      </c>
      <c r="E20" s="12">
        <v>12.65</v>
      </c>
      <c r="F20" s="12"/>
      <c r="G20" s="12">
        <v>1</v>
      </c>
      <c r="H20" s="11"/>
      <c r="I20" s="12"/>
      <c r="J20" s="12"/>
      <c r="K20" s="12"/>
      <c r="L20" s="14">
        <f t="shared" si="1"/>
        <v>17.149999999999999</v>
      </c>
      <c r="M20" s="12">
        <f>4.5+12.65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65.45</v>
      </c>
      <c r="F27" s="13">
        <f t="shared" si="2"/>
        <v>4.3</v>
      </c>
      <c r="G27" s="13">
        <f>SUM(G7:G26)</f>
        <v>9.4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213.83</v>
      </c>
      <c r="M27" s="13">
        <f t="shared" si="2"/>
        <v>213.82999999999998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DATE(2015,8,15)</f>
        <v>42231</v>
      </c>
      <c r="E4" s="36">
        <f>D4+1</f>
        <v>42232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3">
        <f>D7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VLOOKUP($B8,'1508'!$B8:$N27,12,0)</f>
        <v>1.2</v>
      </c>
      <c r="E8" s="10"/>
      <c r="F8" s="11"/>
      <c r="G8" s="10"/>
      <c r="H8" s="10"/>
      <c r="I8" s="10"/>
      <c r="J8" s="10"/>
      <c r="K8" s="10"/>
      <c r="L8" s="14">
        <f>D8+E8-SUM(F8:K8)</f>
        <v>1.2</v>
      </c>
      <c r="M8" s="13">
        <f t="shared" ref="M8:M12" si="1">D8</f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VLOOKUP($B9,'1508'!$B9:$N28,12,0)</f>
        <v>22.1</v>
      </c>
      <c r="E9" s="10"/>
      <c r="F9" s="11"/>
      <c r="G9" s="10"/>
      <c r="H9" s="10"/>
      <c r="I9" s="10"/>
      <c r="J9" s="10"/>
      <c r="K9" s="10"/>
      <c r="L9" s="14">
        <f>D9+E9-SUM(F9:K9)</f>
        <v>22.1</v>
      </c>
      <c r="M9" s="13">
        <f t="shared" si="1"/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3">
        <f t="shared" si="1"/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VLOOKUP($B11,'1508'!$B11:$N30,12,0)</f>
        <v>26.78</v>
      </c>
      <c r="E11" s="10"/>
      <c r="F11" s="11"/>
      <c r="G11" s="10"/>
      <c r="H11" s="10"/>
      <c r="I11" s="11"/>
      <c r="J11" s="10"/>
      <c r="K11" s="10"/>
      <c r="L11" s="21">
        <f>D11+E11-SUM(F11:K11)</f>
        <v>26.78</v>
      </c>
      <c r="M11" s="13">
        <f t="shared" si="1"/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VLOOKUP($B12,'1508'!$B12:$N31,12,0)</f>
        <v>13.65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13.65</v>
      </c>
      <c r="M12" s="13">
        <f t="shared" si="1"/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2"/>
        <v>8.6</v>
      </c>
      <c r="M14" s="13">
        <f t="shared" ref="M14:M22" si="3">D14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VLOOKUP($B15,'1508'!$B15:$N34,12,0)</f>
        <v>12.75</v>
      </c>
      <c r="E15" s="10"/>
      <c r="F15" s="11"/>
      <c r="G15" s="10"/>
      <c r="H15" s="10"/>
      <c r="I15" s="10"/>
      <c r="J15" s="10"/>
      <c r="K15" s="10"/>
      <c r="L15" s="14">
        <f t="shared" si="2"/>
        <v>12.75</v>
      </c>
      <c r="M15" s="13">
        <f t="shared" si="3"/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VLOOKUP($B16,'1508'!$B16:$N35,12,0)</f>
        <v>29.799999999999997</v>
      </c>
      <c r="E16" s="10"/>
      <c r="F16" s="11"/>
      <c r="G16" s="10"/>
      <c r="H16" s="10"/>
      <c r="I16" s="10"/>
      <c r="J16" s="10"/>
      <c r="K16" s="10"/>
      <c r="L16" s="14">
        <f t="shared" si="2"/>
        <v>29.799999999999997</v>
      </c>
      <c r="M16" s="13">
        <f t="shared" si="3"/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VLOOKUP($B18,'1508'!$B18:$N37,12,0)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2"/>
        <v>2.1</v>
      </c>
      <c r="M18" s="13">
        <f t="shared" si="3"/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2"/>
        <v>17.149999999999999</v>
      </c>
      <c r="M20" s="13">
        <f t="shared" si="3"/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2"/>
        <v>9</v>
      </c>
      <c r="M21" s="13">
        <f t="shared" si="3"/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2"/>
        <v>4.7</v>
      </c>
      <c r="M22" s="13">
        <f t="shared" si="3"/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213.82999999999998</v>
      </c>
      <c r="M27" s="13">
        <f t="shared" si="4"/>
        <v>213.82999999999998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DATE(2015,8,16)</f>
        <v>42232</v>
      </c>
      <c r="E4" s="36">
        <f>D4+1</f>
        <v>42233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VLOOKUP($B7,'1608'!$B7:$N26,12,0)</f>
        <v>60</v>
      </c>
      <c r="E7" s="10">
        <v>40</v>
      </c>
      <c r="F7" s="10">
        <v>4</v>
      </c>
      <c r="G7" s="10">
        <v>12</v>
      </c>
      <c r="H7" s="11">
        <v>10</v>
      </c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VLOOKUP($B8,'1608'!$B8:$N27,12,0)</f>
        <v>1.2</v>
      </c>
      <c r="E8" s="10">
        <v>5.8</v>
      </c>
      <c r="F8" s="11"/>
      <c r="G8" s="10"/>
      <c r="H8" s="10"/>
      <c r="I8" s="10"/>
      <c r="J8" s="10"/>
      <c r="K8" s="10"/>
      <c r="L8" s="14">
        <f>D8+E8-SUM(F8:K8)</f>
        <v>7</v>
      </c>
      <c r="M8" s="10">
        <f>1.2+5.8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VLOOKUP($B9,'1608'!$B9:$N28,12,0)</f>
        <v>22.1</v>
      </c>
      <c r="E9" s="10">
        <v>17.5</v>
      </c>
      <c r="F9" s="11">
        <v>5</v>
      </c>
      <c r="G9" s="10">
        <v>2</v>
      </c>
      <c r="H9" s="10">
        <v>5.0999999999999996</v>
      </c>
      <c r="I9" s="10"/>
      <c r="J9" s="10"/>
      <c r="K9" s="10"/>
      <c r="L9" s="14">
        <f>D9+E9-SUM(F9:K9)</f>
        <v>27.5</v>
      </c>
      <c r="M9" s="16">
        <f>10+17.5</f>
        <v>27.5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VLOOKUP($B10,'1608'!$B10:$N29,12,0)</f>
        <v>6</v>
      </c>
      <c r="F10" s="11"/>
      <c r="G10" s="10">
        <v>1.2</v>
      </c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VLOOKUP($B11,'1608'!$B11:$N30,12,0)</f>
        <v>26.78</v>
      </c>
      <c r="E11" s="10"/>
      <c r="F11" s="11">
        <v>5</v>
      </c>
      <c r="G11" s="10">
        <v>3.78</v>
      </c>
      <c r="H11" s="10">
        <v>5</v>
      </c>
      <c r="I11" s="11"/>
      <c r="J11" s="10"/>
      <c r="K11" s="10"/>
      <c r="L11" s="21">
        <f>D11+E11-SUM(F11:K11)</f>
        <v>13.000000000000002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VLOOKUP($B12,'1608'!$B12:$N31,12,0)</f>
        <v>13.65</v>
      </c>
      <c r="E12" s="10"/>
      <c r="F12" s="11">
        <v>3</v>
      </c>
      <c r="G12" s="10">
        <v>1.5</v>
      </c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VLOOKUP($B14,'1608'!$B14:$N33,12,0)</f>
        <v>8.6</v>
      </c>
      <c r="E14" s="10"/>
      <c r="F14" s="11">
        <v>0.75</v>
      </c>
      <c r="G14" s="10">
        <v>1.85</v>
      </c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VLOOKUP($B15,'1608'!$B15:$N34,12,0)</f>
        <v>12.75</v>
      </c>
      <c r="E15" s="10"/>
      <c r="F15" s="11">
        <v>1</v>
      </c>
      <c r="G15" s="10">
        <v>2.0499999999999998</v>
      </c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VLOOKUP($B16,'1608'!$B16:$N35,12,0)</f>
        <v>29.799999999999997</v>
      </c>
      <c r="E16" s="10">
        <v>15.25</v>
      </c>
      <c r="F16" s="11">
        <v>2.9</v>
      </c>
      <c r="G16" s="10">
        <v>5</v>
      </c>
      <c r="H16" s="10">
        <v>9.9</v>
      </c>
      <c r="I16" s="10"/>
      <c r="J16" s="10"/>
      <c r="K16" s="10"/>
      <c r="L16" s="14">
        <f t="shared" si="1"/>
        <v>27.249999999999996</v>
      </c>
      <c r="M16" s="10">
        <f>12+15.25</f>
        <v>27.25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VLOOKUP($B18,'1608'!$B18:$N37,12,0)</f>
        <v>2.1</v>
      </c>
      <c r="E18" s="10">
        <v>10.3</v>
      </c>
      <c r="F18" s="11"/>
      <c r="G18" s="10">
        <v>1.2</v>
      </c>
      <c r="H18" s="10"/>
      <c r="I18" s="10"/>
      <c r="J18" s="10"/>
      <c r="K18" s="10"/>
      <c r="L18" s="14">
        <f t="shared" si="1"/>
        <v>11.200000000000001</v>
      </c>
      <c r="M18" s="10">
        <f>0.9+10.3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VLOOKUP($B21,'1608'!$B21:$N40,12,0)</f>
        <v>9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VLOOKUP($B22,'1608'!$B22:$N41,12,0)</f>
        <v>4.7</v>
      </c>
      <c r="E22" s="10"/>
      <c r="F22" s="10"/>
      <c r="G22" s="12">
        <v>1.4</v>
      </c>
      <c r="H22" s="11"/>
      <c r="I22" s="12"/>
      <c r="J22" s="12"/>
      <c r="K22" s="12"/>
      <c r="L22" s="14">
        <f t="shared" si="1"/>
        <v>3.3000000000000003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88.85</v>
      </c>
      <c r="F27" s="13">
        <f t="shared" si="2"/>
        <v>23.75</v>
      </c>
      <c r="G27" s="13">
        <f>SUM(G7:G26)</f>
        <v>31.98</v>
      </c>
      <c r="H27" s="13">
        <f>SUM(H7:H26)</f>
        <v>30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216.95</v>
      </c>
      <c r="M27" s="13">
        <f t="shared" si="2"/>
        <v>216.95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DATE(2015,4,13)</f>
        <v>42107</v>
      </c>
      <c r="E4" s="36">
        <f>D4+1</f>
        <v>42108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VLOOKUP($B7,'1304'!$B7:$N26,12,0)</f>
        <v>28</v>
      </c>
      <c r="E7" s="10">
        <v>60</v>
      </c>
      <c r="F7" s="10">
        <v>16</v>
      </c>
      <c r="G7" s="10">
        <v>12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VLOOKUP($B8,'1304'!$B8:$N27,12,0)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VLOOKUP($B9,'1304'!$B9:$N28,12,0)</f>
        <v>12.5</v>
      </c>
      <c r="E9" s="10">
        <v>17.5</v>
      </c>
      <c r="F9" s="11">
        <v>5</v>
      </c>
      <c r="G9" s="10">
        <v>3</v>
      </c>
      <c r="H9" s="10"/>
      <c r="I9" s="10"/>
      <c r="J9" s="10"/>
      <c r="K9" s="10"/>
      <c r="L9" s="14">
        <f t="shared" si="1"/>
        <v>22</v>
      </c>
      <c r="M9" s="10">
        <v>22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VLOOKUP($B10,'1304'!$B10:$N29,12,0)</f>
        <v>9.0500000000000007</v>
      </c>
      <c r="F10" s="11">
        <v>1.2</v>
      </c>
      <c r="G10" s="10">
        <v>0.6</v>
      </c>
      <c r="H10" s="10"/>
      <c r="I10" s="11"/>
      <c r="J10" s="10"/>
      <c r="K10" s="10"/>
      <c r="L10" s="14">
        <f t="shared" si="1"/>
        <v>7.2500000000000009</v>
      </c>
      <c r="M10" s="10">
        <v>7.25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VLOOKUP($B11,'1304'!$B11:$N30,12,0)</f>
        <v>27.1</v>
      </c>
      <c r="E11" s="10"/>
      <c r="F11" s="11">
        <v>4</v>
      </c>
      <c r="G11" s="10">
        <v>2.1</v>
      </c>
      <c r="H11" s="10"/>
      <c r="I11" s="11"/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VLOOKUP($B12,'1304'!$B12:$N31,12,0)</f>
        <v>14.8</v>
      </c>
      <c r="E12" s="10"/>
      <c r="F12" s="11"/>
      <c r="G12" s="10">
        <v>1.2</v>
      </c>
      <c r="H12" s="10"/>
      <c r="I12" s="11"/>
      <c r="J12" s="10"/>
      <c r="K12" s="10"/>
      <c r="L12" s="14">
        <f t="shared" si="1"/>
        <v>13.600000000000001</v>
      </c>
      <c r="M12" s="10">
        <v>13.6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VLOOKUP($B13,'1304'!$B13:$N32,12,0)</f>
        <v>4.5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VLOOKUP($B14,'1304'!$B14:$N33,12,0)</f>
        <v>5.5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VLOOKUP($B15,'1304'!$B15:$N34,12,0)</f>
        <v>13.2</v>
      </c>
      <c r="E15" s="10"/>
      <c r="F15" s="11">
        <v>1</v>
      </c>
      <c r="G15" s="10">
        <v>1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VLOOKUP($B16,'1304'!$B16:$N35,12,0)</f>
        <v>21</v>
      </c>
      <c r="E16" s="10"/>
      <c r="F16" s="11">
        <v>1</v>
      </c>
      <c r="G16" s="10">
        <v>1</v>
      </c>
      <c r="H16" s="10"/>
      <c r="I16" s="10"/>
      <c r="J16" s="10"/>
      <c r="K16" s="10"/>
      <c r="L16" s="14">
        <f t="shared" si="1"/>
        <v>19</v>
      </c>
      <c r="M16" s="10">
        <v>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VLOOKUP($B18,'1304'!$B18:$N37,12,0)</f>
        <v>12</v>
      </c>
      <c r="E18" s="10"/>
      <c r="F18" s="11">
        <v>1.2</v>
      </c>
      <c r="G18" s="10">
        <v>1.5</v>
      </c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VLOOKUP($B20,'1304'!$B20:$N39,12,0)</f>
        <v>7.7</v>
      </c>
      <c r="E20" s="12"/>
      <c r="F20" s="12">
        <v>1.7</v>
      </c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VLOOKUP($B21,'1304'!$B21:$N40,12,0)</f>
        <v>11.3</v>
      </c>
      <c r="E21" s="12"/>
      <c r="F21" s="12"/>
      <c r="G21" s="12">
        <v>0.8</v>
      </c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VLOOKUP($B22,'1304'!$B22:$N41,12,0)</f>
        <v>4.7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3.8000000000000003</v>
      </c>
      <c r="M22" s="12">
        <v>3.8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180.04999999999998</v>
      </c>
      <c r="E27" s="13">
        <f t="shared" si="2"/>
        <v>77.5</v>
      </c>
      <c r="F27" s="13">
        <f t="shared" si="2"/>
        <v>32.1</v>
      </c>
      <c r="G27" s="13">
        <f t="shared" si="2"/>
        <v>25.599999999999998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199.85000000000002</v>
      </c>
      <c r="M27" s="13">
        <f t="shared" si="2"/>
        <v>199.85000000000002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0" priority="1" stopIfTrue="1" operator="lessThan">
      <formula>0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DATE(2015,8,17)</f>
        <v>42233</v>
      </c>
      <c r="E4" s="36">
        <f>D4+1</f>
        <v>42234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VLOOKUP($B7,'1708'!$B7:$N26,12,0)</f>
        <v>74</v>
      </c>
      <c r="E7" s="10">
        <v>40</v>
      </c>
      <c r="F7" s="10">
        <v>16</v>
      </c>
      <c r="G7" s="10">
        <v>14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VLOOKUP($B8,'1708'!$B8:$N27,12,0)</f>
        <v>7</v>
      </c>
      <c r="E8" s="10"/>
      <c r="F8" s="11"/>
      <c r="G8" s="10"/>
      <c r="H8" s="10"/>
      <c r="I8" s="10"/>
      <c r="J8" s="10"/>
      <c r="K8" s="10"/>
      <c r="L8" s="14">
        <f>D8+E8-SUM(F8:K8)</f>
        <v>7</v>
      </c>
      <c r="M8" s="10">
        <f>5.8+1.2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VLOOKUP($B9,'1708'!$B9:$N28,12,0)</f>
        <v>27.5</v>
      </c>
      <c r="E9" s="10"/>
      <c r="F9" s="11"/>
      <c r="G9" s="10">
        <v>2.5</v>
      </c>
      <c r="H9" s="10"/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VLOOKUP($B10,'1708'!$B10:$N29,12,0)</f>
        <v>4.8</v>
      </c>
      <c r="F10" s="11"/>
      <c r="G10" s="10">
        <v>3</v>
      </c>
      <c r="H10" s="10"/>
      <c r="I10" s="11"/>
      <c r="J10" s="10"/>
      <c r="K10" s="10"/>
      <c r="L10" s="14">
        <f>D10+E10-SUM(F10:K10)</f>
        <v>1.7999999999999998</v>
      </c>
      <c r="M10" s="10">
        <v>1.8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VLOOKUP($B11,'1708'!$B11:$N30,12,0)</f>
        <v>13</v>
      </c>
      <c r="E11" s="10">
        <f>24.22</f>
        <v>24.22</v>
      </c>
      <c r="F11" s="11"/>
      <c r="G11" s="10">
        <v>3.5</v>
      </c>
      <c r="H11" s="10"/>
      <c r="I11" s="11"/>
      <c r="J11" s="10"/>
      <c r="K11" s="10"/>
      <c r="L11" s="21">
        <f>D11+E11-SUM(F11:K11)</f>
        <v>33.72</v>
      </c>
      <c r="M11" s="17">
        <f>9.5+24.22</f>
        <v>33.72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VLOOKUP($B12,'1708'!$B12:$N31,12,0)</f>
        <v>9.15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VLOOKUP($B14,'1708'!$B14:$N33,12,0)</f>
        <v>6</v>
      </c>
      <c r="E14" s="10"/>
      <c r="F14" s="11"/>
      <c r="G14" s="10"/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VLOOKUP($B15,'1708'!$B15:$N34,12,0)</f>
        <v>9.6999999999999993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VLOOKUP($B16,'1708'!$B16:$N35,12,0)</f>
        <v>27.25</v>
      </c>
      <c r="E16" s="10">
        <v>15</v>
      </c>
      <c r="F16" s="11"/>
      <c r="G16" s="10">
        <v>2</v>
      </c>
      <c r="H16" s="10"/>
      <c r="I16" s="10"/>
      <c r="J16" s="10"/>
      <c r="K16" s="10"/>
      <c r="L16" s="14">
        <f t="shared" si="1"/>
        <v>40.25</v>
      </c>
      <c r="M16" s="10">
        <f>15+25.25</f>
        <v>40.25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VLOOKUP($B18,'1708'!$B18:$N37,12,0)</f>
        <v>11.200000000000001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11.200000000000001</v>
      </c>
      <c r="M18" s="10">
        <f>10.3+0.9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VLOOKUP($B21,'1708'!$B21:$N40,12,0)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79.22</v>
      </c>
      <c r="F27" s="13">
        <f t="shared" si="2"/>
        <v>16</v>
      </c>
      <c r="G27" s="13">
        <f>SUM(G7:G26)</f>
        <v>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255.17</v>
      </c>
      <c r="M27" s="13">
        <f t="shared" si="2"/>
        <v>255.17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DATE(2015,8,18)</f>
        <v>42234</v>
      </c>
      <c r="E4" s="36">
        <f>D4+1</f>
        <v>42235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32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VLOOKUP($B7,'1808'!$B7:$N26,12,0)</f>
        <v>84</v>
      </c>
      <c r="E7" s="10">
        <v>40</v>
      </c>
      <c r="F7" s="10">
        <v>10</v>
      </c>
      <c r="G7" s="10">
        <v>10</v>
      </c>
      <c r="H7" s="11">
        <v>10</v>
      </c>
      <c r="I7" s="10">
        <v>20</v>
      </c>
      <c r="J7" s="10"/>
      <c r="K7" s="10"/>
      <c r="L7" s="14">
        <f>D7+E7-SUM(F7:K7)</f>
        <v>74</v>
      </c>
      <c r="M7" s="10">
        <f>34+40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VLOOKUP($B8,'1808'!$B8:$N27,12,0)</f>
        <v>7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6.1</v>
      </c>
      <c r="M8" s="10">
        <v>6.1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VLOOKUP($B9,'1808'!$B9:$N28,12,0)</f>
        <v>25</v>
      </c>
      <c r="E9" s="10">
        <v>18.3</v>
      </c>
      <c r="F9" s="11"/>
      <c r="G9" s="10">
        <v>2</v>
      </c>
      <c r="H9" s="10">
        <v>3</v>
      </c>
      <c r="I9" s="10"/>
      <c r="J9" s="10"/>
      <c r="K9" s="10"/>
      <c r="L9" s="14">
        <f>D9+E9-SUM(F9:K9)</f>
        <v>38.299999999999997</v>
      </c>
      <c r="M9" s="16">
        <f>20+18.3</f>
        <v>38.299999999999997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VLOOKUP($B10,'1808'!$B10:$N29,12,0)</f>
        <v>1.8</v>
      </c>
      <c r="E10">
        <v>10.85</v>
      </c>
      <c r="F10" s="11"/>
      <c r="G10" s="10"/>
      <c r="H10" s="10"/>
      <c r="I10" s="11"/>
      <c r="J10" s="10"/>
      <c r="K10" s="10"/>
      <c r="L10" s="14">
        <f>D10+E10-SUM(F10:K10)</f>
        <v>12.65</v>
      </c>
      <c r="M10" s="10">
        <f>1.8+10.85</f>
        <v>12.65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VLOOKUP($B11,'1808'!$B11:$N30,12,0)</f>
        <v>33.72</v>
      </c>
      <c r="E11" s="10"/>
      <c r="F11" s="11"/>
      <c r="G11" s="10">
        <v>2</v>
      </c>
      <c r="H11" s="10">
        <v>3</v>
      </c>
      <c r="I11" s="11"/>
      <c r="J11" s="10"/>
      <c r="K11" s="10"/>
      <c r="L11" s="21">
        <f>D11+E11-SUM(F11:K11)</f>
        <v>28.72</v>
      </c>
      <c r="M11" s="17">
        <f>24.22+4.5</f>
        <v>28.72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VLOOKUP($B12,'1808'!$B12:$N31,12,0)</f>
        <v>9.15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7.15</v>
      </c>
      <c r="M12" s="10">
        <v>7.15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VLOOKUP($B14,'1808'!$B14:$N33,12,0)</f>
        <v>6</v>
      </c>
      <c r="E14" s="10">
        <v>7.3</v>
      </c>
      <c r="F14" s="11"/>
      <c r="G14" s="10"/>
      <c r="H14" s="10"/>
      <c r="I14" s="11">
        <v>1</v>
      </c>
      <c r="J14" s="10"/>
      <c r="K14" s="10"/>
      <c r="L14" s="14">
        <f t="shared" si="1"/>
        <v>12.3</v>
      </c>
      <c r="M14" s="10">
        <f>5+7.3</f>
        <v>12.3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VLOOKUP($B15,'1808'!$B15:$N34,12,0)</f>
        <v>9.6999999999999993</v>
      </c>
      <c r="E15" s="10"/>
      <c r="F15" s="11"/>
      <c r="G15" s="10"/>
      <c r="H15" s="10"/>
      <c r="I15" s="10">
        <v>1</v>
      </c>
      <c r="J15" s="10"/>
      <c r="K15" s="10"/>
      <c r="L15" s="14">
        <f t="shared" si="1"/>
        <v>8.6999999999999993</v>
      </c>
      <c r="M15" s="23">
        <v>8.6999999999999993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VLOOKUP($B16,'1808'!$B16:$N35,12,0)</f>
        <v>40.25</v>
      </c>
      <c r="E16" s="10">
        <v>13.75</v>
      </c>
      <c r="F16" s="11"/>
      <c r="G16" s="10"/>
      <c r="H16" s="10"/>
      <c r="I16" s="10">
        <v>30.25</v>
      </c>
      <c r="J16" s="10"/>
      <c r="K16" s="10"/>
      <c r="L16" s="14">
        <f t="shared" si="1"/>
        <v>23.75</v>
      </c>
      <c r="M16" s="10">
        <f>10+13.75</f>
        <v>23.75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VLOOKUP($B18,'1808'!$B18:$N37,12,0)</f>
        <v>11.200000000000001</v>
      </c>
      <c r="E18" s="10"/>
      <c r="F18" s="11"/>
      <c r="G18" s="10"/>
      <c r="H18" s="10">
        <v>0.9</v>
      </c>
      <c r="I18" s="10">
        <v>1.5</v>
      </c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VLOOKUP($B20,'1808'!$B20:$N39,12,0)</f>
        <v>17.149999999999999</v>
      </c>
      <c r="E20" s="12"/>
      <c r="F20" s="12"/>
      <c r="G20" s="12">
        <v>1.5</v>
      </c>
      <c r="H20" s="11">
        <v>1</v>
      </c>
      <c r="I20" s="12">
        <v>1.5</v>
      </c>
      <c r="J20" s="12"/>
      <c r="K20" s="12"/>
      <c r="L20" s="14">
        <f t="shared" si="1"/>
        <v>13.149999999999999</v>
      </c>
      <c r="M20" s="12">
        <v>13.15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VLOOKUP($B21,'1808'!$B21:$N40,12,0)</f>
        <v>6.9</v>
      </c>
      <c r="E21" s="12"/>
      <c r="F21" s="12"/>
      <c r="G21" s="12"/>
      <c r="H21" s="11">
        <v>1.2</v>
      </c>
      <c r="I21" s="12">
        <v>1.2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90.199999999999989</v>
      </c>
      <c r="F27" s="13">
        <f t="shared" si="2"/>
        <v>10</v>
      </c>
      <c r="G27" s="13">
        <f>SUM(G7:G26)</f>
        <v>18.399999999999999</v>
      </c>
      <c r="H27" s="13">
        <f>SUM(H7:H26)</f>
        <v>19.099999999999998</v>
      </c>
      <c r="I27" s="13">
        <f t="shared" si="2"/>
        <v>56.45</v>
      </c>
      <c r="J27" s="13">
        <f t="shared" si="2"/>
        <v>0</v>
      </c>
      <c r="K27" s="13">
        <f t="shared" si="2"/>
        <v>0</v>
      </c>
      <c r="L27" s="13">
        <f t="shared" si="2"/>
        <v>241.42000000000002</v>
      </c>
      <c r="M27" s="13">
        <f t="shared" si="2"/>
        <v>241.42000000000002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DATE(2015,8,19)</f>
        <v>42235</v>
      </c>
      <c r="E4" s="36">
        <f>D4+1</f>
        <v>42236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VLOOKUP($B7,'1908'!$B7:$N26,12,0)</f>
        <v>74</v>
      </c>
      <c r="E7" s="10">
        <v>40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60</v>
      </c>
      <c r="M7" s="10">
        <f>20+40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VLOOKUP($B8,'1908'!$B8:$N27,12,0)</f>
        <v>6.1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5.1999999999999993</v>
      </c>
      <c r="M8" s="10">
        <f>2.8+2.4</f>
        <v>5.1999999999999993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VLOOKUP($B9,'1908'!$B9:$N28,12,0)</f>
        <v>38.299999999999997</v>
      </c>
      <c r="E9" s="10">
        <v>17.75</v>
      </c>
      <c r="F9" s="11"/>
      <c r="G9" s="10">
        <v>8</v>
      </c>
      <c r="H9" s="10">
        <v>7</v>
      </c>
      <c r="I9" s="10"/>
      <c r="J9" s="10"/>
      <c r="K9" s="10"/>
      <c r="L9" s="14">
        <f>D9+E9-SUM(F9:K9)</f>
        <v>41.05</v>
      </c>
      <c r="M9" s="16">
        <f>23.3+17.75</f>
        <v>41.05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VLOOKUP($B10,'1908'!$B10:$N29,12,0)</f>
        <v>12.65</v>
      </c>
      <c r="F10" s="11"/>
      <c r="G10" s="10"/>
      <c r="H10" s="10">
        <v>1.5</v>
      </c>
      <c r="I10" s="11"/>
      <c r="J10" s="10"/>
      <c r="K10" s="10"/>
      <c r="L10" s="14">
        <f>D10+E10-SUM(F10:K10)</f>
        <v>11.15</v>
      </c>
      <c r="M10" s="10">
        <f>10.8+0.35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VLOOKUP($B11,'1908'!$B11:$N30,12,0)</f>
        <v>28.72</v>
      </c>
      <c r="E11" s="10"/>
      <c r="F11" s="11"/>
      <c r="G11" s="10">
        <v>10</v>
      </c>
      <c r="H11" s="10">
        <v>6</v>
      </c>
      <c r="I11" s="11"/>
      <c r="J11" s="10"/>
      <c r="K11" s="10"/>
      <c r="L11" s="21">
        <f>D11+E11-SUM(F11:K11)</f>
        <v>12.719999999999999</v>
      </c>
      <c r="M11" s="17">
        <v>12.72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VLOOKUP($B12,'1908'!$B12:$N31,12,0)</f>
        <v>7.15</v>
      </c>
      <c r="E12" s="10"/>
      <c r="F12" s="11"/>
      <c r="G12" s="10"/>
      <c r="H12" s="10">
        <v>4</v>
      </c>
      <c r="I12" s="11"/>
      <c r="J12" s="10"/>
      <c r="K12" s="10"/>
      <c r="L12" s="14">
        <f t="shared" ref="L12:L22" si="1">D12+E12-SUM(F12:K12)</f>
        <v>3.1500000000000004</v>
      </c>
      <c r="M12" s="10">
        <v>3.15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VLOOKUP($B14,'1908'!$B14:$N33,12,0)</f>
        <v>12.3</v>
      </c>
      <c r="E14" s="10"/>
      <c r="F14" s="11">
        <v>1.8</v>
      </c>
      <c r="G14" s="10"/>
      <c r="H14" s="10">
        <v>2</v>
      </c>
      <c r="I14" s="11"/>
      <c r="J14" s="10"/>
      <c r="K14" s="10"/>
      <c r="L14" s="14">
        <f t="shared" si="1"/>
        <v>8.5</v>
      </c>
      <c r="M14" s="10">
        <v>8.5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VLOOKUP($B15,'1908'!$B15:$N34,12,0)</f>
        <v>8.6999999999999993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6.6999999999999993</v>
      </c>
      <c r="M15" s="23">
        <v>6.7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VLOOKUP($B16,'1908'!$B16:$N35,12,0)</f>
        <v>23.75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20.75</v>
      </c>
      <c r="M16" s="10">
        <v>20.75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VLOOKUP($B18,'1908'!$B18:$N37,12,0)</f>
        <v>8.8000000000000007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VLOOKUP($B20,'1908'!$B20:$N39,12,0)</f>
        <v>13.15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11.15</v>
      </c>
      <c r="M20" s="12">
        <v>11.15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VLOOKUP($B21,'1908'!$B21:$N40,12,0)</f>
        <v>4.5</v>
      </c>
      <c r="E21" s="12">
        <v>10.199999999999999</v>
      </c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11.7</v>
      </c>
      <c r="M21" s="12">
        <f>1.5+10.2</f>
        <v>11.7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VLOOKUP($B22,'1908'!$B22:$N41,12,0)</f>
        <v>3.3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67.95</v>
      </c>
      <c r="F27" s="13">
        <f t="shared" si="2"/>
        <v>7.8</v>
      </c>
      <c r="G27" s="13">
        <f>SUM(G7:G26)</f>
        <v>50.9</v>
      </c>
      <c r="H27" s="13">
        <f>SUM(H7:H26)</f>
        <v>48.6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202.07</v>
      </c>
      <c r="M27" s="13">
        <f t="shared" si="2"/>
        <v>202.07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DATE(2015,8,20)</f>
        <v>42236</v>
      </c>
      <c r="E4" s="36">
        <f>D4+1</f>
        <v>42237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VLOOKUP($B7,'2008'!$B7:$N26,12,0)</f>
        <v>60</v>
      </c>
      <c r="E7" s="10">
        <v>40</v>
      </c>
      <c r="F7" s="10">
        <v>22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VLOOKUP($B8,'2008'!$B8:$N27,12,0)</f>
        <v>5.1999999999999993</v>
      </c>
      <c r="E8" s="10"/>
      <c r="F8" s="11"/>
      <c r="G8" s="10"/>
      <c r="H8" s="10"/>
      <c r="I8" s="10"/>
      <c r="J8" s="10"/>
      <c r="K8" s="10"/>
      <c r="L8" s="14">
        <f>D8+E8-SUM(F8:K8)</f>
        <v>5.1999999999999993</v>
      </c>
      <c r="M8" s="10">
        <v>5.2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VLOOKUP($B9,'2008'!$B9:$N28,12,0)</f>
        <v>41.05</v>
      </c>
      <c r="E9" s="10"/>
      <c r="F9" s="11"/>
      <c r="G9" s="10">
        <v>12</v>
      </c>
      <c r="H9" s="10"/>
      <c r="I9" s="10"/>
      <c r="J9" s="10"/>
      <c r="K9" s="10"/>
      <c r="L9" s="14">
        <f>D9+E9-SUM(F9:K9)</f>
        <v>29.049999999999997</v>
      </c>
      <c r="M9" s="16">
        <f>22.75+6.3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VLOOKUP($B10,'2008'!$B10:$N29,12,0)</f>
        <v>11.15</v>
      </c>
      <c r="F10" s="11"/>
      <c r="G10" s="10"/>
      <c r="H10" s="10"/>
      <c r="I10" s="11"/>
      <c r="J10" s="10"/>
      <c r="K10" s="10"/>
      <c r="L10" s="14">
        <f>D10+E10-SUM(F10:K10)</f>
        <v>11.15</v>
      </c>
      <c r="M10" s="10">
        <f>10.85+0.3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VLOOKUP($B11,'2008'!$B11:$N30,12,0)</f>
        <v>12.72</v>
      </c>
      <c r="E11" s="10">
        <v>24.05</v>
      </c>
      <c r="F11" s="11"/>
      <c r="G11" s="10">
        <v>4</v>
      </c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VLOOKUP($B12,'2008'!$B12:$N31,12,0)</f>
        <v>3.15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VLOOKUP($B14,'2008'!$B14:$N33,12,0)</f>
        <v>8.5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VLOOKUP($B15,'2008'!$B15:$N34,12,0)</f>
        <v>6.7</v>
      </c>
      <c r="E15" s="10">
        <v>7.45</v>
      </c>
      <c r="F15" s="11"/>
      <c r="G15" s="10">
        <v>2.2000000000000002</v>
      </c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VLOOKUP($B16,'2008'!$B16:$N35,12,0)</f>
        <v>20.75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18.75</v>
      </c>
      <c r="M16" s="10">
        <v>18.75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VLOOKUP($B18,'2008'!$B18:$N37,12,0)</f>
        <v>8.8000000000000007</v>
      </c>
      <c r="E18" s="10"/>
      <c r="F18" s="11"/>
      <c r="G18" s="10">
        <v>1.6</v>
      </c>
      <c r="H18" s="10"/>
      <c r="I18" s="10"/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VLOOKUP($B20,'2008'!$B20:$N39,12,0)</f>
        <v>11.15</v>
      </c>
      <c r="E20" s="12"/>
      <c r="F20" s="12"/>
      <c r="G20" s="12">
        <v>2.15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VLOOKUP($B21,'2008'!$B21:$N40,12,0)</f>
        <v>11.7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</v>
      </c>
      <c r="F27" s="13">
        <f t="shared" si="2"/>
        <v>22</v>
      </c>
      <c r="G27" s="13">
        <f>SUM(G7:G26)</f>
        <v>56.45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208.51999999999998</v>
      </c>
      <c r="M27" s="13">
        <f t="shared" si="2"/>
        <v>208.51999999999998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DATE(2015,8,21)</f>
        <v>42237</v>
      </c>
      <c r="E4" s="36">
        <f>D4+1</f>
        <v>42238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34</v>
      </c>
      <c r="I6" s="5" t="s">
        <v>38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VLOOKUP($B7,'2108'!$B7:$N26,12,0)</f>
        <v>48</v>
      </c>
      <c r="E7" s="10">
        <v>30</v>
      </c>
      <c r="F7" s="10">
        <v>8</v>
      </c>
      <c r="G7" s="10"/>
      <c r="H7" s="11"/>
      <c r="I7" s="10">
        <v>2</v>
      </c>
      <c r="J7" s="10">
        <v>2</v>
      </c>
      <c r="K7" s="10"/>
      <c r="L7" s="14">
        <f>D7+E7-SUM(F7:K7)</f>
        <v>66</v>
      </c>
      <c r="M7" s="10">
        <f>36+30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VLOOKUP($B8,'2108'!$B8:$N27,12,0)</f>
        <v>5.2</v>
      </c>
      <c r="E8" s="10">
        <v>6.3</v>
      </c>
      <c r="F8" s="11"/>
      <c r="G8" s="10">
        <v>1.2</v>
      </c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VLOOKUP($B9,'2108'!$B9:$N28,12,0)</f>
        <v>29.05</v>
      </c>
      <c r="E9" s="10"/>
      <c r="F9" s="11"/>
      <c r="G9" s="10">
        <v>3.05</v>
      </c>
      <c r="H9" s="10">
        <v>1</v>
      </c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VLOOKUP($B10,'2108'!$B10:$N29,12,0)</f>
        <v>11.15</v>
      </c>
      <c r="E10">
        <f>6+4.63</f>
        <v>10.629999999999999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f>10.85+0.3+10.63</f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VLOOKUP($B16,'2108'!$B16:$N35,12,0)</f>
        <v>18.75</v>
      </c>
      <c r="E16" s="10">
        <v>14.05</v>
      </c>
      <c r="F16" s="11"/>
      <c r="G16" s="10"/>
      <c r="H16" s="10"/>
      <c r="I16" s="10"/>
      <c r="J16" s="10"/>
      <c r="K16" s="10"/>
      <c r="L16" s="14">
        <f t="shared" si="1"/>
        <v>32.799999999999997</v>
      </c>
      <c r="M16" s="23">
        <f>18.75+14.05</f>
        <v>32.799999999999997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VLOOKUP($B18,'2108'!$B18:$N37,12,0)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VLOOKUP($B20,'2108'!$B20:$N39,12,0)</f>
        <v>9</v>
      </c>
      <c r="E20" s="12">
        <v>12.25</v>
      </c>
      <c r="F20" s="12"/>
      <c r="G20" s="12">
        <v>1</v>
      </c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73.22999999999999</v>
      </c>
      <c r="F27" s="13">
        <f t="shared" si="2"/>
        <v>8</v>
      </c>
      <c r="G27" s="13">
        <f>SUM(G7:G26)</f>
        <v>5.25</v>
      </c>
      <c r="H27" s="13">
        <f>SUM(H7:H26)</f>
        <v>1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263.49999999999994</v>
      </c>
      <c r="M27" s="13">
        <f t="shared" si="2"/>
        <v>263.49999999999994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DATE(2015,8,22)</f>
        <v>42238</v>
      </c>
      <c r="E4" s="36">
        <f>D4+1</f>
        <v>42239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VLOOKUP($B7,'2208'!$B7:$N26,12,0)</f>
        <v>66</v>
      </c>
      <c r="E7" s="10"/>
      <c r="F7" s="10"/>
      <c r="G7" s="10"/>
      <c r="H7" s="11"/>
      <c r="I7" s="10"/>
      <c r="J7" s="10"/>
      <c r="K7" s="10"/>
      <c r="L7" s="14">
        <f>D7+E7-SUM(F7:K7)</f>
        <v>66</v>
      </c>
      <c r="M7" s="10">
        <f>33*2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VLOOKUP($B8,'2208'!$B8:$N27,12,0)</f>
        <v>10.3</v>
      </c>
      <c r="E8" s="10"/>
      <c r="F8" s="11"/>
      <c r="G8" s="10"/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VLOOKUP($B9,'2208'!$B9:$N28,12,0)</f>
        <v>25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42.75</v>
      </c>
      <c r="M9" s="16">
        <v>42.75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VLOOKUP($B10,'2208'!$B10:$N29,12,0)</f>
        <v>21.78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VLOOKUP($B16,'2208'!$B16:$N35,12,0)</f>
        <v>32.799999999999997</v>
      </c>
      <c r="E16" s="10">
        <v>15.1</v>
      </c>
      <c r="F16" s="11"/>
      <c r="G16" s="10"/>
      <c r="H16" s="10"/>
      <c r="I16" s="10"/>
      <c r="J16" s="10"/>
      <c r="K16" s="10"/>
      <c r="L16" s="14">
        <f t="shared" si="1"/>
        <v>47.9</v>
      </c>
      <c r="M16" s="16">
        <f>18.75+14.05+E16</f>
        <v>47.9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VLOOKUP($B18,'2208'!$B18:$N37,12,0)</f>
        <v>7.2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17.5</v>
      </c>
      <c r="M18" s="10">
        <v>17.5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VLOOKUP($B22,'2208'!$B22:$N41,12,0)</f>
        <v>1.2</v>
      </c>
      <c r="E22" s="10">
        <v>5.55</v>
      </c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48.7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312.2</v>
      </c>
      <c r="M27" s="13">
        <f t="shared" si="2"/>
        <v>312.2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DATE(2015,8,23)</f>
        <v>42239</v>
      </c>
      <c r="E4" s="36">
        <f>D4+1</f>
        <v>42240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VLOOKUP($B7,'2308'!$B7:$N26,12,0)</f>
        <v>66</v>
      </c>
      <c r="E7" s="10">
        <v>40</v>
      </c>
      <c r="F7" s="10"/>
      <c r="G7" s="10">
        <v>16</v>
      </c>
      <c r="H7" s="11">
        <v>10</v>
      </c>
      <c r="I7" s="10"/>
      <c r="J7" s="10"/>
      <c r="K7" s="10"/>
      <c r="L7" s="14">
        <f>D7+E7-SUM(F7:K7)</f>
        <v>80</v>
      </c>
      <c r="M7" s="10"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VLOOKUP($B8,'2308'!$B8:$N27,12,0)</f>
        <v>10.3</v>
      </c>
      <c r="E8" s="10"/>
      <c r="F8" s="11"/>
      <c r="G8" s="10">
        <v>2.7</v>
      </c>
      <c r="H8" s="10"/>
      <c r="I8" s="10"/>
      <c r="J8" s="10"/>
      <c r="K8" s="10"/>
      <c r="L8" s="14">
        <f>D8+E8-SUM(F8:K8)</f>
        <v>7.6000000000000005</v>
      </c>
      <c r="M8" s="10">
        <v>7.6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VLOOKUP($B9,'2308'!$B9:$N28,12,0)</f>
        <v>42.75</v>
      </c>
      <c r="E9" s="10">
        <v>17.899999999999999</v>
      </c>
      <c r="F9" s="11">
        <v>5</v>
      </c>
      <c r="G9" s="10">
        <v>5</v>
      </c>
      <c r="H9" s="10">
        <v>4.5</v>
      </c>
      <c r="I9" s="10"/>
      <c r="J9" s="10"/>
      <c r="K9" s="10"/>
      <c r="L9" s="14">
        <f>D9+E9-SUM(F9:K9)</f>
        <v>46.15</v>
      </c>
      <c r="M9" s="16">
        <f>0.5+27.75+17.9</f>
        <v>46.15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VLOOKUP($B10,'2308'!$B10:$N29,12,0)</f>
        <v>21.78</v>
      </c>
      <c r="F10" s="11"/>
      <c r="G10" s="10">
        <v>0.9</v>
      </c>
      <c r="H10" s="10">
        <v>1.2</v>
      </c>
      <c r="I10" s="11"/>
      <c r="J10" s="10"/>
      <c r="K10" s="10"/>
      <c r="L10" s="14">
        <f>D10+E10-SUM(F10:K10)</f>
        <v>19.68</v>
      </c>
      <c r="M10" s="10">
        <f>18.05+1.63</f>
        <v>19.68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VLOOKUP($B11,'2308'!$B11:$N30,12,0)</f>
        <v>32.770000000000003</v>
      </c>
      <c r="E11" s="10">
        <v>23.7</v>
      </c>
      <c r="F11" s="11">
        <v>6</v>
      </c>
      <c r="G11" s="10">
        <v>4.05</v>
      </c>
      <c r="H11" s="10">
        <v>1.72</v>
      </c>
      <c r="I11" s="11"/>
      <c r="J11" s="10"/>
      <c r="K11" s="10"/>
      <c r="L11" s="21">
        <f>D11+E11-SUM(F11:K11)</f>
        <v>44.699999999999996</v>
      </c>
      <c r="M11" s="17">
        <f>21+23.7</f>
        <v>44.7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VLOOKUP($B12,'2308'!$B12:$N31,12,0)</f>
        <v>16.55</v>
      </c>
      <c r="E12" s="10"/>
      <c r="F12" s="11">
        <f>4.9+1.65</f>
        <v>6.5500000000000007</v>
      </c>
      <c r="G12" s="10"/>
      <c r="H12" s="10">
        <v>1</v>
      </c>
      <c r="I12" s="11"/>
      <c r="J12" s="10"/>
      <c r="K12" s="10"/>
      <c r="L12" s="14">
        <f t="shared" ref="L12:L22" si="1">D12+E12-SUM(F12:K12)</f>
        <v>9</v>
      </c>
      <c r="M12" s="10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VLOOKUP($B14,'2308'!$B14:$N33,12,0)</f>
        <v>7.5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VLOOKUP($B15,'2308'!$B15:$N34,12,0)</f>
        <v>11.95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VLOOKUP($B16,'2308'!$B16:$N35,12,0)</f>
        <v>47.9</v>
      </c>
      <c r="E16" s="10"/>
      <c r="F16" s="11"/>
      <c r="G16" s="10">
        <v>2</v>
      </c>
      <c r="H16" s="10">
        <v>3</v>
      </c>
      <c r="I16" s="10"/>
      <c r="J16" s="10"/>
      <c r="K16" s="10"/>
      <c r="L16" s="14">
        <f t="shared" si="1"/>
        <v>42.9</v>
      </c>
      <c r="M16" s="10">
        <f>15.85+25+2.05</f>
        <v>42.9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VLOOKUP($B18,'2308'!$B18:$N37,12,0)</f>
        <v>17.5</v>
      </c>
      <c r="E18" s="10"/>
      <c r="F18" s="11">
        <v>1.5</v>
      </c>
      <c r="G18" s="10"/>
      <c r="H18" s="10">
        <v>1.2</v>
      </c>
      <c r="I18" s="10"/>
      <c r="J18" s="10"/>
      <c r="K18" s="10"/>
      <c r="L18" s="14">
        <f t="shared" si="1"/>
        <v>14.8</v>
      </c>
      <c r="M18" s="10">
        <f>13.3+1.5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VLOOKUP($B21,'2308'!$B21:$N40,12,0)</f>
        <v>10.199999999999999</v>
      </c>
      <c r="E21" s="12">
        <f>10.7+0.4</f>
        <v>11.1</v>
      </c>
      <c r="F21" s="12"/>
      <c r="G21" s="12">
        <v>3</v>
      </c>
      <c r="H21" s="11"/>
      <c r="I21" s="12"/>
      <c r="J21" s="12"/>
      <c r="K21" s="12"/>
      <c r="L21" s="14">
        <f t="shared" si="1"/>
        <v>18.299999999999997</v>
      </c>
      <c r="M21" s="12">
        <v>18.3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92.699999999999989</v>
      </c>
      <c r="F27" s="13">
        <f t="shared" si="2"/>
        <v>19.05</v>
      </c>
      <c r="G27" s="13">
        <f>SUM(G7:G26)</f>
        <v>33.65</v>
      </c>
      <c r="H27" s="13">
        <f>SUM(H7:H26)</f>
        <v>25.619999999999997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326.58</v>
      </c>
      <c r="M27" s="13">
        <f t="shared" si="2"/>
        <v>326.58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DATE(2015,8,24)</f>
        <v>42240</v>
      </c>
      <c r="E4" s="36">
        <f>D4+1</f>
        <v>42241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VLOOKUP($B7,'2408'!$B7:$N26,12,0)</f>
        <v>80</v>
      </c>
      <c r="E7" s="10">
        <v>40</v>
      </c>
      <c r="F7" s="10">
        <v>4</v>
      </c>
      <c r="G7" s="10"/>
      <c r="H7" s="11"/>
      <c r="I7" s="10"/>
      <c r="J7" s="10"/>
      <c r="K7" s="10"/>
      <c r="L7" s="14">
        <f>D7+E7-SUM(F7:K7)</f>
        <v>116</v>
      </c>
      <c r="M7" s="10">
        <f>76+40</f>
        <v>116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VLOOKUP($B8,'2408'!$B8:$N27,12,0)</f>
        <v>7.6</v>
      </c>
      <c r="E8" s="10">
        <v>8.1999999999999993</v>
      </c>
      <c r="F8" s="11"/>
      <c r="G8" s="10">
        <v>6.1</v>
      </c>
      <c r="H8" s="10"/>
      <c r="I8" s="10"/>
      <c r="J8" s="10"/>
      <c r="K8" s="10"/>
      <c r="L8" s="14">
        <f>D8+E8-SUM(F8:K8)</f>
        <v>9.6999999999999993</v>
      </c>
      <c r="M8" s="10">
        <f>1.5+8.2</f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VLOOKUP($B9,'2408'!$B9:$N28,12,0)</f>
        <v>46.15</v>
      </c>
      <c r="E9" s="10"/>
      <c r="F9" s="11"/>
      <c r="G9" s="10">
        <v>15</v>
      </c>
      <c r="H9" s="10"/>
      <c r="I9" s="10"/>
      <c r="J9" s="10"/>
      <c r="K9" s="10"/>
      <c r="L9" s="14">
        <f>D9+E9-SUM(F9:K9)</f>
        <v>31.15</v>
      </c>
      <c r="M9" s="16">
        <f>12.75+0.5+17.9</f>
        <v>31.15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VLOOKUP($B10,'2408'!$B10:$N29,12,0)</f>
        <v>19.68</v>
      </c>
      <c r="F10" s="11"/>
      <c r="G10" s="10">
        <v>8.15</v>
      </c>
      <c r="H10" s="10"/>
      <c r="I10" s="11"/>
      <c r="J10" s="10"/>
      <c r="K10" s="10"/>
      <c r="L10" s="14">
        <f>D10+E10-SUM(F10:K10)</f>
        <v>11.53</v>
      </c>
      <c r="M10" s="10">
        <v>11.53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VLOOKUP($B11,'2408'!$B11:$N30,12,0)</f>
        <v>44.7</v>
      </c>
      <c r="E11" s="10">
        <v>24.7</v>
      </c>
      <c r="F11" s="11"/>
      <c r="G11" s="10">
        <v>24.2</v>
      </c>
      <c r="H11" s="10"/>
      <c r="I11" s="11"/>
      <c r="J11" s="10"/>
      <c r="K11" s="10"/>
      <c r="L11" s="21">
        <f>D11+E11-SUM(F11:K11)</f>
        <v>45.2</v>
      </c>
      <c r="M11" s="17">
        <f>20.5+24.7</f>
        <v>45.2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VLOOKUP($B12,'2408'!$B12:$N31,12,0)</f>
        <v>9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VLOOKUP($B14,'2408'!$B14:$N33,12,0)</f>
        <v>6.5</v>
      </c>
      <c r="E14" s="10"/>
      <c r="F14" s="11"/>
      <c r="G14" s="10"/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VLOOKUP($B15,'2408'!$B15:$N34,12,0)</f>
        <v>9.9499999999999993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VLOOKUP($B16,'2408'!$B16:$N35,12,0)</f>
        <v>42.9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57.7</v>
      </c>
      <c r="M16" s="10">
        <f>42.9+14.8</f>
        <v>57.7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VLOOKUP($B18,'2408'!$B18:$N37,12,0)</f>
        <v>14.8</v>
      </c>
      <c r="E18" s="10"/>
      <c r="F18" s="11"/>
      <c r="G18" s="10">
        <v>7.5</v>
      </c>
      <c r="H18" s="10"/>
      <c r="I18" s="10"/>
      <c r="J18" s="10"/>
      <c r="K18" s="10"/>
      <c r="L18" s="14">
        <f t="shared" si="1"/>
        <v>7.3000000000000007</v>
      </c>
      <c r="M18" s="10">
        <v>7.3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VLOOKUP($B20,'2408'!$B20:$N39,12,0)</f>
        <v>20.25</v>
      </c>
      <c r="E20" s="12"/>
      <c r="F20" s="12"/>
      <c r="G20" s="12">
        <v>6.75</v>
      </c>
      <c r="H20" s="11"/>
      <c r="I20" s="12"/>
      <c r="J20" s="12"/>
      <c r="K20" s="12"/>
      <c r="L20" s="14">
        <f t="shared" si="1"/>
        <v>13.5</v>
      </c>
      <c r="M20" s="12"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VLOOKUP($B21,'2408'!$B21:$N40,12,0)</f>
        <v>18.3</v>
      </c>
      <c r="E21" s="12"/>
      <c r="F21" s="12"/>
      <c r="G21" s="12">
        <v>8.1</v>
      </c>
      <c r="H21" s="11"/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87.7</v>
      </c>
      <c r="F27" s="13">
        <f t="shared" si="2"/>
        <v>4</v>
      </c>
      <c r="G27" s="13">
        <f>SUM(G7:G26)</f>
        <v>79.8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330.47999999999996</v>
      </c>
      <c r="M27" s="13">
        <f t="shared" si="2"/>
        <v>330.47999999999996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DATE(2015,8,25)</f>
        <v>42241</v>
      </c>
      <c r="E4" s="36">
        <f>D4+1</f>
        <v>42242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VLOOKUP($B7,'2508'!$B7:$N26,12,0)</f>
        <v>116</v>
      </c>
      <c r="E7" s="10">
        <v>40</v>
      </c>
      <c r="F7" s="10">
        <v>8</v>
      </c>
      <c r="G7" s="10">
        <v>10</v>
      </c>
      <c r="H7" s="11">
        <v>30</v>
      </c>
      <c r="I7" s="10">
        <v>12</v>
      </c>
      <c r="J7" s="10"/>
      <c r="K7" s="10"/>
      <c r="L7" s="14">
        <f>D7+E7-SUM(F7:K7)</f>
        <v>96</v>
      </c>
      <c r="M7" s="10">
        <f>56+40</f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VLOOKUP($B8,'2508'!$B8:$N27,12,0)</f>
        <v>9.6999999999999993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8.7999999999999989</v>
      </c>
      <c r="M8" s="10"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VLOOKUP($B9,'2508'!$B9:$N28,12,0)</f>
        <v>31.15</v>
      </c>
      <c r="E9" s="10">
        <f>15.5+2.05</f>
        <v>17.55</v>
      </c>
      <c r="F9" s="11"/>
      <c r="G9" s="10">
        <v>3.75</v>
      </c>
      <c r="H9" s="10">
        <v>5</v>
      </c>
      <c r="I9" s="10">
        <v>1</v>
      </c>
      <c r="J9" s="10"/>
      <c r="K9" s="10"/>
      <c r="L9" s="14">
        <f>D9+E9-SUM(F9:K9)</f>
        <v>38.950000000000003</v>
      </c>
      <c r="M9" s="16">
        <f>17.9+3.5+17.55</f>
        <v>38.950000000000003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VLOOKUP($B10,'2508'!$B10:$N29,12,0)</f>
        <v>11.53</v>
      </c>
      <c r="F10" s="11"/>
      <c r="G10" s="10">
        <v>1.2</v>
      </c>
      <c r="H10" s="10"/>
      <c r="I10" s="11"/>
      <c r="J10" s="10"/>
      <c r="K10" s="10"/>
      <c r="L10" s="14">
        <f>D10+E10-SUM(F10:K10)</f>
        <v>10.33</v>
      </c>
      <c r="M10" s="10">
        <v>10.33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VLOOKUP($B11,'2508'!$B11:$N30,12,0)</f>
        <v>45.2</v>
      </c>
      <c r="E11" s="10"/>
      <c r="F11" s="11"/>
      <c r="G11" s="10">
        <v>2.5</v>
      </c>
      <c r="H11" s="10">
        <v>6</v>
      </c>
      <c r="I11" s="11">
        <v>2</v>
      </c>
      <c r="J11" s="10"/>
      <c r="K11" s="10"/>
      <c r="L11" s="21">
        <f>D11+E11-SUM(F11:K11)</f>
        <v>34.700000000000003</v>
      </c>
      <c r="M11" s="17">
        <v>34.700000000000003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VLOOKUP($B12,'2508'!$B12:$N31,12,0)</f>
        <v>5</v>
      </c>
      <c r="E12" s="10">
        <f>12.5+0.65</f>
        <v>13.15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17.149999999999999</v>
      </c>
      <c r="M12" s="10">
        <f>4+13.15</f>
        <v>17.149999999999999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VLOOKUP($B14,'2508'!$B14:$N33,12,0)</f>
        <v>6.5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VLOOKUP($B15,'2508'!$B15:$N34,12,0)</f>
        <v>9.9499999999999993</v>
      </c>
      <c r="E15" s="10"/>
      <c r="F15" s="11"/>
      <c r="G15" s="10"/>
      <c r="H15" s="10">
        <v>0.5</v>
      </c>
      <c r="I15" s="10"/>
      <c r="J15" s="10"/>
      <c r="K15" s="10"/>
      <c r="L15" s="14">
        <f t="shared" si="1"/>
        <v>9.4499999999999993</v>
      </c>
      <c r="M15" s="23">
        <v>9.4499999999999993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VLOOKUP($B16,'2508'!$B16:$N35,12,0)</f>
        <v>57.7</v>
      </c>
      <c r="E16" s="10"/>
      <c r="F16" s="11"/>
      <c r="G16" s="10"/>
      <c r="H16" s="10">
        <v>40</v>
      </c>
      <c r="I16" s="10"/>
      <c r="J16" s="10"/>
      <c r="K16" s="10"/>
      <c r="L16" s="14">
        <f t="shared" si="1"/>
        <v>17.700000000000003</v>
      </c>
      <c r="M16" s="10">
        <f>16+1.7</f>
        <v>17.7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VLOOKUP($B18,'2508'!$B18:$N37,12,0)</f>
        <v>7.3</v>
      </c>
      <c r="E18" s="10"/>
      <c r="F18" s="11"/>
      <c r="G18" s="10"/>
      <c r="H18" s="10">
        <v>1.5</v>
      </c>
      <c r="I18" s="10">
        <v>2.2000000000000002</v>
      </c>
      <c r="J18" s="10"/>
      <c r="K18" s="10"/>
      <c r="L18" s="14">
        <f t="shared" si="1"/>
        <v>3.5999999999999996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VLOOKUP($B20,'2508'!$B20:$N39,12,0)</f>
        <v>13.5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VLOOKUP($B21,'2508'!$B21:$N40,12,0)</f>
        <v>10.199999999999999</v>
      </c>
      <c r="E21" s="12">
        <v>10.4</v>
      </c>
      <c r="F21" s="12">
        <v>0.3</v>
      </c>
      <c r="G21" s="12">
        <v>1.2</v>
      </c>
      <c r="H21" s="11">
        <v>1.5</v>
      </c>
      <c r="I21" s="12">
        <v>0.9</v>
      </c>
      <c r="J21" s="12"/>
      <c r="K21" s="12"/>
      <c r="L21" s="14">
        <f t="shared" si="1"/>
        <v>16.700000000000003</v>
      </c>
      <c r="M21" s="12">
        <f>6.3+10.4</f>
        <v>16.7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81.100000000000009</v>
      </c>
      <c r="F27" s="13">
        <f t="shared" si="2"/>
        <v>8.3000000000000007</v>
      </c>
      <c r="G27" s="13">
        <f>SUM(G7:G26)</f>
        <v>22.55</v>
      </c>
      <c r="H27" s="13">
        <f>SUM(H7:H26)</f>
        <v>85.5</v>
      </c>
      <c r="I27" s="13">
        <f t="shared" si="2"/>
        <v>18.099999999999998</v>
      </c>
      <c r="J27" s="13">
        <f t="shared" si="2"/>
        <v>0</v>
      </c>
      <c r="K27" s="13">
        <f t="shared" si="2"/>
        <v>0</v>
      </c>
      <c r="L27" s="13">
        <f t="shared" si="2"/>
        <v>277.13000000000005</v>
      </c>
      <c r="M27" s="13">
        <f t="shared" si="2"/>
        <v>277.13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DATE(2015,8,26)</f>
        <v>42242</v>
      </c>
      <c r="E4" s="36">
        <f>D4+1</f>
        <v>42243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VLOOKUP($B7,'2608'!$B7:$N26,12,0)</f>
        <v>96</v>
      </c>
      <c r="E7" s="10">
        <v>30</v>
      </c>
      <c r="F7" s="10">
        <v>6</v>
      </c>
      <c r="G7" s="10">
        <v>40</v>
      </c>
      <c r="H7" s="11">
        <v>34</v>
      </c>
      <c r="I7" s="10">
        <v>2</v>
      </c>
      <c r="J7" s="10">
        <v>2</v>
      </c>
      <c r="K7" s="10"/>
      <c r="L7" s="14">
        <f>D7+E7-SUM(F7:K7)</f>
        <v>42</v>
      </c>
      <c r="M7" s="10">
        <f>12+30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VLOOKUP($B8,'2608'!$B8:$N27,12,0)</f>
        <v>8.8000000000000007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VLOOKUP($B9,'2608'!$B9:$N28,12,0)</f>
        <v>38.950000000000003</v>
      </c>
      <c r="E9" s="10"/>
      <c r="F9" s="11"/>
      <c r="G9" s="10">
        <v>14.9</v>
      </c>
      <c r="H9" s="10">
        <v>9.0500000000000007</v>
      </c>
      <c r="I9" s="10"/>
      <c r="J9" s="10"/>
      <c r="K9" s="10"/>
      <c r="L9" s="14">
        <f>D9+E9-SUM(F9:K9)</f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VLOOKUP($B10,'2608'!$B10:$N29,12,0)</f>
        <v>10.33</v>
      </c>
      <c r="F10" s="11"/>
      <c r="G10" s="10"/>
      <c r="H10" s="10">
        <v>3</v>
      </c>
      <c r="I10" s="11"/>
      <c r="J10" s="10"/>
      <c r="K10" s="10"/>
      <c r="L10" s="14">
        <f>D10+E10-SUM(F10:K10)</f>
        <v>7.33</v>
      </c>
      <c r="M10" s="10">
        <v>7.33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VLOOKUP($B11,'2608'!$B11:$N30,12,0)</f>
        <v>34.700000000000003</v>
      </c>
      <c r="E11" s="10">
        <v>24</v>
      </c>
      <c r="F11" s="11"/>
      <c r="G11" s="10">
        <v>20</v>
      </c>
      <c r="H11" s="10">
        <v>8</v>
      </c>
      <c r="I11" s="11"/>
      <c r="J11" s="10"/>
      <c r="K11" s="10"/>
      <c r="L11" s="21">
        <f>D11+E11-SUM(F11:K11)</f>
        <v>30.700000000000003</v>
      </c>
      <c r="M11" s="17">
        <f>6.7+24</f>
        <v>30.7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VLOOKUP($B12,'2608'!$B12:$N31,12,0)</f>
        <v>17.149999999999999</v>
      </c>
      <c r="E12" s="10"/>
      <c r="F12" s="11"/>
      <c r="G12" s="10">
        <v>3</v>
      </c>
      <c r="H12" s="10">
        <v>5</v>
      </c>
      <c r="I12" s="11"/>
      <c r="J12" s="10"/>
      <c r="K12" s="10"/>
      <c r="L12" s="14">
        <f t="shared" ref="L12:L22" si="1">D12+E12-SUM(F12:K12)</f>
        <v>9.1499999999999986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VLOOKUP($B14,'2608'!$B14:$N33,12,0)</f>
        <v>5.5</v>
      </c>
      <c r="E14" s="10">
        <v>4.5</v>
      </c>
      <c r="F14" s="11"/>
      <c r="G14" s="10"/>
      <c r="H14" s="10">
        <v>4</v>
      </c>
      <c r="I14" s="11"/>
      <c r="J14" s="10"/>
      <c r="K14" s="10"/>
      <c r="L14" s="14">
        <f t="shared" si="1"/>
        <v>6</v>
      </c>
      <c r="M14" s="10">
        <f>1.5+4.5</f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VLOOKUP($B15,'2608'!$B15:$N34,12,0)</f>
        <v>9.4499999999999993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6.4499999999999993</v>
      </c>
      <c r="M15" s="23">
        <v>6.45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VLOOKUP($B16,'2608'!$B16:$N35,12,0)</f>
        <v>17.7</v>
      </c>
      <c r="E16" s="10">
        <v>16</v>
      </c>
      <c r="F16" s="11"/>
      <c r="G16" s="10"/>
      <c r="H16" s="10">
        <v>5</v>
      </c>
      <c r="I16" s="10"/>
      <c r="J16" s="10"/>
      <c r="K16" s="10"/>
      <c r="L16" s="14">
        <f t="shared" si="1"/>
        <v>28.700000000000003</v>
      </c>
      <c r="M16" s="10">
        <f>12.7+16</f>
        <v>28.7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VLOOKUP($B18,'2608'!$B18:$N37,12,0)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VLOOKUP($B20,'2608'!$B20:$N39,12,0)</f>
        <v>11.5</v>
      </c>
      <c r="E20" s="12">
        <v>12.75</v>
      </c>
      <c r="F20" s="12"/>
      <c r="G20" s="12">
        <v>5</v>
      </c>
      <c r="H20" s="11"/>
      <c r="I20" s="12"/>
      <c r="J20" s="12"/>
      <c r="K20" s="12"/>
      <c r="L20" s="14">
        <f t="shared" si="1"/>
        <v>19.25</v>
      </c>
      <c r="M20" s="12">
        <f>6.5+12.75</f>
        <v>19.25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VLOOKUP($B21,'2608'!$B21:$N40,12,0)</f>
        <v>16.7</v>
      </c>
      <c r="E21" s="12"/>
      <c r="F21" s="12"/>
      <c r="G21" s="12">
        <v>5.0999999999999996</v>
      </c>
      <c r="H21" s="11">
        <v>2.9</v>
      </c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VLOOKUP($B22,'2608'!$B22:$N41,12,0)</f>
        <v>6.75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87.25</v>
      </c>
      <c r="F27" s="13">
        <f t="shared" si="2"/>
        <v>6</v>
      </c>
      <c r="G27" s="13">
        <f>SUM(G7:G26)</f>
        <v>88</v>
      </c>
      <c r="H27" s="13">
        <f>SUM(H7:H26)</f>
        <v>77.850000000000009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188.53</v>
      </c>
      <c r="M27" s="13">
        <f t="shared" si="2"/>
        <v>188.53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DATE(2015,4,14)</f>
        <v>42108</v>
      </c>
      <c r="E4" s="36">
        <f>D4+1</f>
        <v>42109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VLOOKUP($B7,'1404'!$B7:$N26,12,0)</f>
        <v>60</v>
      </c>
      <c r="E7" s="10">
        <v>30</v>
      </c>
      <c r="F7" s="10"/>
      <c r="G7" s="10">
        <v>10</v>
      </c>
      <c r="H7" s="11">
        <v>10</v>
      </c>
      <c r="I7" s="10">
        <v>6</v>
      </c>
      <c r="J7" s="10">
        <v>10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VLOOKUP($B8,'1404'!$B8:$N27,12,0)</f>
        <v>8.6999999999999993</v>
      </c>
      <c r="E8" s="10"/>
      <c r="F8" s="11"/>
      <c r="G8" s="10"/>
      <c r="H8" s="10"/>
      <c r="I8" s="10">
        <v>1.3</v>
      </c>
      <c r="J8" s="10"/>
      <c r="K8" s="10"/>
      <c r="L8" s="14">
        <f t="shared" ref="L8:L22" si="1">D8+E8-SUM(F8:K8)</f>
        <v>7.3999999999999995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VLOOKUP($B9,'1404'!$B9:$N28,12,0)</f>
        <v>22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17.5</v>
      </c>
      <c r="M9" s="10">
        <v>17.5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VLOOKUP($B10,'1404'!$B10:$N29,12,0)</f>
        <v>7.25</v>
      </c>
      <c r="F10" s="11"/>
      <c r="G10" s="10"/>
      <c r="H10" s="10">
        <v>2.1</v>
      </c>
      <c r="I10" s="11">
        <v>1.1499999999999999</v>
      </c>
      <c r="J10" s="10"/>
      <c r="K10" s="10"/>
      <c r="L10" s="14">
        <f t="shared" si="1"/>
        <v>4</v>
      </c>
      <c r="M10" s="10">
        <v>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VLOOKUP($B11,'1404'!$B11:$N30,12,0)</f>
        <v>21</v>
      </c>
      <c r="E11" s="10">
        <v>23</v>
      </c>
      <c r="F11" s="11"/>
      <c r="G11" s="10">
        <v>4</v>
      </c>
      <c r="H11" s="10"/>
      <c r="I11" s="11">
        <v>3</v>
      </c>
      <c r="J11" s="10"/>
      <c r="K11" s="10"/>
      <c r="L11" s="14">
        <f t="shared" si="1"/>
        <v>37</v>
      </c>
      <c r="M11" s="10">
        <v>37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VLOOKUP($B12,'1404'!$B12:$N31,12,0)</f>
        <v>13.6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12.6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VLOOKUP($B14,'1404'!$B14:$N33,12,0)</f>
        <v>4</v>
      </c>
      <c r="E14" s="10">
        <v>8.4</v>
      </c>
      <c r="F14" s="11"/>
      <c r="G14" s="10"/>
      <c r="H14" s="10"/>
      <c r="I14" s="11"/>
      <c r="J14" s="10"/>
      <c r="K14" s="10"/>
      <c r="L14" s="14">
        <f t="shared" si="1"/>
        <v>12.4</v>
      </c>
      <c r="M14" s="10">
        <v>12.4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VLOOKUP($B15,'1404'!$B15:$N34,12,0)</f>
        <v>11.2</v>
      </c>
      <c r="E15" s="10"/>
      <c r="F15" s="11"/>
      <c r="G15" s="10"/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VLOOKUP($B16,'1404'!$B16:$N35,12,0)</f>
        <v>19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VLOOKUP($B18,'1404'!$B18:$N37,12,0)</f>
        <v>9.3000000000000007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VLOOKUP($B20,'1404'!$B20:$N39,12,0)</f>
        <v>6</v>
      </c>
      <c r="E20" s="12">
        <v>12.2</v>
      </c>
      <c r="F20" s="12"/>
      <c r="G20" s="12">
        <v>1</v>
      </c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VLOOKUP($B21,'1404'!$B21:$N40,12,0)</f>
        <v>10.5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7.8</v>
      </c>
      <c r="M21" s="12">
        <v>7.8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VLOOKUP($B22,'1404'!$B22:$N41,12,0)</f>
        <v>3.8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1.9999999999999998</v>
      </c>
      <c r="M22" s="12">
        <v>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199.85000000000002</v>
      </c>
      <c r="E27" s="13">
        <f t="shared" si="2"/>
        <v>73.599999999999994</v>
      </c>
      <c r="F27" s="13">
        <f t="shared" si="2"/>
        <v>0</v>
      </c>
      <c r="G27" s="13">
        <f t="shared" si="2"/>
        <v>22.7</v>
      </c>
      <c r="H27" s="13">
        <f t="shared" si="2"/>
        <v>12.1</v>
      </c>
      <c r="I27" s="13">
        <f t="shared" si="2"/>
        <v>16.850000000000001</v>
      </c>
      <c r="J27" s="13">
        <f t="shared" si="2"/>
        <v>10</v>
      </c>
      <c r="K27" s="13">
        <f t="shared" si="2"/>
        <v>0</v>
      </c>
      <c r="L27" s="13">
        <f t="shared" si="2"/>
        <v>211.79999999999998</v>
      </c>
      <c r="M27" s="13">
        <f t="shared" si="2"/>
        <v>211.79999999999998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9" priority="1" stopIfTrue="1" operator="lessThan">
      <formula>0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DATE(2015,8,27)</f>
        <v>42243</v>
      </c>
      <c r="E4" s="36">
        <f>D4+1</f>
        <v>42244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VLOOKUP($B7,'2708'!$B7:$N26,12,0)</f>
        <v>42</v>
      </c>
      <c r="E7" s="10">
        <v>40</v>
      </c>
      <c r="F7" s="10">
        <v>2</v>
      </c>
      <c r="G7" s="10">
        <v>30</v>
      </c>
      <c r="H7" s="11"/>
      <c r="I7" s="10"/>
      <c r="J7" s="10"/>
      <c r="K7" s="10"/>
      <c r="L7" s="14">
        <f>D7+E7-SUM(F7:K7)</f>
        <v>50</v>
      </c>
      <c r="M7" s="10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VLOOKUP($B8,'2708'!$B8:$N27,12,0)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VLOOKUP($B9,'2708'!$B9:$N28,12,0)</f>
        <v>15</v>
      </c>
      <c r="E9" s="10">
        <v>16.899999999999999</v>
      </c>
      <c r="F9" s="11"/>
      <c r="G9" s="10">
        <v>8</v>
      </c>
      <c r="H9" s="10"/>
      <c r="I9" s="10"/>
      <c r="J9" s="10"/>
      <c r="K9" s="10"/>
      <c r="L9" s="14">
        <f>D9+E9-SUM(F9:K9)</f>
        <v>23.9</v>
      </c>
      <c r="M9" s="16">
        <f>7+16.9</f>
        <v>23.9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VLOOKUP($B10,'2708'!$B10:$N29,12,0)</f>
        <v>7.33</v>
      </c>
      <c r="E10">
        <v>10.5</v>
      </c>
      <c r="F10" s="11"/>
      <c r="G10" s="10">
        <v>1.93</v>
      </c>
      <c r="H10" s="10"/>
      <c r="I10" s="11"/>
      <c r="J10" s="10"/>
      <c r="K10" s="10"/>
      <c r="L10" s="14">
        <f>D10+E10-SUM(F10:K10)</f>
        <v>15.899999999999999</v>
      </c>
      <c r="M10" s="10">
        <f>5.4+10.5</f>
        <v>15.9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VLOOKUP($B11,'2708'!$B11:$N30,12,0)</f>
        <v>30.7</v>
      </c>
      <c r="E11" s="10">
        <v>24.15</v>
      </c>
      <c r="F11" s="11"/>
      <c r="G11" s="10">
        <v>7.8</v>
      </c>
      <c r="H11" s="10"/>
      <c r="I11" s="11"/>
      <c r="J11" s="10"/>
      <c r="K11" s="10"/>
      <c r="L11" s="21">
        <f>D11+E11-SUM(F11:K11)</f>
        <v>47.05</v>
      </c>
      <c r="M11" s="17">
        <f>22.9+24.15</f>
        <v>47.05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VLOOKUP($B12,'2708'!$B12:$N31,12,0)</f>
        <v>9.15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VLOOKUP($B14,'2708'!$B14:$N33,12,0)</f>
        <v>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VLOOKUP($B15,'2708'!$B15:$N34,12,0)</f>
        <v>6.45</v>
      </c>
      <c r="E15" s="10">
        <v>10.199999999999999</v>
      </c>
      <c r="F15" s="11"/>
      <c r="G15" s="10">
        <v>1.45</v>
      </c>
      <c r="H15" s="10"/>
      <c r="I15" s="10"/>
      <c r="J15" s="10"/>
      <c r="K15" s="10"/>
      <c r="L15" s="14">
        <f t="shared" si="1"/>
        <v>15.2</v>
      </c>
      <c r="M15" s="23">
        <f>5+10.2</f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VLOOKUP($B16,'2708'!$B16:$N35,12,0)</f>
        <v>28.7</v>
      </c>
      <c r="E16" s="10"/>
      <c r="F16" s="11"/>
      <c r="G16" s="10">
        <v>3.3</v>
      </c>
      <c r="H16" s="10"/>
      <c r="I16" s="10"/>
      <c r="J16" s="10"/>
      <c r="K16" s="10"/>
      <c r="L16" s="14">
        <f t="shared" si="1"/>
        <v>25.4</v>
      </c>
      <c r="M16" s="10">
        <f>9.4+16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VLOOKUP($B18,'2708'!$B18:$N37,12,0)</f>
        <v>3.6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2.4000000000000004</v>
      </c>
      <c r="M18" s="10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VLOOKUP($B20,'2708'!$B20:$N39,12,0)</f>
        <v>19.25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18.25</v>
      </c>
      <c r="M20" s="12">
        <f>17.75+0.5</f>
        <v>18.25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101.75000000000001</v>
      </c>
      <c r="F27" s="13">
        <f t="shared" si="2"/>
        <v>2</v>
      </c>
      <c r="G27" s="13">
        <f>SUM(G7:G26)</f>
        <v>59.58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228.70000000000002</v>
      </c>
      <c r="M27" s="13">
        <f t="shared" si="2"/>
        <v>228.70000000000002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DATE(2015,8,28)</f>
        <v>42244</v>
      </c>
      <c r="E4" s="36">
        <f>D4+1</f>
        <v>42245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VLOOKUP($B7,'2808'!$B7:$N26,12,0)</f>
        <v>50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VLOOKUP($B8,'2808'!$B8:$N27,12,0)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VLOOKUP($B9,'2808'!$B9:$N28,12,0)</f>
        <v>23.9</v>
      </c>
      <c r="E9" s="10">
        <v>17.399999999999999</v>
      </c>
      <c r="F9" s="11"/>
      <c r="G9" s="10">
        <v>1</v>
      </c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VLOOKUP($B10,'2808'!$B10:$N29,12,0)</f>
        <v>15.9</v>
      </c>
      <c r="F10" s="11"/>
      <c r="G10" s="10">
        <v>3</v>
      </c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VLOOKUP($B11,'2808'!$B11:$N30,12,0)</f>
        <v>47.05</v>
      </c>
      <c r="E11" s="10"/>
      <c r="F11" s="11"/>
      <c r="G11" s="10">
        <v>5</v>
      </c>
      <c r="H11" s="10"/>
      <c r="I11" s="11"/>
      <c r="J11" s="10"/>
      <c r="K11" s="10"/>
      <c r="L11" s="21">
        <f>D11+E11-SUM(F11:K11)</f>
        <v>42.05</v>
      </c>
      <c r="M11" s="17">
        <f>17.9+24.15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VLOOKUP($B14,'2808'!$B14:$N33,12,0)</f>
        <v>4</v>
      </c>
      <c r="E14" s="10">
        <f>7.5+0.63</f>
        <v>8.1300000000000008</v>
      </c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VLOOKUP($B16,'2808'!$B16:$N35,12,0)</f>
        <v>25.4</v>
      </c>
      <c r="E16" s="10"/>
      <c r="F16" s="11"/>
      <c r="G16" s="10"/>
      <c r="H16" s="10"/>
      <c r="I16" s="10"/>
      <c r="J16" s="10"/>
      <c r="K16" s="10"/>
      <c r="L16" s="14">
        <f t="shared" si="1"/>
        <v>25.4</v>
      </c>
      <c r="M16" s="10">
        <f>20.4+5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VLOOKUP($B18,'2808'!$B18:$N37,12,0)</f>
        <v>2.4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VLOOKUP($B20,'2808'!$B20:$N39,12,0)</f>
        <v>18.25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76.13</v>
      </c>
      <c r="F27" s="13">
        <f t="shared" si="2"/>
        <v>10</v>
      </c>
      <c r="G27" s="13">
        <f>SUM(G7:G26)</f>
        <v>11.2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283.63</v>
      </c>
      <c r="M27" s="13">
        <f t="shared" si="2"/>
        <v>283.63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DATE(2015,8,29)</f>
        <v>42245</v>
      </c>
      <c r="E4" s="36">
        <f>D4+1</f>
        <v>42246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VLOOKUP($B7,'2908'!$B7:$N26,12,0)</f>
        <v>80</v>
      </c>
      <c r="E7" s="10"/>
      <c r="F7" s="10"/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VLOOKUP($B8,'2908'!$B8:$N27,12,0)</f>
        <v>4.8</v>
      </c>
      <c r="E8" s="10">
        <v>6.6</v>
      </c>
      <c r="F8" s="11"/>
      <c r="G8" s="10"/>
      <c r="H8" s="10"/>
      <c r="I8" s="10"/>
      <c r="J8" s="10"/>
      <c r="K8" s="10"/>
      <c r="L8" s="14">
        <f>D8+E8-SUM(F8:K8)</f>
        <v>11.399999999999999</v>
      </c>
      <c r="M8" s="10">
        <f>4.8+6.6</f>
        <v>11.399999999999999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VLOOKUP($B9,'2908'!$B9:$N28,12,0)</f>
        <v>40.299999999999997</v>
      </c>
      <c r="E9" s="10"/>
      <c r="F9" s="11"/>
      <c r="G9" s="10"/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VLOOKUP($B10,'2908'!$B10:$N29,12,0)</f>
        <v>12.9</v>
      </c>
      <c r="F10" s="11"/>
      <c r="G10" s="10"/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VLOOKUP($B11,'2908'!$B11:$N30,12,0)</f>
        <v>42.05</v>
      </c>
      <c r="E11" s="10">
        <v>24.1</v>
      </c>
      <c r="F11" s="11">
        <v>15</v>
      </c>
      <c r="G11" s="10"/>
      <c r="H11" s="10"/>
      <c r="I11" s="11"/>
      <c r="J11" s="10"/>
      <c r="K11" s="10"/>
      <c r="L11" s="21">
        <f>D11+E11-SUM(F11:K11)</f>
        <v>51.150000000000006</v>
      </c>
      <c r="M11" s="17">
        <f>17.9+24.15+9.1</f>
        <v>51.15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VLOOKUP($B14,'2908'!$B14:$N33,12,0)</f>
        <v>12.13</v>
      </c>
      <c r="E14" s="10"/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VLOOKUP($B16,'2908'!$B16:$N35,12,0)</f>
        <v>25.4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40.4</v>
      </c>
      <c r="M16" s="10">
        <f>25.4+15</f>
        <v>40.4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VLOOKUP($B18,'2908'!$B18:$N37,12,0)</f>
        <v>13</v>
      </c>
      <c r="E18" s="10"/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VLOOKUP($B20,'2908'!$B20:$N39,12,0)</f>
        <v>17.25</v>
      </c>
      <c r="E20" s="12"/>
      <c r="F20" s="12"/>
      <c r="G20" s="12"/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45.7</v>
      </c>
      <c r="F27" s="13">
        <f t="shared" si="2"/>
        <v>15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314.33</v>
      </c>
      <c r="M27" s="13">
        <f t="shared" si="2"/>
        <v>314.33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1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DATE(2015,8,30)</f>
        <v>42246</v>
      </c>
      <c r="E4" s="36">
        <f>D4+1</f>
        <v>42247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VLOOKUP($B7,'3008'!$B7:$N26,12,0)</f>
        <v>80</v>
      </c>
      <c r="E7" s="10">
        <v>30</v>
      </c>
      <c r="F7" s="10">
        <v>2</v>
      </c>
      <c r="G7" s="10">
        <v>12</v>
      </c>
      <c r="H7" s="11">
        <v>20</v>
      </c>
      <c r="I7" s="10"/>
      <c r="J7" s="10"/>
      <c r="K7" s="10"/>
      <c r="L7" s="14">
        <f>D7+E7-SUM(F7:K7)</f>
        <v>76</v>
      </c>
      <c r="M7" s="10">
        <f>46+30</f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VLOOKUP($B8,'3008'!$B8:$N27,12,0)</f>
        <v>11.399999999999999</v>
      </c>
      <c r="E8" s="10"/>
      <c r="F8" s="11"/>
      <c r="G8" s="10"/>
      <c r="H8" s="10">
        <v>4.8</v>
      </c>
      <c r="I8" s="10"/>
      <c r="J8" s="10"/>
      <c r="K8" s="10"/>
      <c r="L8" s="14">
        <f>D8+E8-SUM(F8:K8)</f>
        <v>6.5999999999999988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VLOOKUP($B9,'3008'!$B9:$N28,12,0)</f>
        <v>40.299999999999997</v>
      </c>
      <c r="E9" s="10"/>
      <c r="F9" s="11"/>
      <c r="G9" s="10">
        <v>5</v>
      </c>
      <c r="H9" s="10">
        <v>10</v>
      </c>
      <c r="I9" s="10"/>
      <c r="J9" s="10"/>
      <c r="K9" s="10"/>
      <c r="L9" s="14">
        <f>D9+E9-SUM(F9:K9)</f>
        <v>25.299999999999997</v>
      </c>
      <c r="M9" s="16">
        <f>21.9+3.4</f>
        <v>25.299999999999997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VLOOKUP($B10,'3008'!$B10:$N29,12,0)</f>
        <v>12.9</v>
      </c>
      <c r="E10">
        <v>11</v>
      </c>
      <c r="F10" s="11"/>
      <c r="G10" s="10"/>
      <c r="H10" s="10">
        <v>5.0999999999999996</v>
      </c>
      <c r="I10" s="11"/>
      <c r="J10" s="10"/>
      <c r="K10" s="10"/>
      <c r="L10" s="14">
        <f>D10+E10-SUM(F10:K10)</f>
        <v>18.799999999999997</v>
      </c>
      <c r="M10" s="10">
        <f>7.8+11</f>
        <v>18.8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VLOOKUP($B11,'3008'!$B11:$N30,12,0)</f>
        <v>51.15</v>
      </c>
      <c r="E11" s="10"/>
      <c r="F11" s="11">
        <v>6</v>
      </c>
      <c r="G11" s="10">
        <v>4.5</v>
      </c>
      <c r="H11" s="10">
        <v>10</v>
      </c>
      <c r="I11" s="11"/>
      <c r="J11" s="10"/>
      <c r="K11" s="10"/>
      <c r="L11" s="21">
        <f>D11+E11-SUM(F11:K11)</f>
        <v>30.65</v>
      </c>
      <c r="M11" s="17">
        <f>28.15+2.5</f>
        <v>30.65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VLOOKUP($B12,'3008'!$B12:$N31,12,0)</f>
        <v>8.15</v>
      </c>
      <c r="E12" s="10"/>
      <c r="F12" s="11">
        <v>2.15</v>
      </c>
      <c r="G12" s="10">
        <v>1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VLOOKUP($B14,'3008'!$B14:$N33,12,0)</f>
        <v>12.13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VLOOKUP($B15,'3008'!$B15:$N34,12,0)</f>
        <v>15.2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13.2</v>
      </c>
      <c r="M15" s="23">
        <f>10.2+3</f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VLOOKUP($B16,'3008'!$B16:$N35,12,0)</f>
        <v>40.4</v>
      </c>
      <c r="E16" s="10">
        <v>14.5</v>
      </c>
      <c r="F16" s="11">
        <v>1</v>
      </c>
      <c r="G16" s="10">
        <v>5.8</v>
      </c>
      <c r="H16" s="10">
        <v>6</v>
      </c>
      <c r="I16" s="10"/>
      <c r="J16" s="10"/>
      <c r="K16" s="10"/>
      <c r="L16" s="14">
        <f t="shared" si="1"/>
        <v>42.099999999999994</v>
      </c>
      <c r="M16" s="10">
        <f>27.6+14.5</f>
        <v>42.1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VLOOKUP($B18,'3008'!$B18:$N37,12,0)</f>
        <v>13</v>
      </c>
      <c r="E18" s="10"/>
      <c r="F18" s="11">
        <v>2.1</v>
      </c>
      <c r="G18" s="10">
        <v>1.8</v>
      </c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VLOOKUP($B20,'3008'!$B20:$N39,12,0)</f>
        <v>17.25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15.75</v>
      </c>
      <c r="M20" s="12">
        <v>15.75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VLOOKUP($B21,'3008'!$B21:$N40,12,0)</f>
        <v>8.6999999999999993</v>
      </c>
      <c r="E21" s="12">
        <v>9.6999999999999993</v>
      </c>
      <c r="F21" s="12">
        <v>1.8</v>
      </c>
      <c r="G21" s="12"/>
      <c r="H21" s="11">
        <v>6.9</v>
      </c>
      <c r="I21" s="12"/>
      <c r="J21" s="12"/>
      <c r="K21" s="12"/>
      <c r="L21" s="14">
        <f t="shared" si="1"/>
        <v>9.6999999999999975</v>
      </c>
      <c r="M21" s="12">
        <v>9.6999999999999993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VLOOKUP($B22,'3008'!$B22:$N41,12,0)</f>
        <v>3.75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65.2</v>
      </c>
      <c r="F27" s="13">
        <f t="shared" si="2"/>
        <v>15.05</v>
      </c>
      <c r="G27" s="13">
        <f>SUM(G7:G26)</f>
        <v>34.25</v>
      </c>
      <c r="H27" s="13">
        <f>SUM(H7:H26)</f>
        <v>64.3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265.93</v>
      </c>
      <c r="M27" s="13">
        <f t="shared" si="2"/>
        <v>265.93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DATE(2015,8,31)</f>
        <v>42247</v>
      </c>
      <c r="E4" s="36">
        <f>D4+1</f>
        <v>42248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VLOOKUP($B7,'3108'!$B7:$N26,12,0)</f>
        <v>76</v>
      </c>
      <c r="E7" s="10">
        <v>30</v>
      </c>
      <c r="F7" s="10">
        <v>4</v>
      </c>
      <c r="G7" s="10">
        <v>16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VLOOKUP($B8,'3108'!$B8:$N27,12,0)</f>
        <v>6.6</v>
      </c>
      <c r="E8" s="10"/>
      <c r="F8" s="11"/>
      <c r="G8" s="10"/>
      <c r="H8" s="10">
        <v>3</v>
      </c>
      <c r="I8" s="10"/>
      <c r="J8" s="10"/>
      <c r="K8" s="10"/>
      <c r="L8" s="14">
        <f>D8+E8-SUM(F8:K8)</f>
        <v>3.5999999999999996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VLOOKUP($B9,'3108'!$B9:$N28,12,0)</f>
        <v>25.299999999999997</v>
      </c>
      <c r="E9" s="10"/>
      <c r="F9" s="11"/>
      <c r="G9" s="10">
        <v>2.5</v>
      </c>
      <c r="H9" s="10">
        <v>15</v>
      </c>
      <c r="I9" s="10"/>
      <c r="J9" s="10"/>
      <c r="K9" s="10"/>
      <c r="L9" s="14">
        <f>D9+E9-SUM(F9:K9)</f>
        <v>7.7999999999999972</v>
      </c>
      <c r="M9" s="16">
        <v>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VLOOKUP($B10,'3108'!$B10:$N29,12,0)</f>
        <v>18.8</v>
      </c>
      <c r="F10" s="11"/>
      <c r="G10" s="10">
        <v>2.2999999999999998</v>
      </c>
      <c r="H10" s="10">
        <v>4.5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VLOOKUP($B11,'3108'!$B11:$N30,12,0)</f>
        <v>30.65</v>
      </c>
      <c r="E11" s="10"/>
      <c r="F11" s="11"/>
      <c r="G11" s="10">
        <v>5.25</v>
      </c>
      <c r="H11" s="10">
        <v>15</v>
      </c>
      <c r="I11" s="11"/>
      <c r="J11" s="10"/>
      <c r="K11" s="10"/>
      <c r="L11" s="21">
        <f>D11+E11-SUM(F11:K11)</f>
        <v>10.399999999999999</v>
      </c>
      <c r="M11" s="17">
        <f>2.5+3.75+4.15</f>
        <v>10.4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VLOOKUP($B12,'3108'!$B12:$N31,12,0)</f>
        <v>5</v>
      </c>
      <c r="E12" s="10">
        <v>13.5</v>
      </c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13.5</v>
      </c>
      <c r="M12" s="10">
        <v>13.5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VLOOKUP($B14,'3108'!$B14:$N33,12,0)</f>
        <v>11.63</v>
      </c>
      <c r="E14" s="10"/>
      <c r="F14" s="11"/>
      <c r="G14" s="10"/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VLOOKUP($B15,'3108'!$B15:$N34,12,0)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23"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VLOOKUP($B16,'3108'!$B16:$N35,12,0)</f>
        <v>42.1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40.1</v>
      </c>
      <c r="M16" s="10">
        <v>40.1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VLOOKUP($B18,'3108'!$B18:$N37,12,0)</f>
        <v>9.1</v>
      </c>
      <c r="E18" s="10"/>
      <c r="F18" s="11"/>
      <c r="G18" s="10"/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VLOOKUP($B20,'3108'!$B20:$N39,12,0)</f>
        <v>15.75</v>
      </c>
      <c r="E20" s="12"/>
      <c r="F20" s="12"/>
      <c r="G20" s="12">
        <v>3.25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VLOOKUP($B21,'3108'!$B21:$N40,12,0)</f>
        <v>9.6999999999999993</v>
      </c>
      <c r="E21" s="12"/>
      <c r="F21" s="12"/>
      <c r="G21" s="12">
        <v>0.5</v>
      </c>
      <c r="H21" s="11">
        <v>5</v>
      </c>
      <c r="I21" s="12"/>
      <c r="J21" s="12"/>
      <c r="K21" s="12"/>
      <c r="L21" s="14">
        <f t="shared" si="1"/>
        <v>4.1999999999999993</v>
      </c>
      <c r="M21" s="12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VLOOKUP($B22,'3108'!$B22:$N41,12,0)</f>
        <v>2.1</v>
      </c>
      <c r="E22" s="10">
        <v>23.8</v>
      </c>
      <c r="F22" s="10">
        <v>17.600000000000001</v>
      </c>
      <c r="G22" s="12"/>
      <c r="H22" s="11"/>
      <c r="I22" s="12"/>
      <c r="J22" s="12"/>
      <c r="K22" s="12"/>
      <c r="L22" s="14">
        <f t="shared" si="1"/>
        <v>8.3000000000000007</v>
      </c>
      <c r="M22" s="12">
        <f>2.1+3.8+2.4</f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67.3</v>
      </c>
      <c r="F27" s="13">
        <f t="shared" si="2"/>
        <v>21.6</v>
      </c>
      <c r="G27" s="13">
        <f>SUM(G7:G26)</f>
        <v>31.8</v>
      </c>
      <c r="H27" s="13">
        <f>SUM(H7:H26)</f>
        <v>47.5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232.32999999999996</v>
      </c>
      <c r="M27" s="13">
        <f t="shared" si="2"/>
        <v>232.32999999999998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2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DATE(2015,9,1)</f>
        <v>42248</v>
      </c>
      <c r="E4" s="36">
        <f>D4+1</f>
        <v>42249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VLOOKUP($B7,'0109'!$B7:$N26,12,0)</f>
        <v>86</v>
      </c>
      <c r="E7" s="10">
        <v>40</v>
      </c>
      <c r="F7" s="10">
        <v>4</v>
      </c>
      <c r="G7" s="10">
        <v>20</v>
      </c>
      <c r="H7" s="11">
        <v>6</v>
      </c>
      <c r="I7" s="10">
        <v>6</v>
      </c>
      <c r="J7" s="10">
        <v>2</v>
      </c>
      <c r="K7" s="10"/>
      <c r="L7" s="14">
        <f>D7+E7-SUM(F7:K7)</f>
        <v>88</v>
      </c>
      <c r="M7" s="10">
        <v>88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VLOOKUP($B8,'0109'!$B8:$N27,12,0)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VLOOKUP($B9,'0109'!$B9:$N28,12,0)</f>
        <v>7.8</v>
      </c>
      <c r="E9" s="10">
        <v>17.45</v>
      </c>
      <c r="F9" s="11"/>
      <c r="G9" s="10">
        <v>2.9</v>
      </c>
      <c r="H9" s="10">
        <v>2.4</v>
      </c>
      <c r="I9" s="10">
        <v>1</v>
      </c>
      <c r="J9" s="10"/>
      <c r="K9" s="10"/>
      <c r="L9" s="14">
        <f>D9+E9-SUM(F9:K9)</f>
        <v>18.95</v>
      </c>
      <c r="M9" s="16">
        <f>1.5+17.45</f>
        <v>18.95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VLOOKUP($B10,'0109'!$B10:$N29,12,0)</f>
        <v>12</v>
      </c>
      <c r="F10" s="11"/>
      <c r="G10" s="10"/>
      <c r="H10" s="10">
        <v>1.2</v>
      </c>
      <c r="I10" s="11"/>
      <c r="J10" s="10"/>
      <c r="K10" s="10"/>
      <c r="L10" s="14">
        <f>D10+E10-SUM(F10:K10)</f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VLOOKUP($B11,'0109'!$B11:$N30,12,0)</f>
        <v>10.4</v>
      </c>
      <c r="E11" s="10">
        <v>23.85</v>
      </c>
      <c r="F11" s="11"/>
      <c r="G11" s="10">
        <v>3</v>
      </c>
      <c r="H11" s="10">
        <v>2.5</v>
      </c>
      <c r="I11" s="11">
        <v>1</v>
      </c>
      <c r="J11" s="10"/>
      <c r="K11" s="10"/>
      <c r="L11" s="21">
        <f>D11+E11-SUM(F11:K11)</f>
        <v>27.75</v>
      </c>
      <c r="M11" s="17">
        <v>27.75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VLOOKUP($B12,'0109'!$B12:$N31,12,0)</f>
        <v>13.5</v>
      </c>
      <c r="E12" s="10"/>
      <c r="F12" s="11"/>
      <c r="G12" s="10">
        <v>0.5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11.5</v>
      </c>
      <c r="M12" s="10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VLOOKUP($B14,'0109'!$B14:$N33,12,0)</f>
        <v>11.63</v>
      </c>
      <c r="E14" s="10"/>
      <c r="F14" s="11">
        <v>0.5</v>
      </c>
      <c r="G14" s="10"/>
      <c r="H14" s="10"/>
      <c r="I14" s="11"/>
      <c r="J14" s="10"/>
      <c r="K14" s="10"/>
      <c r="L14" s="14">
        <f t="shared" si="1"/>
        <v>11.13</v>
      </c>
      <c r="M14" s="10">
        <f>9.13+2</f>
        <v>11.13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VLOOKUP($B15,'0109'!$B15:$N34,12,0)</f>
        <v>13.2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12.7</v>
      </c>
      <c r="M15" s="23">
        <v>12.7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VLOOKUP($B16,'0109'!$B16:$N35,12,0)</f>
        <v>40.1</v>
      </c>
      <c r="E16" s="10"/>
      <c r="F16" s="11"/>
      <c r="G16" s="10">
        <v>20</v>
      </c>
      <c r="H16" s="10"/>
      <c r="I16" s="10"/>
      <c r="J16" s="10"/>
      <c r="K16" s="10"/>
      <c r="L16" s="14">
        <f t="shared" si="1"/>
        <v>20.100000000000001</v>
      </c>
      <c r="M16" s="10">
        <v>20</v>
      </c>
      <c r="N16" s="15">
        <f t="shared" si="0"/>
        <v>-0.10000000000000142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VLOOKUP($B18,'0109'!$B18:$N37,12,0)</f>
        <v>9.1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6.6999999999999993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VLOOKUP($B20,'0109'!$B20:$N39,12,0)</f>
        <v>12.5</v>
      </c>
      <c r="E20" s="12">
        <v>12.13</v>
      </c>
      <c r="F20" s="12"/>
      <c r="G20" s="12"/>
      <c r="H20" s="11">
        <v>0.5</v>
      </c>
      <c r="I20" s="12"/>
      <c r="J20" s="12"/>
      <c r="K20" s="12"/>
      <c r="L20" s="14">
        <f t="shared" si="1"/>
        <v>24.130000000000003</v>
      </c>
      <c r="M20" s="12">
        <v>24.13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VLOOKUP($B21,'0109'!$B21:$N40,12,0)</f>
        <v>4.2</v>
      </c>
      <c r="E21" s="12"/>
      <c r="F21" s="12"/>
      <c r="G21" s="12">
        <v>1.5</v>
      </c>
      <c r="H21" s="11">
        <v>1.2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VLOOKUP($B22,'0109'!$B22:$N41,12,0)</f>
        <v>8.3000000000000007</v>
      </c>
      <c r="E22" s="10"/>
      <c r="F22" s="10"/>
      <c r="G22" s="12"/>
      <c r="H22" s="11"/>
      <c r="I22" s="12"/>
      <c r="J22" s="12"/>
      <c r="K22" s="12"/>
      <c r="L22" s="14">
        <f t="shared" si="1"/>
        <v>8.3000000000000007</v>
      </c>
      <c r="M22" s="12"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93.43</v>
      </c>
      <c r="F27" s="13">
        <f t="shared" si="2"/>
        <v>4.5</v>
      </c>
      <c r="G27" s="13">
        <f>SUM(G7:G26)</f>
        <v>49.9</v>
      </c>
      <c r="H27" s="13">
        <f>SUM(H7:H26)</f>
        <v>14.899999999999999</v>
      </c>
      <c r="I27" s="13">
        <f t="shared" si="2"/>
        <v>9.9</v>
      </c>
      <c r="J27" s="13">
        <f t="shared" si="2"/>
        <v>2</v>
      </c>
      <c r="K27" s="13">
        <f t="shared" si="2"/>
        <v>0</v>
      </c>
      <c r="L27" s="13">
        <f t="shared" si="2"/>
        <v>244.55999999999997</v>
      </c>
      <c r="M27" s="13">
        <f t="shared" si="2"/>
        <v>244.45999999999998</v>
      </c>
      <c r="N27" s="13">
        <f t="shared" si="2"/>
        <v>-0.10000000000000142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DATE(2015,9,2)</f>
        <v>42249</v>
      </c>
      <c r="E4" s="36">
        <f>D4+1</f>
        <v>42250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60</v>
      </c>
      <c r="H6" s="5" t="s">
        <v>46</v>
      </c>
      <c r="I6" s="5" t="s">
        <v>42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VLOOKUP($B7,'0209'!$B7:$N26,12,0)</f>
        <v>88</v>
      </c>
      <c r="E7" s="10">
        <v>40</v>
      </c>
      <c r="F7" s="10">
        <v>4</v>
      </c>
      <c r="G7" s="10">
        <v>16</v>
      </c>
      <c r="H7" s="11">
        <v>40</v>
      </c>
      <c r="I7" s="10">
        <v>12</v>
      </c>
      <c r="J7" s="10">
        <v>2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VLOOKUP($B8,'0209'!$B8:$N27,12,0)</f>
        <v>3</v>
      </c>
      <c r="E8" s="10">
        <v>7.55</v>
      </c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VLOOKUP($B9,'0209'!$B9:$N28,12,0)</f>
        <v>18.95</v>
      </c>
      <c r="E9" s="10">
        <v>17.7</v>
      </c>
      <c r="F9" s="11"/>
      <c r="G9" s="10">
        <v>6</v>
      </c>
      <c r="H9" s="10">
        <v>8.9499999999999993</v>
      </c>
      <c r="I9" s="10">
        <v>4</v>
      </c>
      <c r="J9" s="10"/>
      <c r="K9" s="10"/>
      <c r="L9" s="14">
        <f>D9+E9-SUM(F9:K9)</f>
        <v>17.7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VLOOKUP($B10,'0209'!$B10:$N29,12,0)</f>
        <v>10.8</v>
      </c>
      <c r="F10" s="11"/>
      <c r="G10" s="10"/>
      <c r="H10" s="10"/>
      <c r="I10" s="11">
        <v>0.9</v>
      </c>
      <c r="J10" s="10"/>
      <c r="K10" s="10"/>
      <c r="L10" s="14">
        <f>D10+E10-SUM(F10:K10)</f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VLOOKUP($B11,'0209'!$B11:$N30,12,0)</f>
        <v>27.75</v>
      </c>
      <c r="E11" s="10"/>
      <c r="F11" s="11"/>
      <c r="G11" s="10">
        <v>7.75</v>
      </c>
      <c r="H11" s="10">
        <v>4.9000000000000004</v>
      </c>
      <c r="I11" s="11"/>
      <c r="J11" s="10"/>
      <c r="K11" s="10"/>
      <c r="L11" s="21">
        <f>D11+E11-SUM(F11:K11)</f>
        <v>15.1</v>
      </c>
      <c r="M11" s="17">
        <v>15.1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VLOOKUP($B12,'0209'!$B12:$N31,12,0)</f>
        <v>11.5</v>
      </c>
      <c r="E12" s="10"/>
      <c r="F12" s="11"/>
      <c r="G12" s="10"/>
      <c r="H12" s="10">
        <v>2</v>
      </c>
      <c r="I12" s="11">
        <v>4</v>
      </c>
      <c r="J12" s="10"/>
      <c r="K12" s="10"/>
      <c r="L12" s="14">
        <f t="shared" ref="L12:L22" si="1">D12+E12-SUM(F12:K12)</f>
        <v>5.5</v>
      </c>
      <c r="M12" s="10">
        <v>5.5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VLOOKUP($B14,'0209'!$B14:$N33,12,0)</f>
        <v>11.13</v>
      </c>
      <c r="E14" s="10"/>
      <c r="F14" s="11"/>
      <c r="G14" s="10"/>
      <c r="H14" s="10"/>
      <c r="I14" s="11">
        <v>2</v>
      </c>
      <c r="J14" s="10"/>
      <c r="K14" s="10"/>
      <c r="L14" s="14">
        <f t="shared" si="1"/>
        <v>9.1300000000000008</v>
      </c>
      <c r="M14" s="10">
        <v>9.1300000000000008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VLOOKUP($B15,'0209'!$B15:$N34,12,0)</f>
        <v>12.7</v>
      </c>
      <c r="E15" s="10"/>
      <c r="F15" s="11"/>
      <c r="G15" s="10"/>
      <c r="H15" s="10"/>
      <c r="I15" s="10">
        <v>2</v>
      </c>
      <c r="J15" s="10"/>
      <c r="K15" s="10"/>
      <c r="L15" s="14">
        <f t="shared" si="1"/>
        <v>10.7</v>
      </c>
      <c r="M15" s="23">
        <v>10.7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VLOOKUP($B16,'0209'!$B16:$N35,12,0)</f>
        <v>20</v>
      </c>
      <c r="E16" s="10"/>
      <c r="F16" s="11"/>
      <c r="G16" s="10"/>
      <c r="H16" s="10"/>
      <c r="I16" s="10">
        <v>2</v>
      </c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VLOOKUP($B18,'0209'!$B18:$N37,12,0)</f>
        <v>6.7</v>
      </c>
      <c r="E18" s="10"/>
      <c r="F18" s="11"/>
      <c r="G18" s="10"/>
      <c r="H18" s="10"/>
      <c r="I18" s="10"/>
      <c r="J18" s="10"/>
      <c r="K18" s="10"/>
      <c r="L18" s="14">
        <f t="shared" si="1"/>
        <v>6.7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VLOOKUP($B20,'0209'!$B20:$N39,12,0)</f>
        <v>24.13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19.13</v>
      </c>
      <c r="M20" s="12">
        <v>19.13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VLOOKUP($B21,'0209'!$B21:$N40,12,0)</f>
        <v>1.5</v>
      </c>
      <c r="E21" s="12">
        <v>10.55</v>
      </c>
      <c r="F21" s="12"/>
      <c r="G21" s="12">
        <v>8</v>
      </c>
      <c r="H21" s="11">
        <v>2</v>
      </c>
      <c r="I21" s="12">
        <v>1.5</v>
      </c>
      <c r="J21" s="12"/>
      <c r="K21" s="12"/>
      <c r="L21" s="14">
        <f t="shared" si="1"/>
        <v>0.55000000000000071</v>
      </c>
      <c r="M21" s="12">
        <v>0.55000000000000004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VLOOKUP($B22,'0209'!$B22:$N41,12,0)</f>
        <v>8.3000000000000007</v>
      </c>
      <c r="E22" s="10"/>
      <c r="F22" s="10"/>
      <c r="G22" s="12"/>
      <c r="H22" s="11"/>
      <c r="I22" s="12">
        <v>1.5</v>
      </c>
      <c r="J22" s="12"/>
      <c r="K22" s="12"/>
      <c r="L22" s="14">
        <f t="shared" si="1"/>
        <v>6.8000000000000007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75.8</v>
      </c>
      <c r="F27" s="13">
        <f t="shared" si="2"/>
        <v>4</v>
      </c>
      <c r="G27" s="13">
        <f>SUM(G7:G26)</f>
        <v>37.75</v>
      </c>
      <c r="H27" s="13">
        <f>SUM(H7:H26)</f>
        <v>62.85</v>
      </c>
      <c r="I27" s="13">
        <f t="shared" si="2"/>
        <v>29.9</v>
      </c>
      <c r="J27" s="13">
        <f t="shared" si="2"/>
        <v>2</v>
      </c>
      <c r="K27" s="13">
        <f t="shared" si="2"/>
        <v>0</v>
      </c>
      <c r="L27" s="13">
        <f t="shared" si="2"/>
        <v>183.76</v>
      </c>
      <c r="M27" s="13">
        <f t="shared" si="2"/>
        <v>183.76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DATE(2015,9,3)</f>
        <v>42250</v>
      </c>
      <c r="E4" s="36">
        <f>D4+1</f>
        <v>42251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VLOOKUP($B7,'0309'!$B7:$N26,12,0)</f>
        <v>54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VLOOKUP($B8,'0309'!$B8:$N27,12,0)</f>
        <v>10.55</v>
      </c>
      <c r="E8" s="10"/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VLOOKUP($B9,'0309'!$B9:$N28,12,0)</f>
        <v>17.7</v>
      </c>
      <c r="E9" s="10">
        <v>17.850000000000001</v>
      </c>
      <c r="F9" s="11"/>
      <c r="G9" s="10">
        <v>10.7</v>
      </c>
      <c r="H9" s="10">
        <v>10</v>
      </c>
      <c r="I9" s="10"/>
      <c r="J9" s="10"/>
      <c r="K9" s="10"/>
      <c r="L9" s="14">
        <f>D9+E9-SUM(F9:K9)</f>
        <v>14.849999999999998</v>
      </c>
      <c r="M9" s="16">
        <v>14.85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VLOOKUP($B10,'0309'!$B10:$N29,12,0)</f>
        <v>9.9</v>
      </c>
      <c r="F10" s="11"/>
      <c r="G10" s="10">
        <v>3</v>
      </c>
      <c r="H10" s="10"/>
      <c r="I10" s="11"/>
      <c r="J10" s="10"/>
      <c r="K10" s="10"/>
      <c r="L10" s="14">
        <f>D10+E10-SUM(F10:K10)</f>
        <v>6.9</v>
      </c>
      <c r="M10" s="10">
        <v>6.9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VLOOKUP($B11,'0309'!$B11:$N30,12,0)</f>
        <v>15.1</v>
      </c>
      <c r="E11" s="10">
        <v>23.6</v>
      </c>
      <c r="F11" s="11"/>
      <c r="G11" s="10">
        <v>6</v>
      </c>
      <c r="H11" s="10"/>
      <c r="I11" s="11"/>
      <c r="J11" s="10"/>
      <c r="K11" s="10"/>
      <c r="L11" s="21">
        <f>D11+E11-SUM(F11:K11)</f>
        <v>32.700000000000003</v>
      </c>
      <c r="M11" s="17">
        <f>9.1+23.6</f>
        <v>32.700000000000003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VLOOKUP($B12,'0309'!$B12:$N31,12,0)</f>
        <v>5.5</v>
      </c>
      <c r="E12" s="10"/>
      <c r="F12" s="11"/>
      <c r="G12" s="10">
        <v>2</v>
      </c>
      <c r="H12" s="10">
        <v>1.5</v>
      </c>
      <c r="I12" s="11"/>
      <c r="J12" s="10"/>
      <c r="K12" s="10"/>
      <c r="L12" s="14">
        <f t="shared" ref="L12:L22" si="1">D12+E12-SUM(F12:K12)</f>
        <v>2</v>
      </c>
      <c r="M12" s="10">
        <v>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VLOOKUP($B14,'0309'!$B14:$N33,12,0)</f>
        <v>9.1300000000000008</v>
      </c>
      <c r="E14" s="10"/>
      <c r="F14" s="11"/>
      <c r="G14" s="10">
        <v>3.13</v>
      </c>
      <c r="H14" s="10"/>
      <c r="I14" s="11"/>
      <c r="J14" s="10"/>
      <c r="K14" s="10"/>
      <c r="L14" s="14">
        <f t="shared" si="1"/>
        <v>6.0000000000000009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VLOOKUP($B15,'0309'!$B15:$N34,12,0)</f>
        <v>10.7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7.6999999999999993</v>
      </c>
      <c r="M15" s="23">
        <v>7.7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VLOOKUP($B16,'0309'!$B16:$N35,12,0)</f>
        <v>18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VLOOKUP($B18,'0309'!$B18:$N37,12,0)</f>
        <v>6.7</v>
      </c>
      <c r="E18" s="10"/>
      <c r="F18" s="11">
        <v>0.7</v>
      </c>
      <c r="G18" s="10">
        <v>2.1</v>
      </c>
      <c r="H18" s="10">
        <v>3.9</v>
      </c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VLOOKUP($B20,'0309'!$B20:$N39,12,0)</f>
        <v>19.13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16.13</v>
      </c>
      <c r="M20" s="12">
        <f>10.5+5.63</f>
        <v>16.13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VLOOKUP($B21,'0309'!$B21:$N40,12,0)</f>
        <v>0.55000000000000004</v>
      </c>
      <c r="E21" s="12">
        <v>10.5</v>
      </c>
      <c r="F21" s="12">
        <v>0.55000000000000004</v>
      </c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91.95</v>
      </c>
      <c r="F27" s="13">
        <f t="shared" si="2"/>
        <v>5.25</v>
      </c>
      <c r="G27" s="13">
        <f>SUM(G7:G26)</f>
        <v>64.930000000000007</v>
      </c>
      <c r="H27" s="13">
        <f>SUM(H7:H26)</f>
        <v>15.4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190.13</v>
      </c>
      <c r="M27" s="13">
        <f t="shared" si="2"/>
        <v>190.13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DATE(2015,9,4)</f>
        <v>42251</v>
      </c>
      <c r="E4" s="36">
        <f>D4+1</f>
        <v>42252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VLOOKUP($B7,'0409'!$B7:$N26,12,0)</f>
        <v>60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VLOOKUP($B8,'0409'!$B8:$N27,12,0)</f>
        <v>10.55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8.4500000000000011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VLOOKUP($B9,'0409'!$B9:$N28,12,0)</f>
        <v>14.85</v>
      </c>
      <c r="E9" s="10">
        <v>17.3</v>
      </c>
      <c r="F9" s="11">
        <v>5</v>
      </c>
      <c r="G9" s="10">
        <v>1</v>
      </c>
      <c r="H9" s="10"/>
      <c r="I9" s="10"/>
      <c r="J9" s="10"/>
      <c r="K9" s="10"/>
      <c r="L9" s="14">
        <f>D9+E9-SUM(F9:K9)</f>
        <v>26.15</v>
      </c>
      <c r="M9" s="16">
        <f>8.85+17.3</f>
        <v>26.15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VLOOKUP($B10,'0409'!$B10:$N29,12,0)</f>
        <v>6.9</v>
      </c>
      <c r="F10" s="11"/>
      <c r="G10" s="10">
        <v>2.1</v>
      </c>
      <c r="H10" s="10"/>
      <c r="I10" s="11"/>
      <c r="J10" s="10"/>
      <c r="K10" s="10"/>
      <c r="L10" s="14">
        <f>D10+E10-SUM(F10:K10)</f>
        <v>4.8000000000000007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VLOOKUP($B11,'0409'!$B11:$N30,12,0)</f>
        <v>32.700000000000003</v>
      </c>
      <c r="E11" s="10"/>
      <c r="F11" s="11">
        <v>4.0999999999999996</v>
      </c>
      <c r="G11" s="10">
        <v>2</v>
      </c>
      <c r="H11" s="10"/>
      <c r="I11" s="11"/>
      <c r="J11" s="10"/>
      <c r="K11" s="10"/>
      <c r="L11" s="21">
        <f>D11+E11-SUM(F11:K11)</f>
        <v>26.6</v>
      </c>
      <c r="M11" s="17">
        <f>23.6+3</f>
        <v>26.6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VLOOKUP($B12,'0409'!$B12:$N31,12,0)</f>
        <v>2</v>
      </c>
      <c r="E12" s="10">
        <f>10+2.95</f>
        <v>12.95</v>
      </c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VLOOKUP($B14,'0409'!$B14:$N33,12,0)</f>
        <v>6</v>
      </c>
      <c r="E14" s="10">
        <v>6.3</v>
      </c>
      <c r="F14" s="11">
        <v>2</v>
      </c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VLOOKUP($B15,'0409'!$B15:$N34,12,0)</f>
        <v>7.7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VLOOKUP($B16,'0409'!$B16:$N35,12,0)</f>
        <v>16</v>
      </c>
      <c r="E16" s="10">
        <v>14.4</v>
      </c>
      <c r="F16" s="11">
        <v>2</v>
      </c>
      <c r="G16" s="10"/>
      <c r="H16" s="10"/>
      <c r="I16" s="10"/>
      <c r="J16" s="10"/>
      <c r="K16" s="10"/>
      <c r="L16" s="14">
        <f t="shared" si="1"/>
        <v>28.4</v>
      </c>
      <c r="M16" s="10">
        <f>14+14.4</f>
        <v>28.4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VLOOKUP($B18,'0409'!$B18:$N37,12,0)</f>
        <v>0</v>
      </c>
      <c r="E18" s="10">
        <f>2.1+8.4</f>
        <v>10.5</v>
      </c>
      <c r="F18" s="11">
        <v>2.1</v>
      </c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VLOOKUP($B20,'0409'!$B20:$N39,12,0)</f>
        <v>16.13</v>
      </c>
      <c r="E20" s="12"/>
      <c r="F20" s="12">
        <v>3</v>
      </c>
      <c r="G20" s="12">
        <v>1</v>
      </c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VLOOKUP($B21,'0409'!$B21:$N40,12,0)</f>
        <v>10.5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101.45</v>
      </c>
      <c r="F27" s="13">
        <f t="shared" si="2"/>
        <v>32.300000000000004</v>
      </c>
      <c r="G27" s="13">
        <f>SUM(G7:G26)</f>
        <v>8.1999999999999993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251.08</v>
      </c>
      <c r="M27" s="13">
        <f t="shared" si="2"/>
        <v>251.08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DATE(2015,9,5)</f>
        <v>42252</v>
      </c>
      <c r="E4" s="36">
        <f>D4+1</f>
        <v>42253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VLOOKUP($B7,'0509'!$B7:$N26,12,0)</f>
        <v>90</v>
      </c>
      <c r="E7" s="10"/>
      <c r="F7" s="10"/>
      <c r="G7" s="10">
        <v>12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VLOOKUP($B9,'0509'!$B9:$N28,12,0)</f>
        <v>26.15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43.9</v>
      </c>
      <c r="M9" s="16">
        <f>8.85+17.3+17.75</f>
        <v>43.9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VLOOKUP($B10,'0509'!$B10:$N29,12,0)</f>
        <v>4.8</v>
      </c>
      <c r="F10" s="11"/>
      <c r="G10" s="10"/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VLOOKUP($B11,'0509'!$B11:$N30,12,0)</f>
        <v>26.6</v>
      </c>
      <c r="E11" s="10">
        <v>24.2</v>
      </c>
      <c r="F11" s="11"/>
      <c r="G11" s="10"/>
      <c r="H11" s="10"/>
      <c r="I11" s="11"/>
      <c r="J11" s="10"/>
      <c r="K11" s="10"/>
      <c r="L11" s="21">
        <f>D11+E11-SUM(F11:K11)</f>
        <v>50.8</v>
      </c>
      <c r="M11" s="17">
        <f>23.6+3+24.2</f>
        <v>50.8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VLOOKUP($B12,'0509'!$B12:$N31,12,0)</f>
        <v>14.95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VLOOKUP($B13,'0509'!$B13:$N32,12,0)</f>
        <v>0</v>
      </c>
      <c r="E13" s="10">
        <v>0.7</v>
      </c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VLOOKUP($B14,'0509'!$B14:$N33,12,0)</f>
        <v>10.3</v>
      </c>
      <c r="E14" s="10"/>
      <c r="F14" s="11"/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VLOOKUP($B15,'0509'!$B15:$N34,12,0)</f>
        <v>5.7</v>
      </c>
      <c r="E15" s="10"/>
      <c r="F15" s="11"/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VLOOKUP($B16,'0509'!$B16:$N35,12,0)</f>
        <v>28.4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42.4</v>
      </c>
      <c r="M16" s="10">
        <f>14+14.4+14</f>
        <v>42.4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VLOOKUP($B18,'0509'!$B18:$N37,12,0)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VLOOKUP($B21,'0509'!$B21:$N40,12,0)</f>
        <v>8.4</v>
      </c>
      <c r="E21" s="12"/>
      <c r="F21" s="12"/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56.650000000000006</v>
      </c>
      <c r="F27" s="13">
        <f t="shared" si="2"/>
        <v>0</v>
      </c>
      <c r="G27" s="13">
        <f>SUM(G7:G26)</f>
        <v>12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295.7299999999999</v>
      </c>
      <c r="M27" s="13">
        <f t="shared" si="2"/>
        <v>295.7299999999999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DATE(2015,4,15)</f>
        <v>42109</v>
      </c>
      <c r="E4" s="36">
        <f>D4+1</f>
        <v>42110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VLOOKUP($B7,'1504'!$B7:$N26,12,0)</f>
        <v>54</v>
      </c>
      <c r="E7" s="10">
        <v>30</v>
      </c>
      <c r="F7" s="10"/>
      <c r="G7" s="10">
        <v>22</v>
      </c>
      <c r="H7" s="11"/>
      <c r="I7" s="10"/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VLOOKUP($B8,'1504'!$B8:$N27,12,0)</f>
        <v>7.4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5.9</v>
      </c>
      <c r="M8" s="10"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VLOOKUP($B9,'1504'!$B9:$N28,12,0)</f>
        <v>17.5</v>
      </c>
      <c r="E9" s="10">
        <v>17.600000000000001</v>
      </c>
      <c r="F9" s="11"/>
      <c r="G9" s="10">
        <v>7</v>
      </c>
      <c r="H9" s="10"/>
      <c r="I9" s="10"/>
      <c r="J9" s="10"/>
      <c r="K9" s="10"/>
      <c r="L9" s="14">
        <f t="shared" si="1"/>
        <v>28.1</v>
      </c>
      <c r="M9" s="10">
        <v>28.1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VLOOKUP($B10,'1504'!$B10:$N29,12,0)</f>
        <v>4</v>
      </c>
      <c r="E10">
        <f>34*0.3+0.2</f>
        <v>10.399999999999999</v>
      </c>
      <c r="F10" s="11"/>
      <c r="G10" s="10">
        <v>3</v>
      </c>
      <c r="H10" s="10"/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VLOOKUP($B11,'1504'!$B11:$N30,12,0)</f>
        <v>37</v>
      </c>
      <c r="E11" s="10"/>
      <c r="F11" s="11"/>
      <c r="G11" s="10">
        <v>7</v>
      </c>
      <c r="H11" s="10"/>
      <c r="I11" s="11"/>
      <c r="J11" s="10"/>
      <c r="K11" s="10"/>
      <c r="L11" s="14">
        <f t="shared" si="1"/>
        <v>30</v>
      </c>
      <c r="M11" s="10">
        <v>30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VLOOKUP($B12,'1504'!$B12:$N31,12,0)</f>
        <v>12.6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8.6</v>
      </c>
      <c r="M12" s="10">
        <v>8.6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VLOOKUP($B14,'1504'!$B14:$N33,12,0)</f>
        <v>12.4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10.4</v>
      </c>
      <c r="M14" s="10">
        <v>10.4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VLOOKUP($B15,'1504'!$B15:$N34,12,0)</f>
        <v>11.2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9.1999999999999993</v>
      </c>
      <c r="M15" s="10">
        <v>9.1999999999999993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VLOOKUP($B16,'1504'!$B16:$N35,12,0)</f>
        <v>18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VLOOKUP($B18,'1504'!$B18:$N37,12,0)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VLOOKUP($B20,'1504'!$B20:$N39,12,0)</f>
        <v>17.2</v>
      </c>
      <c r="E20" s="12"/>
      <c r="F20" s="12"/>
      <c r="G20" s="12"/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VLOOKUP($B21,'1504'!$B21:$N40,12,0)</f>
        <v>7.8</v>
      </c>
      <c r="E21" s="12">
        <f>35*0.3</f>
        <v>10.5</v>
      </c>
      <c r="F21" s="12"/>
      <c r="G21" s="12">
        <v>3</v>
      </c>
      <c r="H21" s="11"/>
      <c r="I21" s="12"/>
      <c r="J21" s="12"/>
      <c r="K21" s="12"/>
      <c r="L21" s="14">
        <f t="shared" si="1"/>
        <v>15.3</v>
      </c>
      <c r="M21" s="12">
        <v>15.3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VLOOKUP($B22,'1504'!$B22:$N41,12,0)</f>
        <v>2</v>
      </c>
      <c r="E22" s="10"/>
      <c r="F22" s="10"/>
      <c r="G22" s="12">
        <v>2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211.79999999999998</v>
      </c>
      <c r="E27" s="13">
        <f t="shared" si="2"/>
        <v>68.5</v>
      </c>
      <c r="F27" s="13">
        <f t="shared" si="2"/>
        <v>0</v>
      </c>
      <c r="G27" s="13">
        <f t="shared" si="2"/>
        <v>57.5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222.79999999999998</v>
      </c>
      <c r="M27" s="13">
        <f t="shared" si="2"/>
        <v>222.79999999999998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8" priority="1" stopIfTrue="1" operator="lessThan">
      <formula>0</formula>
    </cfRule>
  </conditionalFormatting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DATE(2015,9,6)</f>
        <v>42253</v>
      </c>
      <c r="E4" s="36">
        <f>D4+1</f>
        <v>42254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VLOOKUP($B7,'0609'!$B7:$N26,12,0)</f>
        <v>78</v>
      </c>
      <c r="E7" s="10">
        <v>40</v>
      </c>
      <c r="F7" s="10"/>
      <c r="G7" s="10">
        <v>8</v>
      </c>
      <c r="H7" s="11">
        <v>8</v>
      </c>
      <c r="I7" s="10"/>
      <c r="J7" s="10"/>
      <c r="K7" s="10"/>
      <c r="L7" s="14">
        <f>D7+E7-SUM(F7:K7)</f>
        <v>102</v>
      </c>
      <c r="M7" s="10">
        <v>102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VLOOKUP($B9,'0609'!$B9:$N28,12,0)</f>
        <v>43.9</v>
      </c>
      <c r="E9" s="10">
        <v>16.600000000000001</v>
      </c>
      <c r="F9" s="11"/>
      <c r="G9" s="10">
        <v>2</v>
      </c>
      <c r="H9" s="10"/>
      <c r="I9" s="10"/>
      <c r="J9" s="10"/>
      <c r="K9" s="10"/>
      <c r="L9" s="14">
        <f>D9+E9-SUM(F9:K9)</f>
        <v>58.5</v>
      </c>
      <c r="M9" s="16">
        <f>17.7+6.85+17.35+16.6</f>
        <v>58.5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VLOOKUP($B10,'0609'!$B10:$N29,12,0)</f>
        <v>4.8</v>
      </c>
      <c r="E10">
        <v>11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f>4.8+11</f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VLOOKUP($B11,'0609'!$B11:$N30,12,0)</f>
        <v>50.8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48.8</v>
      </c>
      <c r="M11" s="17">
        <f>24.6+24.2</f>
        <v>48.8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VLOOKUP($B12,'0609'!$B12:$N31,12,0)</f>
        <v>14.95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VLOOKUP($B13,'0609'!$B13:$N32,12,0)</f>
        <v>0.7</v>
      </c>
      <c r="E13" s="10"/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VLOOKUP($B14,'0609'!$B14:$N33,12,0)</f>
        <v>10.3</v>
      </c>
      <c r="E14" s="10"/>
      <c r="F14" s="11"/>
      <c r="G14" s="10">
        <v>2.5</v>
      </c>
      <c r="H14" s="10"/>
      <c r="I14" s="11"/>
      <c r="J14" s="10"/>
      <c r="K14" s="10"/>
      <c r="L14" s="14">
        <f t="shared" si="1"/>
        <v>7.8000000000000007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VLOOKUP($B15,'0609'!$B15:$N34,12,0)</f>
        <v>5.7</v>
      </c>
      <c r="E15" s="10"/>
      <c r="F15" s="11"/>
      <c r="G15" s="10">
        <v>3.7</v>
      </c>
      <c r="H15" s="10"/>
      <c r="I15" s="10"/>
      <c r="J15" s="10"/>
      <c r="K15" s="10"/>
      <c r="L15" s="14">
        <f t="shared" si="1"/>
        <v>2</v>
      </c>
      <c r="M15" s="23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VLOOKUP($B16,'0609'!$B16:$N35,12,0)</f>
        <v>42.4</v>
      </c>
      <c r="E16" s="10">
        <v>7.85</v>
      </c>
      <c r="F16" s="11"/>
      <c r="G16" s="10">
        <v>3</v>
      </c>
      <c r="H16" s="10">
        <v>10</v>
      </c>
      <c r="I16" s="10"/>
      <c r="J16" s="10"/>
      <c r="K16" s="10"/>
      <c r="L16" s="14">
        <f t="shared" si="1"/>
        <v>37.25</v>
      </c>
      <c r="M16" s="10">
        <f>7.85+14+1+14.4</f>
        <v>37.25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VLOOKUP($B18,'0609'!$B18:$N37,12,0)</f>
        <v>8.4</v>
      </c>
      <c r="E18" s="10"/>
      <c r="F18" s="11"/>
      <c r="G18" s="10">
        <v>0.3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5+5.63+1.5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VLOOKUP($B21,'0609'!$B21:$N40,12,0)</f>
        <v>8.4</v>
      </c>
      <c r="E21" s="12">
        <v>9.65</v>
      </c>
      <c r="F21" s="12"/>
      <c r="G21" s="12"/>
      <c r="H21" s="11"/>
      <c r="I21" s="12"/>
      <c r="J21" s="12"/>
      <c r="K21" s="12"/>
      <c r="L21" s="14">
        <f t="shared" si="1"/>
        <v>18.05</v>
      </c>
      <c r="M21" s="12">
        <f>8.4+9.65</f>
        <v>18.05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VLOOKUP($B22,'0609'!$B22:$N41,12,0)</f>
        <v>6.8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5.6</v>
      </c>
      <c r="M22" s="12">
        <f>3.8+1.8</f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85.1</v>
      </c>
      <c r="F27" s="13">
        <f t="shared" si="2"/>
        <v>0</v>
      </c>
      <c r="G27" s="13">
        <f>SUM(G7:G26)</f>
        <v>23.7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339.13000000000005</v>
      </c>
      <c r="M27" s="13">
        <f t="shared" si="2"/>
        <v>339.13000000000005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DATE(2015,9,7)</f>
        <v>42254</v>
      </c>
      <c r="E4" s="36">
        <f>D4+1</f>
        <v>42255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VLOOKUP($B7,'0709'!$B7:$N26,12,0)</f>
        <v>102</v>
      </c>
      <c r="E7" s="10">
        <v>30</v>
      </c>
      <c r="F7" s="10">
        <v>4</v>
      </c>
      <c r="G7" s="10">
        <v>6</v>
      </c>
      <c r="H7" s="11">
        <v>16</v>
      </c>
      <c r="I7" s="10"/>
      <c r="J7" s="10"/>
      <c r="K7" s="10"/>
      <c r="L7" s="14">
        <f>D7+E7-SUM(F7:K7)</f>
        <v>106</v>
      </c>
      <c r="M7" s="10">
        <f>76+30</f>
        <v>106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VLOOKUP($B9,'0709'!$B9:$N28,12,0)</f>
        <v>58.5</v>
      </c>
      <c r="E9" s="10"/>
      <c r="F9" s="11"/>
      <c r="G9" s="10">
        <v>3.85</v>
      </c>
      <c r="H9" s="10"/>
      <c r="I9" s="10"/>
      <c r="J9" s="10"/>
      <c r="K9" s="10"/>
      <c r="L9" s="14">
        <f>D9+E9-SUM(F9:K9)</f>
        <v>54.65</v>
      </c>
      <c r="M9" s="16">
        <v>54.65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VLOOKUP($B10,'0709'!$B10:$N29,12,0)</f>
        <v>15.8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VLOOKUP($B11,'0709'!$B11:$N30,12,0)</f>
        <v>48.8</v>
      </c>
      <c r="E11" s="10">
        <v>23.95</v>
      </c>
      <c r="F11" s="11"/>
      <c r="G11" s="10">
        <v>2.1</v>
      </c>
      <c r="H11" s="10"/>
      <c r="I11" s="11"/>
      <c r="J11" s="10"/>
      <c r="K11" s="10"/>
      <c r="L11" s="21">
        <f>D11+E11-SUM(F11:K11)</f>
        <v>70.650000000000006</v>
      </c>
      <c r="M11" s="17">
        <v>70.650000000000006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VLOOKUP($B12,'0709'!$B12:$N31,12,0)</f>
        <v>13.95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VLOOKUP($B13,'0709'!$B13:$N32,12,0)</f>
        <v>0.7</v>
      </c>
      <c r="E13" s="10"/>
      <c r="F13" s="11">
        <v>0.7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VLOOKUP($B14,'0709'!$B14:$N33,12,0)</f>
        <v>7.8</v>
      </c>
      <c r="E14" s="10"/>
      <c r="F14" s="11"/>
      <c r="G14" s="10"/>
      <c r="H14" s="10"/>
      <c r="I14" s="11"/>
      <c r="J14" s="10"/>
      <c r="K14" s="10"/>
      <c r="L14" s="14">
        <f t="shared" si="1"/>
        <v>7.8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VLOOKUP($B15,'0709'!$B15:$N34,12,0)</f>
        <v>2</v>
      </c>
      <c r="E15" s="10">
        <v>8.3699999999999992</v>
      </c>
      <c r="F15" s="11"/>
      <c r="G15" s="10"/>
      <c r="H15" s="10"/>
      <c r="I15" s="10"/>
      <c r="J15" s="10"/>
      <c r="K15" s="10"/>
      <c r="L15" s="14">
        <f t="shared" si="1"/>
        <v>10.37</v>
      </c>
      <c r="M15" s="23">
        <v>10.37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VLOOKUP($B16,'0709'!$B16:$N35,12,0)</f>
        <v>37.25</v>
      </c>
      <c r="E16" s="10">
        <v>7.35</v>
      </c>
      <c r="F16" s="11"/>
      <c r="G16" s="10">
        <v>1.5</v>
      </c>
      <c r="H16" s="10"/>
      <c r="I16" s="10"/>
      <c r="J16" s="10"/>
      <c r="K16" s="10"/>
      <c r="L16" s="14">
        <f t="shared" si="1"/>
        <v>43.1</v>
      </c>
      <c r="M16" s="10">
        <v>43.1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VLOOKUP($B18,'0709'!$B18:$N37,12,0)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VLOOKUP($B20,'0709'!$B20:$N39,12,0)</f>
        <v>12.129999999999999</v>
      </c>
      <c r="E20" s="12"/>
      <c r="F20" s="12"/>
      <c r="G20" s="12">
        <v>2.63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VLOOKUP($B21,'0709'!$B21:$N40,12,0)</f>
        <v>18.05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16.55</v>
      </c>
      <c r="M21" s="12">
        <v>16.55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69.67</v>
      </c>
      <c r="F27" s="13">
        <f t="shared" si="2"/>
        <v>4.7</v>
      </c>
      <c r="G27" s="13">
        <f>SUM(G7:G26)</f>
        <v>17.579999999999998</v>
      </c>
      <c r="H27" s="13">
        <f>SUM(H7:H26)</f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370.5200000000001</v>
      </c>
      <c r="M27" s="13">
        <f t="shared" si="2"/>
        <v>370.5200000000001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DATE(2015,9,8)</f>
        <v>42255</v>
      </c>
      <c r="E4" s="36">
        <f>D4+1</f>
        <v>42256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54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VLOOKUP($B7,'0809'!$B7:$N26,12,0)</f>
        <v>106</v>
      </c>
      <c r="E7" s="10">
        <v>40</v>
      </c>
      <c r="F7" s="10">
        <v>4</v>
      </c>
      <c r="G7" s="10">
        <v>26</v>
      </c>
      <c r="H7" s="11">
        <v>8</v>
      </c>
      <c r="I7" s="10">
        <v>8</v>
      </c>
      <c r="J7" s="10">
        <v>2</v>
      </c>
      <c r="K7" s="10">
        <v>8</v>
      </c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VLOOKUP($B8,'0809'!$B8:$N27,12,0)</f>
        <v>8.4499999999999993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7.5499999999999989</v>
      </c>
      <c r="M8" s="10">
        <v>7.55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VLOOKUP($B9,'0809'!$B9:$N28,12,0)</f>
        <v>54.65</v>
      </c>
      <c r="E9" s="10"/>
      <c r="F9" s="11">
        <v>3</v>
      </c>
      <c r="G9" s="10">
        <v>3</v>
      </c>
      <c r="H9" s="10">
        <v>2.2999999999999998</v>
      </c>
      <c r="I9" s="10">
        <v>2</v>
      </c>
      <c r="J9" s="10"/>
      <c r="K9" s="10"/>
      <c r="L9" s="14">
        <f>D9+E9-SUM(F9:K9)</f>
        <v>44.349999999999994</v>
      </c>
      <c r="M9" s="16">
        <v>44.35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VLOOKUP($B10,'0809'!$B10:$N29,12,0)</f>
        <v>15.8</v>
      </c>
      <c r="F10" s="11"/>
      <c r="G10" s="10"/>
      <c r="H10" s="10">
        <v>1.2</v>
      </c>
      <c r="I10" s="11"/>
      <c r="J10" s="10"/>
      <c r="K10" s="10"/>
      <c r="L10" s="14">
        <f>D10+E10-SUM(F10:K10)</f>
        <v>14.600000000000001</v>
      </c>
      <c r="M10" s="10">
        <v>14.6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VLOOKUP($B11,'0809'!$B11:$N30,12,0)</f>
        <v>70.650000000000006</v>
      </c>
      <c r="E11" s="10"/>
      <c r="F11" s="11"/>
      <c r="G11" s="10">
        <v>4</v>
      </c>
      <c r="H11" s="10">
        <v>3.5</v>
      </c>
      <c r="I11" s="11">
        <v>3</v>
      </c>
      <c r="J11" s="10"/>
      <c r="K11" s="10"/>
      <c r="L11" s="21">
        <f>D11+E11-SUM(F11:K11)</f>
        <v>60.150000000000006</v>
      </c>
      <c r="M11" s="17">
        <f>24.2+12+23.95</f>
        <v>60.150000000000006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VLOOKUP($B12,'0809'!$B12:$N31,12,0)</f>
        <v>13.95</v>
      </c>
      <c r="E12" s="10"/>
      <c r="F12" s="11">
        <v>1</v>
      </c>
      <c r="G12" s="10">
        <v>2.5</v>
      </c>
      <c r="H12" s="10">
        <v>0.95</v>
      </c>
      <c r="I12" s="11"/>
      <c r="J12" s="10"/>
      <c r="K12" s="10"/>
      <c r="L12" s="14">
        <f t="shared" ref="L12:L22" si="1">D12+E12-SUM(F12:K12)</f>
        <v>9.5</v>
      </c>
      <c r="M12" s="10">
        <v>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VLOOKUP($B13,'0809'!$B13:$N32,12,0)</f>
        <v>0</v>
      </c>
      <c r="E13" s="10">
        <v>2.7</v>
      </c>
      <c r="F13" s="11">
        <v>2.7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VLOOKUP($B14,'0809'!$B14:$N33,12,0)</f>
        <v>7.8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6.3</v>
      </c>
      <c r="M14" s="10">
        <v>6.5</v>
      </c>
      <c r="N14" s="15">
        <f t="shared" si="0"/>
        <v>0.20000000000000018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VLOOKUP($B15,'0809'!$B15:$N34,12,0)</f>
        <v>10.37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7.8699999999999992</v>
      </c>
      <c r="M15" s="23">
        <v>7.87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VLOOKUP($B16,'0809'!$B16:$N35,12,0)</f>
        <v>43.1</v>
      </c>
      <c r="E16" s="10">
        <v>11.35</v>
      </c>
      <c r="F16" s="11"/>
      <c r="G16" s="10">
        <v>29.9</v>
      </c>
      <c r="H16" s="10"/>
      <c r="I16" s="10"/>
      <c r="J16" s="10"/>
      <c r="K16" s="10"/>
      <c r="L16" s="14">
        <f t="shared" si="1"/>
        <v>24.550000000000004</v>
      </c>
      <c r="M16" s="10">
        <f>13.2+11.35</f>
        <v>24.549999999999997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VLOOKUP($B18,'0809'!$B18:$N37,12,0)</f>
        <v>8.1</v>
      </c>
      <c r="E18" s="10"/>
      <c r="F18" s="11"/>
      <c r="G18" s="10">
        <v>0.9</v>
      </c>
      <c r="H18" s="10"/>
      <c r="I18" s="10">
        <v>0.9</v>
      </c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VLOOKUP($B20,'0809'!$B20:$N39,12,0)</f>
        <v>9.5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VLOOKUP($B21,'0809'!$B21:$N40,12,0)</f>
        <v>16.55</v>
      </c>
      <c r="E21" s="12"/>
      <c r="F21" s="12"/>
      <c r="G21" s="12">
        <v>1.8</v>
      </c>
      <c r="H21" s="11">
        <v>1.2</v>
      </c>
      <c r="I21" s="12">
        <v>1.2</v>
      </c>
      <c r="J21" s="12"/>
      <c r="K21" s="12"/>
      <c r="L21" s="14">
        <f t="shared" si="1"/>
        <v>12.350000000000001</v>
      </c>
      <c r="M21" s="12">
        <v>12.35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54.050000000000004</v>
      </c>
      <c r="F27" s="13">
        <f t="shared" si="2"/>
        <v>10.7</v>
      </c>
      <c r="G27" s="13">
        <f>SUM(G7:G26)</f>
        <v>72.100000000000009</v>
      </c>
      <c r="H27" s="13">
        <f>SUM(H7:H26)</f>
        <v>19.049999999999997</v>
      </c>
      <c r="I27" s="13">
        <f t="shared" si="2"/>
        <v>15.1</v>
      </c>
      <c r="J27" s="13">
        <f t="shared" si="2"/>
        <v>2</v>
      </c>
      <c r="K27" s="13">
        <f t="shared" si="2"/>
        <v>8</v>
      </c>
      <c r="L27" s="13">
        <f t="shared" si="2"/>
        <v>297.62000000000006</v>
      </c>
      <c r="M27" s="13">
        <f t="shared" si="2"/>
        <v>297.82000000000005</v>
      </c>
      <c r="N27" s="13">
        <f t="shared" si="2"/>
        <v>0.20000000000000018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DATE(2015,9,9)</f>
        <v>42256</v>
      </c>
      <c r="E4" s="36">
        <f>D4+1</f>
        <v>42257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VLOOKUP($B7,'0909'!$B7:$N26,12,0)</f>
        <v>90</v>
      </c>
      <c r="E7" s="10">
        <v>60</v>
      </c>
      <c r="F7" s="10">
        <v>16</v>
      </c>
      <c r="G7" s="10">
        <v>50</v>
      </c>
      <c r="H7" s="11">
        <v>28</v>
      </c>
      <c r="I7" s="10">
        <v>2</v>
      </c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VLOOKUP($B8,'0909'!$B8:$N27,12,0)</f>
        <v>7.55</v>
      </c>
      <c r="E8" s="10"/>
      <c r="F8" s="11"/>
      <c r="G8" s="10"/>
      <c r="H8" s="10">
        <v>2.1</v>
      </c>
      <c r="I8" s="10"/>
      <c r="J8" s="10"/>
      <c r="K8" s="10"/>
      <c r="L8" s="14">
        <f>D8+E8-SUM(F8:K8)</f>
        <v>5.4499999999999993</v>
      </c>
      <c r="M8" s="10">
        <f>4.55+0.9</f>
        <v>5.45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VLOOKUP($B9,'0909'!$B9:$N28,12,0)</f>
        <v>44.35</v>
      </c>
      <c r="E9" s="10"/>
      <c r="F9" s="11"/>
      <c r="G9" s="10">
        <v>10</v>
      </c>
      <c r="H9" s="10">
        <v>9.85</v>
      </c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VLOOKUP($B10,'0909'!$B10:$N29,12,0)</f>
        <v>14.6</v>
      </c>
      <c r="F10" s="11"/>
      <c r="G10" s="10"/>
      <c r="H10" s="10">
        <v>2.9</v>
      </c>
      <c r="I10" s="11"/>
      <c r="J10" s="10"/>
      <c r="K10" s="10"/>
      <c r="L10" s="14">
        <f>D10+E10-SUM(F10:K10)</f>
        <v>11.7</v>
      </c>
      <c r="M10" s="10">
        <v>11.7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VLOOKUP($B11,'0909'!$B11:$N30,12,0)</f>
        <v>60.150000000000006</v>
      </c>
      <c r="E11" s="10"/>
      <c r="F11" s="11"/>
      <c r="G11" s="10">
        <v>20</v>
      </c>
      <c r="H11" s="10">
        <v>10</v>
      </c>
      <c r="I11" s="11"/>
      <c r="J11" s="10"/>
      <c r="K11" s="10"/>
      <c r="L11" s="21">
        <f>D11+E11-SUM(F11:K11)</f>
        <v>30.150000000000006</v>
      </c>
      <c r="M11" s="17">
        <f>23.95+7</f>
        <v>30.95</v>
      </c>
      <c r="N11" s="20">
        <f t="shared" si="0"/>
        <v>0.79999999999999361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VLOOKUP($B12,'0909'!$B12:$N31,12,0)</f>
        <v>9.5</v>
      </c>
      <c r="E12" s="10">
        <v>12.7</v>
      </c>
      <c r="F12" s="11"/>
      <c r="G12" s="10">
        <v>1.5</v>
      </c>
      <c r="H12" s="10">
        <v>4</v>
      </c>
      <c r="I12" s="11"/>
      <c r="J12" s="10"/>
      <c r="K12" s="10"/>
      <c r="L12" s="14">
        <f t="shared" ref="L12:L22" si="1">D12+E12-SUM(F12:K12)</f>
        <v>16.7</v>
      </c>
      <c r="M12" s="10">
        <f>4+12.7</f>
        <v>16.7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VLOOKUP($B14,'0909'!$B14:$N33,12,0)</f>
        <v>6.5</v>
      </c>
      <c r="E14" s="10">
        <v>5.2</v>
      </c>
      <c r="F14" s="11"/>
      <c r="G14" s="10"/>
      <c r="H14" s="10"/>
      <c r="I14" s="11"/>
      <c r="J14" s="10"/>
      <c r="K14" s="10"/>
      <c r="L14" s="14">
        <f t="shared" si="1"/>
        <v>11.7</v>
      </c>
      <c r="M14" s="10">
        <f>6.5+5.2</f>
        <v>11.7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VLOOKUP($B15,'0909'!$B15:$N34,12,0)</f>
        <v>7.87</v>
      </c>
      <c r="E15" s="10"/>
      <c r="F15" s="11"/>
      <c r="G15" s="10"/>
      <c r="H15" s="10">
        <v>1.37</v>
      </c>
      <c r="I15" s="10"/>
      <c r="J15" s="10"/>
      <c r="K15" s="10"/>
      <c r="L15" s="14">
        <f t="shared" si="1"/>
        <v>6.5</v>
      </c>
      <c r="M15" s="23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VLOOKUP($B16,'0909'!$B16:$N35,12,0)</f>
        <v>24.549999999999997</v>
      </c>
      <c r="E16" s="10"/>
      <c r="F16" s="11"/>
      <c r="G16" s="10"/>
      <c r="H16" s="10">
        <v>4.05</v>
      </c>
      <c r="I16" s="10"/>
      <c r="J16" s="10"/>
      <c r="K16" s="10"/>
      <c r="L16" s="14">
        <f t="shared" si="1"/>
        <v>20.499999999999996</v>
      </c>
      <c r="M16" s="10">
        <f>9.5+11</f>
        <v>20.5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VLOOKUP($B20,'0909'!$B20:$N39,12,0)</f>
        <v>8.5</v>
      </c>
      <c r="E20" s="12"/>
      <c r="F20" s="12"/>
      <c r="G20" s="12">
        <v>7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VLOOKUP($B21,'0909'!$B21:$N40,12,0)</f>
        <v>12.35</v>
      </c>
      <c r="E21" s="12"/>
      <c r="F21" s="12"/>
      <c r="G21" s="12">
        <v>2.1</v>
      </c>
      <c r="H21" s="11">
        <v>3</v>
      </c>
      <c r="I21" s="12"/>
      <c r="J21" s="12"/>
      <c r="K21" s="12"/>
      <c r="L21" s="14">
        <f t="shared" si="1"/>
        <v>7.25</v>
      </c>
      <c r="M21" s="12">
        <v>7.25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VLOOKUP($B22,'0909'!$B22:$N41,12,0)</f>
        <v>5.6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77.900000000000006</v>
      </c>
      <c r="F27" s="13">
        <f t="shared" si="2"/>
        <v>16</v>
      </c>
      <c r="G27" s="13">
        <f>SUM(G7:G26)</f>
        <v>90.6</v>
      </c>
      <c r="H27" s="13">
        <f>SUM(H7:H26)</f>
        <v>68.27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198.85</v>
      </c>
      <c r="M27" s="13">
        <f t="shared" si="2"/>
        <v>199.65</v>
      </c>
      <c r="N27" s="13">
        <f t="shared" si="2"/>
        <v>0.79999999999999361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DATE(2015,9,10)</f>
        <v>42257</v>
      </c>
      <c r="E4" s="36">
        <f>D4+1</f>
        <v>42258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VLOOKUP($B7,'1009'!$B7:$N26,12,0)</f>
        <v>54</v>
      </c>
      <c r="E7" s="10">
        <v>30</v>
      </c>
      <c r="F7" s="10"/>
      <c r="G7" s="10">
        <v>20</v>
      </c>
      <c r="H7" s="11"/>
      <c r="I7" s="10"/>
      <c r="J7" s="10"/>
      <c r="K7" s="10"/>
      <c r="L7" s="14">
        <f>D7+E7-SUM(F7:K7)</f>
        <v>64</v>
      </c>
      <c r="M7" s="10">
        <f>34+30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VLOOKUP($B8,'1009'!$B8:$N27,12,0)</f>
        <v>5.45</v>
      </c>
      <c r="E8" s="10"/>
      <c r="F8" s="11"/>
      <c r="G8" s="10">
        <v>2.15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VLOOKUP($B9,'1009'!$B9:$N28,12,0)</f>
        <v>24.5</v>
      </c>
      <c r="E9" s="10">
        <v>17.5</v>
      </c>
      <c r="F9" s="11"/>
      <c r="G9" s="10">
        <v>7</v>
      </c>
      <c r="H9" s="10">
        <v>3</v>
      </c>
      <c r="I9" s="10"/>
      <c r="J9" s="10"/>
      <c r="K9" s="10"/>
      <c r="L9" s="14">
        <f>D9+E9-SUM(F9:K9)</f>
        <v>32</v>
      </c>
      <c r="M9" s="16">
        <f>14.5+17.5</f>
        <v>32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VLOOKUP($B10,'1009'!$B10:$N29,12,0)</f>
        <v>11.7</v>
      </c>
      <c r="F10" s="11"/>
      <c r="G10" s="10">
        <v>1.2</v>
      </c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VLOOKUP($B11,'1009'!$B11:$N30,12,0)</f>
        <v>30.95</v>
      </c>
      <c r="E11" s="10"/>
      <c r="F11" s="11">
        <f>3+3.95</f>
        <v>6.95</v>
      </c>
      <c r="G11" s="10">
        <v>4</v>
      </c>
      <c r="H11" s="10"/>
      <c r="I11" s="11"/>
      <c r="J11" s="10"/>
      <c r="K11" s="10"/>
      <c r="L11" s="21">
        <f>D11+E11-SUM(F11:K11)</f>
        <v>20</v>
      </c>
      <c r="M11" s="17">
        <v>20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VLOOKUP($B12,'1009'!$B12:$N31,12,0)</f>
        <v>16.7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VLOOKUP($B14,'1009'!$B14:$N33,12,0)</f>
        <v>11.7</v>
      </c>
      <c r="E14" s="10"/>
      <c r="F14" s="11">
        <v>1.2</v>
      </c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VLOOKUP($B15,'1009'!$B15:$N34,12,0)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VLOOKUP($B16,'1009'!$B16:$N35,12,0)</f>
        <v>20.5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17.5</v>
      </c>
      <c r="M16" s="10">
        <f>16+1.5</f>
        <v>17.5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VLOOKUP($B18,'1009'!$B18:$N37,12,0)</f>
        <v>6.3</v>
      </c>
      <c r="E18" s="10"/>
      <c r="F18" s="11">
        <v>1.2</v>
      </c>
      <c r="G18" s="10">
        <v>2.1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VLOOKUP($B20,'1009'!$B20:$N39,12,0)</f>
        <v>1.5</v>
      </c>
      <c r="E20" s="12">
        <v>13</v>
      </c>
      <c r="F20" s="12"/>
      <c r="G20" s="12">
        <v>1</v>
      </c>
      <c r="H20" s="11"/>
      <c r="I20" s="12"/>
      <c r="J20" s="12"/>
      <c r="K20" s="12"/>
      <c r="L20" s="14">
        <f t="shared" si="1"/>
        <v>13.5</v>
      </c>
      <c r="M20" s="12">
        <f>13+0.5</f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VLOOKUP($B21,'1009'!$B21:$N40,12,0)</f>
        <v>7.25</v>
      </c>
      <c r="E21" s="12"/>
      <c r="F21" s="12">
        <v>1.5</v>
      </c>
      <c r="G21" s="12">
        <v>2.1</v>
      </c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10.85</v>
      </c>
      <c r="G27" s="13">
        <f>SUM(G7:G26)</f>
        <v>45.05</v>
      </c>
      <c r="H27" s="13">
        <f>SUM(H7:H26)</f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200.25</v>
      </c>
      <c r="M27" s="13">
        <f t="shared" si="2"/>
        <v>200.25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DATE(2015,9,11)</f>
        <v>42258</v>
      </c>
      <c r="E4" s="36">
        <f>D4+1</f>
        <v>42259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VLOOKUP($B7,'1109'!$B7:$N26,12,0)</f>
        <v>64</v>
      </c>
      <c r="E7" s="10">
        <v>20</v>
      </c>
      <c r="F7" s="10">
        <v>26</v>
      </c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VLOOKUP($B9,'1109'!$B9:$N28,12,0)</f>
        <v>32</v>
      </c>
      <c r="E9" s="10"/>
      <c r="F9" s="11"/>
      <c r="G9" s="10">
        <v>3</v>
      </c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VLOOKUP($B11,'1109'!$B11:$N30,12,0)</f>
        <v>20</v>
      </c>
      <c r="E11" s="10">
        <v>24.64</v>
      </c>
      <c r="F11" s="11"/>
      <c r="G11" s="10">
        <v>2</v>
      </c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VLOOKUP($B16,'1109'!$B16:$N35,12,0)</f>
        <v>17.5</v>
      </c>
      <c r="E16" s="10">
        <v>5.2</v>
      </c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VLOOKUP($B18,'1109'!$B18:$N37,12,0)</f>
        <v>3</v>
      </c>
      <c r="E18" s="10">
        <f>6+4.13</f>
        <v>10.129999999999999</v>
      </c>
      <c r="F18" s="11"/>
      <c r="G18" s="10"/>
      <c r="H18" s="10"/>
      <c r="I18" s="10"/>
      <c r="J18" s="10"/>
      <c r="K18" s="10"/>
      <c r="L18" s="14">
        <f t="shared" si="1"/>
        <v>13.129999999999999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VLOOKUP($B20,'1109'!$B20:$N39,12,0)</f>
        <v>13.5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59.97</v>
      </c>
      <c r="F27" s="13">
        <f t="shared" si="2"/>
        <v>26</v>
      </c>
      <c r="G27" s="13">
        <f>SUM(G7:G26)</f>
        <v>7.2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DATE(2015,9,12)</f>
        <v>42259</v>
      </c>
      <c r="E4" s="36">
        <f>D4+1</f>
        <v>42260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VLOOKUP($B7,'1209'!$B7:$N26,12,0)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VLOOKUP($B9,'1209'!$B9:$N28,12,0)</f>
        <v>29</v>
      </c>
      <c r="E9" s="10"/>
      <c r="F9" s="11"/>
      <c r="G9" s="10"/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VLOOKUP($B11,'1209'!$B11:$N30,12,0)</f>
        <v>42.64</v>
      </c>
      <c r="E11" s="10"/>
      <c r="F11" s="11"/>
      <c r="G11" s="10"/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VLOOKUP($B16,'1209'!$B16:$N35,12,0)</f>
        <v>22.7</v>
      </c>
      <c r="E16" s="10"/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VLOOKUP($B18,'1209'!$B18:$N37,12,0)</f>
        <v>13.13</v>
      </c>
      <c r="E18" s="10"/>
      <c r="F18" s="11"/>
      <c r="G18" s="10"/>
      <c r="H18" s="10"/>
      <c r="I18" s="10"/>
      <c r="J18" s="10"/>
      <c r="K18" s="10"/>
      <c r="L18" s="14">
        <f t="shared" si="1"/>
        <v>13.13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VLOOKUP($B20,'1209'!$B20:$N39,12,0)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DATE(2015,9,13)</f>
        <v>42260</v>
      </c>
      <c r="E4" s="36">
        <f>D4+1</f>
        <v>42261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VLOOKUP($B7,'1309'!$B7:$N26,12,0)</f>
        <v>58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78</v>
      </c>
      <c r="M7" s="10">
        <f>48+30</f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VLOOKUP($B9,'1309'!$B9:$N28,12,0)</f>
        <v>29</v>
      </c>
      <c r="E9" s="10"/>
      <c r="F9" s="11">
        <v>6</v>
      </c>
      <c r="G9" s="10">
        <v>3</v>
      </c>
      <c r="H9" s="10"/>
      <c r="I9" s="10"/>
      <c r="J9" s="10"/>
      <c r="K9" s="10"/>
      <c r="L9" s="14">
        <f>D9+E9-SUM(F9:K9)</f>
        <v>20</v>
      </c>
      <c r="M9" s="16">
        <v>20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VLOOKUP($B11,'1309'!$B11:$N30,12,0)</f>
        <v>42.64</v>
      </c>
      <c r="E11" s="10"/>
      <c r="F11" s="11">
        <v>4.5</v>
      </c>
      <c r="G11" s="10">
        <v>3.5</v>
      </c>
      <c r="H11" s="10"/>
      <c r="I11" s="11"/>
      <c r="J11" s="10"/>
      <c r="K11" s="10"/>
      <c r="L11" s="21">
        <f>D11+E11-SUM(F11:K11)</f>
        <v>34.64</v>
      </c>
      <c r="M11" s="17">
        <v>34.64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VLOOKUP($B12,'1309'!$B12:$N31,12,0)</f>
        <v>14.2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VLOOKUP($B14,'1309'!$B14:$N33,12,0)</f>
        <v>10.5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VLOOKUP($B15,'1309'!$B15:$N34,12,0)</f>
        <v>5.5</v>
      </c>
      <c r="E15" s="10">
        <v>5.15</v>
      </c>
      <c r="F15" s="11">
        <v>2</v>
      </c>
      <c r="G15" s="10">
        <v>2</v>
      </c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VLOOKUP($B16,'1309'!$B16:$N35,12,0)</f>
        <v>22.7</v>
      </c>
      <c r="E16" s="10"/>
      <c r="F16" s="11">
        <v>2</v>
      </c>
      <c r="G16" s="10">
        <v>5</v>
      </c>
      <c r="H16" s="10"/>
      <c r="I16" s="10"/>
      <c r="J16" s="10"/>
      <c r="K16" s="10"/>
      <c r="L16" s="14">
        <f t="shared" si="1"/>
        <v>15.7</v>
      </c>
      <c r="M16" s="10">
        <f>11.2+4.5</f>
        <v>15.7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VLOOKUP($B18,'1309'!$B18:$N37,12,0)</f>
        <v>13.13</v>
      </c>
      <c r="E18" s="10"/>
      <c r="F18" s="11">
        <v>2.1</v>
      </c>
      <c r="G18" s="10">
        <v>0.9</v>
      </c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VLOOKUP($B20,'1309'!$B20:$N39,12,0)</f>
        <v>12.5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VLOOKUP($B21,'1309'!$B21:$N40,12,0)</f>
        <v>3.65</v>
      </c>
      <c r="E21" s="12">
        <v>10.75</v>
      </c>
      <c r="F21" s="12"/>
      <c r="G21" s="12"/>
      <c r="H21" s="11"/>
      <c r="I21" s="12"/>
      <c r="J21" s="12"/>
      <c r="K21" s="12"/>
      <c r="L21" s="14">
        <f t="shared" si="1"/>
        <v>14.4</v>
      </c>
      <c r="M21" s="12"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VLOOKUP($B22,'1309'!$B22:$N41,12,0)</f>
        <v>2.6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45.9</v>
      </c>
      <c r="F27" s="13">
        <f t="shared" si="2"/>
        <v>22.1</v>
      </c>
      <c r="G27" s="13">
        <f>SUM(G7:G26)</f>
        <v>27.9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222.92</v>
      </c>
      <c r="M27" s="13">
        <f t="shared" si="2"/>
        <v>222.92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DATE(2015,9,14)</f>
        <v>42261</v>
      </c>
      <c r="E4" s="36">
        <f>D4+1</f>
        <v>42262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VLOOKUP($B7,'1409'!$B7:$N26,12,0)</f>
        <v>78</v>
      </c>
      <c r="E7" s="10">
        <v>20</v>
      </c>
      <c r="F7" s="10">
        <v>6</v>
      </c>
      <c r="G7" s="10">
        <v>14</v>
      </c>
      <c r="H7" s="11">
        <v>10</v>
      </c>
      <c r="I7" s="10"/>
      <c r="J7" s="10"/>
      <c r="K7" s="10"/>
      <c r="L7" s="14">
        <f>D7+E7-SUM(F7:K7)</f>
        <v>68</v>
      </c>
      <c r="M7" s="10">
        <f>48+20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VLOOKUP($B8,'1409'!$B8:$N27,12,0)</f>
        <v>2.1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0.30000000000000004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VLOOKUP($B9,'1409'!$B9:$N28,12,0)</f>
        <v>20</v>
      </c>
      <c r="E9" s="10">
        <v>16.399999999999999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29.4</v>
      </c>
      <c r="M9" s="16">
        <f>13+16.4</f>
        <v>29.4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VLOOKUP($B10,'1409'!$B10:$N29,12,0)</f>
        <v>10.5</v>
      </c>
      <c r="F10" s="11"/>
      <c r="G10" s="10">
        <v>1.8</v>
      </c>
      <c r="H10" s="10"/>
      <c r="I10" s="11"/>
      <c r="J10" s="10"/>
      <c r="K10" s="10"/>
      <c r="L10" s="14">
        <f>D10+E10-SUM(F10:K10)</f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VLOOKUP($B11,'1409'!$B11:$N30,12,0)</f>
        <v>34.64</v>
      </c>
      <c r="E11" s="10"/>
      <c r="F11" s="11"/>
      <c r="G11" s="10">
        <v>3.5</v>
      </c>
      <c r="H11" s="10">
        <v>4</v>
      </c>
      <c r="I11" s="11"/>
      <c r="J11" s="10"/>
      <c r="K11" s="10"/>
      <c r="L11" s="21">
        <f>D11+E11-SUM(F11:K11)</f>
        <v>27.14</v>
      </c>
      <c r="M11" s="17">
        <f>24.64+2.5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VLOOKUP($B12,'1409'!$B12:$N31,12,0)</f>
        <v>11.7</v>
      </c>
      <c r="E12" s="10"/>
      <c r="F12" s="11">
        <v>5</v>
      </c>
      <c r="G12" s="10"/>
      <c r="H12" s="10"/>
      <c r="I12" s="11"/>
      <c r="J12" s="10"/>
      <c r="K12" s="10"/>
      <c r="L12" s="14">
        <f t="shared" ref="L12:L22" si="1">D12+E12-SUM(F12:K12)</f>
        <v>6.6999999999999993</v>
      </c>
      <c r="M12" s="10">
        <v>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VLOOKUP($B14,'1409'!$B14:$N33,12,0)</f>
        <v>9.5</v>
      </c>
      <c r="E14" s="10"/>
      <c r="F14" s="11"/>
      <c r="G14" s="10"/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VLOOKUP($B16,'1409'!$B16:$N35,12,0)</f>
        <v>15.7</v>
      </c>
      <c r="E16" s="10">
        <v>26.85</v>
      </c>
      <c r="F16" s="11"/>
      <c r="G16" s="10">
        <v>0.5</v>
      </c>
      <c r="H16" s="10"/>
      <c r="I16" s="10"/>
      <c r="J16" s="10"/>
      <c r="K16" s="10"/>
      <c r="L16" s="14">
        <f t="shared" si="1"/>
        <v>42.05</v>
      </c>
      <c r="M16" s="10">
        <f>15.2+26.85</f>
        <v>42.05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VLOOKUP($B18,'1409'!$B18:$N37,12,0)</f>
        <v>10.130000000000001</v>
      </c>
      <c r="E18" s="10"/>
      <c r="F18" s="11"/>
      <c r="G18" s="10"/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VLOOKUP($B20,'1409'!$B20:$N39,12,0)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VLOOKUP($B21,'1409'!$B21:$N40,12,0)</f>
        <v>14.4</v>
      </c>
      <c r="E21" s="12"/>
      <c r="F21" s="12"/>
      <c r="G21" s="12">
        <v>0.6</v>
      </c>
      <c r="H21" s="11"/>
      <c r="I21" s="12"/>
      <c r="J21" s="12"/>
      <c r="K21" s="12"/>
      <c r="L21" s="14">
        <f t="shared" si="1"/>
        <v>13.8</v>
      </c>
      <c r="M21" s="12">
        <v>13.8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63.25</v>
      </c>
      <c r="F27" s="13">
        <f t="shared" si="2"/>
        <v>11</v>
      </c>
      <c r="G27" s="13">
        <f>SUM(G7:G26)</f>
        <v>25.200000000000003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231.97</v>
      </c>
      <c r="M27" s="13">
        <f t="shared" si="2"/>
        <v>231.97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DATE(2015,9,15)</f>
        <v>42262</v>
      </c>
      <c r="E4" s="36">
        <f>D4+1</f>
        <v>42263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VLOOKUP($B7,'1509'!$B7:$N26,12,0)</f>
        <v>68</v>
      </c>
      <c r="E7" s="10">
        <v>20</v>
      </c>
      <c r="F7" s="10">
        <v>2</v>
      </c>
      <c r="G7" s="10">
        <v>24</v>
      </c>
      <c r="H7" s="11">
        <v>8</v>
      </c>
      <c r="I7" s="10">
        <v>16</v>
      </c>
      <c r="J7" s="10"/>
      <c r="K7" s="10"/>
      <c r="L7" s="14">
        <f>D7+E7-SUM(F7:K7)</f>
        <v>38</v>
      </c>
      <c r="M7" s="10">
        <f>18+20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VLOOKUP($B8,'1509'!$B8:$N27,12,0)</f>
        <v>0.3</v>
      </c>
      <c r="E8" s="10">
        <v>3.2</v>
      </c>
      <c r="F8" s="11"/>
      <c r="G8" s="10"/>
      <c r="H8" s="10">
        <v>1.1000000000000001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VLOOKUP($B9,'1509'!$B9:$N28,12,0)</f>
        <v>29.4</v>
      </c>
      <c r="E9" s="10">
        <v>16.100000000000001</v>
      </c>
      <c r="F9" s="11"/>
      <c r="G9" s="10">
        <v>3</v>
      </c>
      <c r="H9" s="10">
        <v>2</v>
      </c>
      <c r="I9" s="10">
        <v>2.5</v>
      </c>
      <c r="J9" s="10"/>
      <c r="K9" s="10"/>
      <c r="L9" s="14">
        <f>D9+E9-SUM(F9:K9)</f>
        <v>38</v>
      </c>
      <c r="M9" s="16">
        <f>16.4+5.5+16.1</f>
        <v>38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VLOOKUP($B10,'1509'!$B10:$N29,12,0)</f>
        <v>8.6999999999999993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7.7999999999999989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VLOOKUP($B11,'1509'!$B11:$N30,12,0)</f>
        <v>27.14</v>
      </c>
      <c r="E11" s="10"/>
      <c r="F11" s="11"/>
      <c r="G11" s="10">
        <v>5</v>
      </c>
      <c r="H11" s="10">
        <v>2.5</v>
      </c>
      <c r="I11" s="11">
        <v>1</v>
      </c>
      <c r="J11" s="10"/>
      <c r="K11" s="10"/>
      <c r="L11" s="21">
        <f>D11+E11-SUM(F11:K11)</f>
        <v>18.64</v>
      </c>
      <c r="M11" s="17">
        <v>18.64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VLOOKUP($B12,'1509'!$B12:$N31,12,0)</f>
        <v>6.7</v>
      </c>
      <c r="E12" s="10"/>
      <c r="F12" s="11"/>
      <c r="G12" s="10">
        <v>1</v>
      </c>
      <c r="H12" s="10">
        <v>0.7</v>
      </c>
      <c r="I12" s="11">
        <v>1</v>
      </c>
      <c r="J12" s="10"/>
      <c r="K12" s="10"/>
      <c r="L12" s="14">
        <f t="shared" ref="L12:L22" si="1">D12+E12-SUM(F12:K12)</f>
        <v>4</v>
      </c>
      <c r="M12" s="10">
        <v>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VLOOKUP($B14,'1509'!$B14:$N33,12,0)</f>
        <v>9.5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VLOOKUP($B16,'1509'!$B16:$N35,12,0)</f>
        <v>42.05</v>
      </c>
      <c r="E16" s="10">
        <f>10+4.45</f>
        <v>14.45</v>
      </c>
      <c r="F16" s="11"/>
      <c r="G16" s="10">
        <v>40.200000000000003</v>
      </c>
      <c r="H16" s="10"/>
      <c r="I16" s="10"/>
      <c r="J16" s="10"/>
      <c r="K16" s="10"/>
      <c r="L16" s="14">
        <f t="shared" si="1"/>
        <v>16.299999999999997</v>
      </c>
      <c r="M16" s="10">
        <f>1.85+14.45</f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VLOOKUP($B18,'1509'!$B18:$N37,12,0)</f>
        <v>10.130000000000001</v>
      </c>
      <c r="E18" s="10"/>
      <c r="F18" s="11"/>
      <c r="G18" s="10">
        <v>1.8</v>
      </c>
      <c r="H18" s="10"/>
      <c r="I18" s="10">
        <v>1.2</v>
      </c>
      <c r="J18" s="10"/>
      <c r="K18" s="10"/>
      <c r="L18" s="14">
        <f t="shared" si="1"/>
        <v>7.1300000000000008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VLOOKUP($B20,'1509'!$B20:$N39,12,0)</f>
        <v>8.5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VLOOKUP($B21,'1509'!$B21:$N40,12,0)</f>
        <v>13.8</v>
      </c>
      <c r="E21" s="12"/>
      <c r="F21" s="12"/>
      <c r="G21" s="12">
        <v>1.5</v>
      </c>
      <c r="H21" s="11">
        <v>1.5</v>
      </c>
      <c r="I21" s="12">
        <v>1.2</v>
      </c>
      <c r="J21" s="12"/>
      <c r="K21" s="12"/>
      <c r="L21" s="14">
        <f t="shared" si="1"/>
        <v>9.6000000000000014</v>
      </c>
      <c r="M21" s="12">
        <f>9.6</f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53.75</v>
      </c>
      <c r="F27" s="13">
        <f t="shared" si="2"/>
        <v>4</v>
      </c>
      <c r="G27" s="13">
        <f>SUM(G7:G26)</f>
        <v>76.5</v>
      </c>
      <c r="H27" s="13">
        <f>SUM(H7:H26)</f>
        <v>17.7</v>
      </c>
      <c r="I27" s="13">
        <f t="shared" si="2"/>
        <v>22.9</v>
      </c>
      <c r="J27" s="13">
        <f t="shared" si="2"/>
        <v>0</v>
      </c>
      <c r="K27" s="13">
        <f t="shared" si="2"/>
        <v>0</v>
      </c>
      <c r="L27" s="13">
        <f t="shared" si="2"/>
        <v>164.62</v>
      </c>
      <c r="M27" s="13">
        <f t="shared" si="2"/>
        <v>164.62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DATE(2015,4,16)</f>
        <v>42110</v>
      </c>
      <c r="E4" s="36">
        <f>D4+1</f>
        <v>42111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45</v>
      </c>
      <c r="I6" s="5" t="s">
        <v>46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VLOOKUP($B7,'1604'!$B7:$N26,12,0)</f>
        <v>62</v>
      </c>
      <c r="E7" s="10">
        <v>20</v>
      </c>
      <c r="F7" s="10">
        <v>6</v>
      </c>
      <c r="G7" s="10">
        <v>32</v>
      </c>
      <c r="H7" s="11">
        <v>2</v>
      </c>
      <c r="I7" s="10">
        <v>22</v>
      </c>
      <c r="J7" s="10">
        <v>2</v>
      </c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VLOOKUP($B8,'1604'!$B8:$N27,12,0)</f>
        <v>5.9</v>
      </c>
      <c r="E8" s="10">
        <v>9.4</v>
      </c>
      <c r="F8" s="11"/>
      <c r="G8" s="10">
        <v>3.9</v>
      </c>
      <c r="H8" s="10"/>
      <c r="I8" s="10"/>
      <c r="J8" s="10"/>
      <c r="K8" s="10"/>
      <c r="L8" s="14">
        <f t="shared" ref="L8:L22" si="1">D8+E8-SUM(F8:K8)</f>
        <v>11.4</v>
      </c>
      <c r="M8" s="10">
        <f>9.4+2.1</f>
        <v>11.5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VLOOKUP($B9,'1604'!$B9:$N28,12,0)</f>
        <v>28.1</v>
      </c>
      <c r="E9" s="10"/>
      <c r="F9" s="11"/>
      <c r="G9" s="10">
        <v>5</v>
      </c>
      <c r="H9" s="10"/>
      <c r="I9" s="10">
        <v>8</v>
      </c>
      <c r="J9" s="10"/>
      <c r="K9" s="10"/>
      <c r="L9" s="14">
        <f t="shared" si="1"/>
        <v>15.100000000000001</v>
      </c>
      <c r="M9" s="10">
        <v>15.1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VLOOKUP($B10,'1604'!$B10:$N29,12,0)</f>
        <v>11.4</v>
      </c>
      <c r="F10" s="11">
        <v>1</v>
      </c>
      <c r="G10" s="10">
        <v>4.0999999999999996</v>
      </c>
      <c r="H10" s="10"/>
      <c r="I10" s="11">
        <v>6</v>
      </c>
      <c r="J10" s="10"/>
      <c r="K10" s="10"/>
      <c r="L10" s="14">
        <f t="shared" si="1"/>
        <v>0.30000000000000071</v>
      </c>
      <c r="M10" s="10">
        <v>0.3</v>
      </c>
      <c r="N10" s="15">
        <f t="shared" si="0"/>
        <v>-7.2164496600635175E-16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VLOOKUP($B11,'1604'!$B11:$N30,12,0)</f>
        <v>30</v>
      </c>
      <c r="E11" s="10"/>
      <c r="F11" s="11">
        <v>2.5</v>
      </c>
      <c r="G11" s="10">
        <v>7</v>
      </c>
      <c r="H11" s="10"/>
      <c r="I11" s="11">
        <v>10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VLOOKUP($B12,'1604'!$B12:$N31,12,0)</f>
        <v>8.6</v>
      </c>
      <c r="E12" s="10">
        <f>12.5+0.35</f>
        <v>12.85</v>
      </c>
      <c r="F12" s="11"/>
      <c r="G12" s="10">
        <v>2</v>
      </c>
      <c r="H12" s="10"/>
      <c r="I12" s="11">
        <v>6</v>
      </c>
      <c r="J12" s="10"/>
      <c r="K12" s="10"/>
      <c r="L12" s="14">
        <f t="shared" si="1"/>
        <v>13.45</v>
      </c>
      <c r="M12" s="10">
        <f>12.5+0.35+0.5</f>
        <v>13.35</v>
      </c>
      <c r="N12" s="15">
        <f t="shared" si="0"/>
        <v>-9.9999999999999645E-2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VLOOKUP($B14,'1604'!$B14:$N33,12,0)</f>
        <v>10.4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VLOOKUP($B15,'1604'!$B15:$N34,12,0)</f>
        <v>9.1999999999999993</v>
      </c>
      <c r="E15" s="10"/>
      <c r="F15" s="11">
        <v>0.5</v>
      </c>
      <c r="G15" s="10">
        <v>2</v>
      </c>
      <c r="H15" s="10"/>
      <c r="I15" s="10"/>
      <c r="J15" s="10"/>
      <c r="K15" s="10"/>
      <c r="L15" s="14">
        <f t="shared" si="1"/>
        <v>6.6999999999999993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VLOOKUP($B16,'1604'!$B16:$N35,12,0)</f>
        <v>14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VLOOKUP($B18,'1604'!$B18:$N37,12,0)</f>
        <v>7.2</v>
      </c>
      <c r="E18" s="10">
        <f>9+2.1</f>
        <v>11.1</v>
      </c>
      <c r="F18" s="11">
        <v>0.4</v>
      </c>
      <c r="G18" s="10">
        <v>2.7</v>
      </c>
      <c r="H18" s="10"/>
      <c r="I18" s="10"/>
      <c r="J18" s="10"/>
      <c r="K18" s="10"/>
      <c r="L18" s="14">
        <f t="shared" si="1"/>
        <v>15.200000000000001</v>
      </c>
      <c r="M18" s="10">
        <v>15.2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VLOOKUP($B20,'1604'!$B20:$N39,12,0)</f>
        <v>17.2</v>
      </c>
      <c r="E20" s="12"/>
      <c r="F20" s="12"/>
      <c r="G20" s="12">
        <v>3.2</v>
      </c>
      <c r="H20" s="11"/>
      <c r="I20" s="12">
        <v>5</v>
      </c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VLOOKUP($B21,'1604'!$B21:$N40,12,0)</f>
        <v>15.3</v>
      </c>
      <c r="E21" s="12"/>
      <c r="F21" s="12">
        <v>0.3</v>
      </c>
      <c r="G21" s="12">
        <v>3.3</v>
      </c>
      <c r="H21" s="11"/>
      <c r="I21" s="12">
        <v>6</v>
      </c>
      <c r="J21" s="12"/>
      <c r="K21" s="12"/>
      <c r="L21" s="14">
        <f t="shared" si="1"/>
        <v>5.7000000000000011</v>
      </c>
      <c r="M21" s="12">
        <f>19*0.3</f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222.79999999999998</v>
      </c>
      <c r="E27" s="13">
        <f t="shared" si="2"/>
        <v>53.35</v>
      </c>
      <c r="F27" s="13">
        <f t="shared" si="2"/>
        <v>10.700000000000001</v>
      </c>
      <c r="G27" s="13">
        <f t="shared" si="2"/>
        <v>70.2</v>
      </c>
      <c r="H27" s="13">
        <f t="shared" si="2"/>
        <v>2</v>
      </c>
      <c r="I27" s="13">
        <f t="shared" si="2"/>
        <v>63</v>
      </c>
      <c r="J27" s="13">
        <f t="shared" si="2"/>
        <v>2</v>
      </c>
      <c r="K27" s="13">
        <f t="shared" si="2"/>
        <v>0</v>
      </c>
      <c r="L27" s="13">
        <f t="shared" si="2"/>
        <v>128.25</v>
      </c>
      <c r="M27" s="13">
        <f t="shared" si="2"/>
        <v>128.25</v>
      </c>
      <c r="N27" s="13">
        <f t="shared" si="2"/>
        <v>-7.2164496600635175E-16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7" priority="1" stopIfTrue="1" operator="lessThan">
      <formula>0</formula>
    </cfRule>
  </conditionalFormatting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DATE(2015,9,16)</f>
        <v>42263</v>
      </c>
      <c r="E4" s="36">
        <f>D4+1</f>
        <v>42264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VLOOKUP($B7,'1609'!$B7:$N26,12,0)</f>
        <v>38</v>
      </c>
      <c r="E7" s="10">
        <v>30</v>
      </c>
      <c r="F7" s="10">
        <v>6</v>
      </c>
      <c r="G7" s="10">
        <v>14</v>
      </c>
      <c r="H7" s="11">
        <v>16</v>
      </c>
      <c r="I7" s="10">
        <v>2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VLOOKUP($B8,'1609'!$B8:$N27,12,0)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VLOOKUP($B9,'1609'!$B9:$N28,12,0)</f>
        <v>38</v>
      </c>
      <c r="E9" s="10">
        <f>15.5+0.6</f>
        <v>16.100000000000001</v>
      </c>
      <c r="F9" s="11"/>
      <c r="G9" s="10">
        <v>10</v>
      </c>
      <c r="H9" s="10">
        <v>6.4</v>
      </c>
      <c r="I9" s="10"/>
      <c r="J9" s="10"/>
      <c r="K9" s="10"/>
      <c r="L9" s="14">
        <f>D9+E9-SUM(F9:K9)</f>
        <v>37.700000000000003</v>
      </c>
      <c r="M9" s="16">
        <f>21.6+16.1</f>
        <v>37.700000000000003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VLOOKUP($B10,'1609'!$B10:$N29,12,0)</f>
        <v>7.8</v>
      </c>
      <c r="F10" s="11"/>
      <c r="G10" s="10">
        <v>1.2</v>
      </c>
      <c r="H10" s="10">
        <v>3</v>
      </c>
      <c r="I10" s="11"/>
      <c r="J10" s="10"/>
      <c r="K10" s="10"/>
      <c r="L10" s="14">
        <f>D10+E10-SUM(F10:K10)</f>
        <v>3.5999999999999996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VLOOKUP($B11,'1609'!$B11:$N30,12,0)</f>
        <v>18.64</v>
      </c>
      <c r="E11" s="10">
        <v>24.5</v>
      </c>
      <c r="F11" s="11"/>
      <c r="G11" s="10">
        <v>4</v>
      </c>
      <c r="H11" s="10">
        <v>6</v>
      </c>
      <c r="I11" s="11"/>
      <c r="J11" s="10"/>
      <c r="K11" s="10"/>
      <c r="L11" s="21">
        <f>D11+E11-SUM(F11:K11)</f>
        <v>33.14</v>
      </c>
      <c r="M11" s="17">
        <f>8.64+24.5</f>
        <v>33.14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VLOOKUP($B12,'1609'!$B12:$N31,12,0)</f>
        <v>4</v>
      </c>
      <c r="E12" s="10">
        <v>14.35</v>
      </c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11.350000000000001</v>
      </c>
      <c r="M12" s="10">
        <v>11.35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VLOOKUP($B14,'1609'!$B14:$N33,12,0)</f>
        <v>7.5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VLOOKUP($B15,'1609'!$B15:$N34,12,0)</f>
        <v>6.65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4.6500000000000004</v>
      </c>
      <c r="M15" s="23">
        <v>4.6500000000000004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VLOOKUP($B16,'1609'!$B16:$N35,12,0)</f>
        <v>16.3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12.3</v>
      </c>
      <c r="M16" s="10">
        <v>12.3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VLOOKUP($B18,'1609'!$B18:$N37,12,0)</f>
        <v>7.13</v>
      </c>
      <c r="E18" s="10"/>
      <c r="F18" s="11"/>
      <c r="G18" s="10"/>
      <c r="H18" s="10"/>
      <c r="I18" s="10"/>
      <c r="J18" s="10"/>
      <c r="K18" s="10"/>
      <c r="L18" s="14">
        <f t="shared" si="1"/>
        <v>7.13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VLOOKUP($B20,'1609'!$B20:$N39,12,0)</f>
        <v>7.5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VLOOKUP($B21,'1609'!$B21:$N40,12,0)</f>
        <v>9.6</v>
      </c>
      <c r="E21" s="12"/>
      <c r="F21" s="12"/>
      <c r="G21" s="12">
        <v>2.0499999999999998</v>
      </c>
      <c r="H21" s="11">
        <v>3</v>
      </c>
      <c r="I21" s="12"/>
      <c r="J21" s="12"/>
      <c r="K21" s="12"/>
      <c r="L21" s="14">
        <f t="shared" si="1"/>
        <v>4.55</v>
      </c>
      <c r="M21" s="12">
        <v>4.55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VLOOKUP($B22,'1609'!$B22:$N41,12,0)</f>
        <v>1.1000000000000001</v>
      </c>
      <c r="E22" s="10"/>
      <c r="F22" s="10"/>
      <c r="G22" s="12">
        <v>1.1000000000000001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84.949999999999989</v>
      </c>
      <c r="F27" s="13">
        <f t="shared" si="2"/>
        <v>6</v>
      </c>
      <c r="G27" s="13">
        <f>SUM(G7:G26)</f>
        <v>45.35</v>
      </c>
      <c r="H27" s="13">
        <f>SUM(H7:H26)</f>
        <v>40.4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155.82000000000002</v>
      </c>
      <c r="M27" s="13">
        <f t="shared" si="2"/>
        <v>155.82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DATE(2015,9,17)</f>
        <v>42264</v>
      </c>
      <c r="E4" s="36">
        <f>D4+1</f>
        <v>42265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VLOOKUP($B7,'1709'!$B7:$N26,12,0)</f>
        <v>30</v>
      </c>
      <c r="E7" s="10"/>
      <c r="F7" s="10">
        <v>4</v>
      </c>
      <c r="G7" s="10">
        <v>16</v>
      </c>
      <c r="H7" s="11"/>
      <c r="I7" s="10">
        <v>2</v>
      </c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VLOOKUP($B8,'1709'!$B8:$N27,12,0)</f>
        <v>2.4</v>
      </c>
      <c r="E8" s="10"/>
      <c r="F8" s="11"/>
      <c r="G8" s="10">
        <v>0.9</v>
      </c>
      <c r="H8" s="10">
        <v>1.5</v>
      </c>
      <c r="I8" s="10"/>
      <c r="J8" s="10"/>
      <c r="K8" s="10"/>
      <c r="L8" s="14">
        <f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VLOOKUP($B9,'1709'!$B9:$N28,12,0)</f>
        <v>37.700000000000003</v>
      </c>
      <c r="E9" s="10">
        <v>16.149999999999999</v>
      </c>
      <c r="F9" s="11"/>
      <c r="G9" s="10">
        <v>10.5</v>
      </c>
      <c r="H9" s="10">
        <v>19.399999999999999</v>
      </c>
      <c r="I9" s="10"/>
      <c r="J9" s="10"/>
      <c r="K9" s="10"/>
      <c r="L9" s="14">
        <f>D9+E9-SUM(F9:K9)</f>
        <v>23.950000000000003</v>
      </c>
      <c r="M9" s="16">
        <f>7.8+16.15</f>
        <v>23.95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VLOOKUP($B10,'1709'!$B10:$N29,12,0)</f>
        <v>3.6</v>
      </c>
      <c r="E10">
        <f>10.5+0.75</f>
        <v>11.25</v>
      </c>
      <c r="F10" s="11"/>
      <c r="G10" s="10">
        <v>1.2</v>
      </c>
      <c r="H10" s="10">
        <v>3.6</v>
      </c>
      <c r="I10" s="11"/>
      <c r="J10" s="10"/>
      <c r="K10" s="10"/>
      <c r="L10" s="14">
        <f>D10+E10-SUM(F10:K10)</f>
        <v>10.050000000000001</v>
      </c>
      <c r="M10" s="10">
        <v>10.050000000000001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VLOOKUP($B11,'1709'!$B11:$N30,12,0)</f>
        <v>33.14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27.14</v>
      </c>
      <c r="M11" s="17">
        <f>24.5+2.64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VLOOKUP($B12,'1709'!$B12:$N31,12,0)</f>
        <v>11.35</v>
      </c>
      <c r="E12" s="10"/>
      <c r="F12" s="11"/>
      <c r="G12" s="10">
        <v>1</v>
      </c>
      <c r="H12" s="10">
        <v>3.35</v>
      </c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VLOOKUP($B14,'1709'!$B14:$N33,12,0)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VLOOKUP($B15,'1709'!$B15:$N34,12,0)</f>
        <v>4.6500000000000004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2.6500000000000004</v>
      </c>
      <c r="M15" s="23">
        <v>2.65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VLOOKUP($B16,'1709'!$B16:$N35,12,0)</f>
        <v>12.3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VLOOKUP($B18,'1709'!$B18:$N37,12,0)</f>
        <v>7.13</v>
      </c>
      <c r="E18" s="10"/>
      <c r="F18" s="11"/>
      <c r="G18" s="10">
        <v>2.4</v>
      </c>
      <c r="H18" s="10">
        <v>2.1</v>
      </c>
      <c r="I18" s="10"/>
      <c r="J18" s="10"/>
      <c r="K18" s="10"/>
      <c r="L18" s="14">
        <f t="shared" si="1"/>
        <v>2.63</v>
      </c>
      <c r="M18" s="10">
        <v>2.7</v>
      </c>
      <c r="N18" s="15">
        <f t="shared" si="0"/>
        <v>7.0000000000000284E-2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VLOOKUP($B20,'1709'!$B20:$N39,12,0)</f>
        <v>4.5</v>
      </c>
      <c r="E20" s="12"/>
      <c r="F20" s="12">
        <v>0.5</v>
      </c>
      <c r="G20" s="12">
        <v>1.5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VLOOKUP($B21,'1709'!$B21:$N40,12,0)</f>
        <v>4.55</v>
      </c>
      <c r="E21" s="12">
        <v>10.199999999999999</v>
      </c>
      <c r="F21" s="12">
        <v>0.35</v>
      </c>
      <c r="G21" s="12">
        <v>1.8</v>
      </c>
      <c r="H21" s="11">
        <v>2.1</v>
      </c>
      <c r="I21" s="12"/>
      <c r="J21" s="12"/>
      <c r="K21" s="12"/>
      <c r="L21" s="14">
        <f t="shared" si="1"/>
        <v>10.5</v>
      </c>
      <c r="M21" s="12">
        <f>0.3+10.2</f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VLOOKUP($B22,'1709'!$B22:$N41,12,0)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37.599999999999994</v>
      </c>
      <c r="F27" s="13">
        <f t="shared" si="2"/>
        <v>4.8499999999999996</v>
      </c>
      <c r="G27" s="13">
        <f>SUM(G7:G26)</f>
        <v>47.29999999999999</v>
      </c>
      <c r="H27" s="13">
        <f>SUM(H7:H26)</f>
        <v>32.050000000000004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107.22</v>
      </c>
      <c r="M27" s="13">
        <f t="shared" si="2"/>
        <v>107.29</v>
      </c>
      <c r="N27" s="13">
        <f t="shared" si="2"/>
        <v>7.0000000000000284E-2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DATE(2015,9,18)</f>
        <v>42265</v>
      </c>
      <c r="E4" s="36">
        <f>D4+1</f>
        <v>42266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VLOOKUP($B7,'1809'!$B7:$N26,12,0)</f>
        <v>8</v>
      </c>
      <c r="E7" s="10">
        <v>40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VLOOKUP($B8,'1809'!$B8:$N27,12,0)</f>
        <v>0</v>
      </c>
      <c r="E8" s="10">
        <v>6.6</v>
      </c>
      <c r="F8" s="11"/>
      <c r="G8" s="10">
        <v>1.2</v>
      </c>
      <c r="H8" s="10"/>
      <c r="I8" s="10"/>
      <c r="J8" s="10"/>
      <c r="K8" s="10"/>
      <c r="L8" s="14">
        <f>D8+E8-SUM(F8:K8)</f>
        <v>5.3999999999999995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VLOOKUP($B9,'1809'!$B9:$N28,12,0)</f>
        <v>23.95</v>
      </c>
      <c r="E9" s="10"/>
      <c r="F9" s="11"/>
      <c r="G9" s="10">
        <v>2</v>
      </c>
      <c r="H9" s="10"/>
      <c r="I9" s="10"/>
      <c r="J9" s="10"/>
      <c r="K9" s="10"/>
      <c r="L9" s="14">
        <f>D9+E9-SUM(F9:K9)</f>
        <v>21.95</v>
      </c>
      <c r="M9" s="16">
        <f>16.15+6.1</f>
        <v>22.25</v>
      </c>
      <c r="N9" s="15">
        <f t="shared" si="0"/>
        <v>0.30000000000000071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VLOOKUP($B10,'1809'!$B10:$N29,12,0)</f>
        <v>10.050000000000001</v>
      </c>
      <c r="F10" s="11"/>
      <c r="G10" s="10">
        <v>0.75</v>
      </c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VLOOKUP($B11,'1809'!$B11:$N30,12,0)</f>
        <v>27.14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25.14</v>
      </c>
      <c r="M11" s="17">
        <f>24.5+0.64</f>
        <v>25.14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VLOOKUP($B12,'1809'!$B12:$N31,12,0)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VLOOKUP($B14,'1809'!$B14:$N33,12,0)</f>
        <v>2.5</v>
      </c>
      <c r="E14" s="10">
        <v>4.75</v>
      </c>
      <c r="F14" s="11"/>
      <c r="G14" s="10"/>
      <c r="H14" s="10"/>
      <c r="I14" s="11"/>
      <c r="J14" s="10"/>
      <c r="K14" s="10"/>
      <c r="L14" s="14">
        <f t="shared" si="1"/>
        <v>7.25</v>
      </c>
      <c r="M14" s="10">
        <f>2.5+4.75</f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VLOOKUP($B15,'1809'!$B15:$N34,12,0)</f>
        <v>2.65</v>
      </c>
      <c r="E15" s="10">
        <v>5.4</v>
      </c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VLOOKUP($B16,'1809'!$B16:$N35,12,0)</f>
        <v>10.3</v>
      </c>
      <c r="E16" s="10"/>
      <c r="F16" s="11"/>
      <c r="G16" s="10"/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VLOOKUP($B18,'1809'!$B18:$N37,12,0)</f>
        <v>2.7</v>
      </c>
      <c r="E18" s="10">
        <f>9+1.55</f>
        <v>10.55</v>
      </c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2.7+10.55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VLOOKUP($B20,'1809'!$B20:$N39,12,0)</f>
        <v>2.5</v>
      </c>
      <c r="E20" s="12">
        <v>12.4</v>
      </c>
      <c r="F20" s="12"/>
      <c r="G20" s="12">
        <v>1</v>
      </c>
      <c r="H20" s="11"/>
      <c r="I20" s="12"/>
      <c r="J20" s="12"/>
      <c r="K20" s="12"/>
      <c r="L20" s="14">
        <f t="shared" si="1"/>
        <v>13.9</v>
      </c>
      <c r="M20" s="12">
        <f>1.5+12.4</f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VLOOKUP($B22,'1809'!$B22:$N41,12,0)</f>
        <v>0</v>
      </c>
      <c r="E22" s="10">
        <v>5.5</v>
      </c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85.2</v>
      </c>
      <c r="F27" s="13">
        <f t="shared" si="2"/>
        <v>6</v>
      </c>
      <c r="G27" s="13">
        <f>SUM(G7:G26)</f>
        <v>6.95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179.54</v>
      </c>
      <c r="M27" s="13">
        <f t="shared" si="2"/>
        <v>179.84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DATE(2015,9,19)</f>
        <v>42266</v>
      </c>
      <c r="E4" s="36">
        <f>D4+1</f>
        <v>42267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VLOOKUP($B7,'1909'!$B7:$N26,12,0)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VLOOKUP($B8,'1909'!$B8:$N27,12,0)</f>
        <v>5.4</v>
      </c>
      <c r="E8" s="10"/>
      <c r="F8" s="11"/>
      <c r="G8" s="10"/>
      <c r="H8" s="10"/>
      <c r="I8" s="10"/>
      <c r="J8" s="10"/>
      <c r="K8" s="10"/>
      <c r="L8" s="14">
        <f>D8+E8-SUM(F8:K8)</f>
        <v>5.4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VLOOKUP($B9,'1909'!$B9:$N28,12,0)</f>
        <v>22.25</v>
      </c>
      <c r="E9" s="10"/>
      <c r="F9" s="11"/>
      <c r="G9" s="10"/>
      <c r="H9" s="10"/>
      <c r="I9" s="10"/>
      <c r="J9" s="10"/>
      <c r="K9" s="10"/>
      <c r="L9" s="14">
        <f>D9+E9-SUM(F9:K9)</f>
        <v>22.25</v>
      </c>
      <c r="M9" s="16">
        <v>22.25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VLOOKUP($B10,'1909'!$B10:$N29,12,0)</f>
        <v>9.3000000000000007</v>
      </c>
      <c r="F10" s="11"/>
      <c r="G10" s="10"/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VLOOKUP($B11,'1909'!$B11:$N30,12,0)</f>
        <v>25.14</v>
      </c>
      <c r="E11" s="10">
        <v>23.6</v>
      </c>
      <c r="F11" s="11"/>
      <c r="G11" s="10"/>
      <c r="H11" s="10"/>
      <c r="I11" s="11"/>
      <c r="J11" s="10"/>
      <c r="K11" s="10"/>
      <c r="L11" s="21">
        <f>D11+E11-SUM(F11:K11)</f>
        <v>48.74</v>
      </c>
      <c r="M11" s="17">
        <v>48.74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VLOOKUP($B12,'1909'!$B12:$N31,12,0)</f>
        <v>7</v>
      </c>
      <c r="E12" s="10">
        <v>13.85</v>
      </c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VLOOKUP($B14,'1909'!$B14:$N33,12,0)</f>
        <v>7.25</v>
      </c>
      <c r="E14" s="10"/>
      <c r="F14" s="11"/>
      <c r="G14" s="10"/>
      <c r="H14" s="10"/>
      <c r="I14" s="11"/>
      <c r="J14" s="10"/>
      <c r="K14" s="10"/>
      <c r="L14" s="14">
        <f t="shared" si="1"/>
        <v>7.25</v>
      </c>
      <c r="M14" s="10"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VLOOKUP($B16,'1909'!$B16:$N35,12,0)</f>
        <v>10.3</v>
      </c>
      <c r="E16" s="10">
        <v>14.35</v>
      </c>
      <c r="F16" s="11"/>
      <c r="G16" s="10"/>
      <c r="H16" s="10"/>
      <c r="I16" s="10"/>
      <c r="J16" s="10"/>
      <c r="K16" s="10"/>
      <c r="L16" s="14">
        <f t="shared" si="1"/>
        <v>24.65</v>
      </c>
      <c r="M16" s="10">
        <v>24.65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VLOOKUP($B20,'1909'!$B20:$N39,12,0)</f>
        <v>13.9</v>
      </c>
      <c r="E20" s="12"/>
      <c r="F20" s="12"/>
      <c r="G20" s="12"/>
      <c r="H20" s="11"/>
      <c r="I20" s="12"/>
      <c r="J20" s="12"/>
      <c r="K20" s="12"/>
      <c r="L20" s="14">
        <f t="shared" si="1"/>
        <v>13.9</v>
      </c>
      <c r="M20" s="12"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51.800000000000004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227.64000000000001</v>
      </c>
      <c r="M27" s="13">
        <f t="shared" si="2"/>
        <v>227.64000000000001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DATE(2015,9,20)</f>
        <v>42267</v>
      </c>
      <c r="E4" s="36">
        <f>D4+1</f>
        <v>42268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VLOOKUP($B7,'2009'!$B7:$N26,12,0)</f>
        <v>38</v>
      </c>
      <c r="E7" s="10">
        <v>80</v>
      </c>
      <c r="F7" s="10">
        <v>34</v>
      </c>
      <c r="G7" s="10">
        <v>18</v>
      </c>
      <c r="H7" s="11">
        <v>12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VLOOKUP($B8,'2009'!$B8:$N27,12,0)</f>
        <v>5.4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VLOOKUP($B9,'2009'!$B9:$N28,12,0)</f>
        <v>22.25</v>
      </c>
      <c r="E9" s="10">
        <v>16.05</v>
      </c>
      <c r="F9" s="11"/>
      <c r="G9" s="10">
        <v>4</v>
      </c>
      <c r="H9" s="10">
        <v>2.1</v>
      </c>
      <c r="I9" s="10"/>
      <c r="J9" s="10"/>
      <c r="K9" s="10"/>
      <c r="L9" s="14">
        <f>D9+E9-SUM(F9:K9)</f>
        <v>32.199999999999996</v>
      </c>
      <c r="M9" s="16">
        <f>16.15+16.05</f>
        <v>32.200000000000003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VLOOKUP($B10,'2009'!$B10:$N29,12,0)</f>
        <v>9.3000000000000007</v>
      </c>
      <c r="F10" s="11"/>
      <c r="G10" s="10"/>
      <c r="H10" s="10">
        <v>0.9</v>
      </c>
      <c r="I10" s="11"/>
      <c r="J10" s="10"/>
      <c r="K10" s="10"/>
      <c r="L10" s="14">
        <f>D10+E10-SUM(F10:K10)</f>
        <v>8.4</v>
      </c>
      <c r="M10" s="10">
        <f>6+2.4</f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VLOOKUP($B11,'2009'!$B11:$N30,12,0)</f>
        <v>48.74</v>
      </c>
      <c r="E11" s="10"/>
      <c r="F11" s="11"/>
      <c r="G11" s="10">
        <v>4</v>
      </c>
      <c r="H11" s="10">
        <v>1.1399999999999999</v>
      </c>
      <c r="I11" s="11"/>
      <c r="J11" s="10"/>
      <c r="K11" s="10"/>
      <c r="L11" s="21">
        <f>D11+E11-SUM(F11:K11)</f>
        <v>43.6</v>
      </c>
      <c r="M11" s="17">
        <f>23.6+20</f>
        <v>43.6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VLOOKUP($B12,'2009'!$B12:$N31,12,0)</f>
        <v>20.85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f>13.85+7</f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VLOOKUP($B14,'2009'!$B14:$N33,12,0)</f>
        <v>7.25</v>
      </c>
      <c r="E14" s="10">
        <v>5.9</v>
      </c>
      <c r="F14" s="11"/>
      <c r="G14" s="10"/>
      <c r="H14" s="10"/>
      <c r="I14" s="11"/>
      <c r="J14" s="10"/>
      <c r="K14" s="10"/>
      <c r="L14" s="14">
        <f t="shared" si="1"/>
        <v>13.15</v>
      </c>
      <c r="M14" s="10">
        <f>7.25+5.9</f>
        <v>13.15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VLOOKUP($B16,'2009'!$B16:$N35,12,0)</f>
        <v>24.65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39.65</v>
      </c>
      <c r="M16" s="10">
        <f>24.65+15</f>
        <v>39.65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11.7+1.55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VLOOKUP($B20,'2009'!$B20:$N39,12,0)</f>
        <v>13.9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11.9</v>
      </c>
      <c r="M20" s="12">
        <f>11.9</f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VLOOKUP($B21,'2009'!$B21:$N40,12,0)</f>
        <v>10.5</v>
      </c>
      <c r="E21" s="12"/>
      <c r="F21" s="12"/>
      <c r="G21" s="12">
        <v>3</v>
      </c>
      <c r="H21" s="11">
        <v>0.9</v>
      </c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116.95</v>
      </c>
      <c r="F27" s="13">
        <f t="shared" si="2"/>
        <v>34</v>
      </c>
      <c r="G27" s="13">
        <f>SUM(G7:G26)</f>
        <v>29</v>
      </c>
      <c r="H27" s="13">
        <f>SUM(H7:H26)</f>
        <v>19.939999999999998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259.64999999999998</v>
      </c>
      <c r="M27" s="13">
        <f t="shared" si="2"/>
        <v>259.65000000000003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DATE(2015,9,21)</f>
        <v>42268</v>
      </c>
      <c r="E4" s="36">
        <f>D4+1</f>
        <v>42269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VLOOKUP($B7,'2109'!$B7:$N26,12,0)</f>
        <v>52</v>
      </c>
      <c r="E7" s="10">
        <v>20</v>
      </c>
      <c r="F7" s="10"/>
      <c r="G7" s="10">
        <v>10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VLOOKUP($B8,'2109'!$B8:$N27,12,0)</f>
        <v>4.5</v>
      </c>
      <c r="E8" s="10"/>
      <c r="F8" s="11"/>
      <c r="G8" s="10"/>
      <c r="H8" s="10"/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VLOOKUP($B9,'2109'!$B9:$N28,12,0)</f>
        <v>32.200000000000003</v>
      </c>
      <c r="E9" s="10"/>
      <c r="F9" s="11"/>
      <c r="G9" s="10">
        <v>2.5</v>
      </c>
      <c r="H9" s="10">
        <v>5</v>
      </c>
      <c r="I9" s="10"/>
      <c r="J9" s="10"/>
      <c r="K9" s="10"/>
      <c r="L9" s="14">
        <f>D9+E9-SUM(F9:K9)</f>
        <v>24.700000000000003</v>
      </c>
      <c r="M9" s="16">
        <f>16.05+8.65</f>
        <v>24.700000000000003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VLOOKUP($B10,'2109'!$B10:$N29,12,0)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0"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VLOOKUP($B11,'2109'!$B11:$N30,12,0)</f>
        <v>43.6</v>
      </c>
      <c r="E11" s="10"/>
      <c r="F11" s="11">
        <v>20.6</v>
      </c>
      <c r="G11" s="10">
        <v>1.5</v>
      </c>
      <c r="H11" s="10"/>
      <c r="I11" s="11"/>
      <c r="J11" s="10"/>
      <c r="K11" s="10"/>
      <c r="L11" s="21">
        <f>D11+E11-SUM(F11:K11)</f>
        <v>21.5</v>
      </c>
      <c r="M11" s="17">
        <v>21.5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VLOOKUP($B12,'2109'!$B12:$N31,12,0)</f>
        <v>20.85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17.350000000000001</v>
      </c>
      <c r="M12" s="10">
        <v>17.350000000000001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VLOOKUP($B14,'2109'!$B14:$N33,12,0)</f>
        <v>13.15</v>
      </c>
      <c r="E14" s="10"/>
      <c r="F14" s="11">
        <v>2.25</v>
      </c>
      <c r="G14" s="10">
        <v>2</v>
      </c>
      <c r="H14" s="10"/>
      <c r="I14" s="11"/>
      <c r="J14" s="10"/>
      <c r="K14" s="10"/>
      <c r="L14" s="14">
        <f t="shared" si="1"/>
        <v>8.9</v>
      </c>
      <c r="M14" s="10">
        <v>8.9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VLOOKUP($B15,'2109'!$B15:$N34,12,0)</f>
        <v>8.0500000000000007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7.0500000000000007</v>
      </c>
      <c r="M15" s="23">
        <v>7.05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VLOOKUP($B16,'2109'!$B16:$N35,12,0)</f>
        <v>39.65</v>
      </c>
      <c r="E16" s="10"/>
      <c r="F16" s="11"/>
      <c r="G16" s="10">
        <v>4.3</v>
      </c>
      <c r="H16" s="10"/>
      <c r="I16" s="10"/>
      <c r="J16" s="10"/>
      <c r="K16" s="10"/>
      <c r="L16" s="14">
        <f t="shared" si="1"/>
        <v>35.35</v>
      </c>
      <c r="M16" s="10">
        <f>14.35+21</f>
        <v>35.35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VLOOKUP($B18,'2109'!$B18:$N37,12,0)</f>
        <v>13.25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12.65</v>
      </c>
      <c r="M18" s="10">
        <v>12.65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VLOOKUP($B20,'2109'!$B20:$N39,12,0)</f>
        <v>11.9</v>
      </c>
      <c r="E20" s="12"/>
      <c r="F20" s="12"/>
      <c r="G20" s="12"/>
      <c r="H20" s="11"/>
      <c r="I20" s="12"/>
      <c r="J20" s="12"/>
      <c r="K20" s="12"/>
      <c r="L20" s="14">
        <f t="shared" si="1"/>
        <v>11.9</v>
      </c>
      <c r="M20" s="12"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VLOOKUP($B21,'2109'!$B21:$N40,12,0)</f>
        <v>6.6</v>
      </c>
      <c r="E21" s="12">
        <f>6+3.6+0.35</f>
        <v>9.9499999999999993</v>
      </c>
      <c r="F21" s="12"/>
      <c r="G21" s="12"/>
      <c r="H21" s="11">
        <v>3</v>
      </c>
      <c r="I21" s="12"/>
      <c r="J21" s="12"/>
      <c r="K21" s="12"/>
      <c r="L21" s="14">
        <f t="shared" si="1"/>
        <v>13.549999999999997</v>
      </c>
      <c r="M21" s="12">
        <f>3.6+9.95</f>
        <v>13.549999999999999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VLOOKUP($B22,'2109'!$B22:$N41,12,0)</f>
        <v>5.5</v>
      </c>
      <c r="E22" s="10"/>
      <c r="F22" s="10"/>
      <c r="G22" s="12">
        <v>1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29.95</v>
      </c>
      <c r="F27" s="13">
        <f t="shared" si="2"/>
        <v>25.85</v>
      </c>
      <c r="G27" s="13">
        <f>SUM(G7:G26)</f>
        <v>23.400000000000002</v>
      </c>
      <c r="H27" s="13">
        <f>SUM(H7:H26)</f>
        <v>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232.35000000000002</v>
      </c>
      <c r="M27" s="13">
        <f t="shared" si="2"/>
        <v>232.35000000000005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DATE(2015,9,22)</f>
        <v>42269</v>
      </c>
      <c r="E4" s="36">
        <f>D4+1</f>
        <v>42270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VLOOKUP($B7,'2209'!$B7:$N26,12,0)</f>
        <v>62</v>
      </c>
      <c r="E7" s="10">
        <v>60</v>
      </c>
      <c r="F7" s="10">
        <v>4</v>
      </c>
      <c r="G7" s="10">
        <v>18</v>
      </c>
      <c r="H7" s="11">
        <v>8</v>
      </c>
      <c r="I7" s="10">
        <v>12</v>
      </c>
      <c r="J7" s="10"/>
      <c r="K7" s="10"/>
      <c r="L7" s="14">
        <f>D7+E7-SUM(F7:K7)</f>
        <v>80</v>
      </c>
      <c r="M7" s="10">
        <f>24+56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VLOOKUP($B8,'2209'!$B8:$N27,12,0)</f>
        <v>4.5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VLOOKUP($B9,'2209'!$B9:$N28,12,0)</f>
        <v>24.700000000000003</v>
      </c>
      <c r="E9" s="10">
        <v>16</v>
      </c>
      <c r="F9" s="11"/>
      <c r="G9" s="10">
        <v>1</v>
      </c>
      <c r="H9" s="10">
        <v>2.15</v>
      </c>
      <c r="I9" s="10">
        <v>2</v>
      </c>
      <c r="J9" s="10"/>
      <c r="K9" s="10"/>
      <c r="L9" s="14">
        <f>D9+E9-SUM(F9:K9)</f>
        <v>35.550000000000004</v>
      </c>
      <c r="M9" s="16">
        <f>16.05+3.5+16</f>
        <v>35.549999999999997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VLOOKUP($B10,'2209'!$B10:$N29,12,0)</f>
        <v>8.4</v>
      </c>
      <c r="F10" s="11"/>
      <c r="G10" s="10"/>
      <c r="H10" s="10">
        <v>0.3</v>
      </c>
      <c r="I10" s="11"/>
      <c r="J10" s="10"/>
      <c r="K10" s="10"/>
      <c r="L10" s="14">
        <f>D10+E10-SUM(F10:K10)</f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VLOOKUP($B11,'2209'!$B11:$N30,12,0)</f>
        <v>21.5</v>
      </c>
      <c r="E11" s="10">
        <v>24</v>
      </c>
      <c r="F11" s="11"/>
      <c r="G11" s="10">
        <v>3.5</v>
      </c>
      <c r="H11" s="10">
        <v>3</v>
      </c>
      <c r="I11" s="11">
        <v>2</v>
      </c>
      <c r="J11" s="10"/>
      <c r="K11" s="10"/>
      <c r="L11" s="21">
        <f>D11+E11-SUM(F11:K11)</f>
        <v>37</v>
      </c>
      <c r="M11" s="17">
        <f>13+24</f>
        <v>37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VLOOKUP($B12,'2209'!$B12:$N31,12,0)</f>
        <v>17.350000000000001</v>
      </c>
      <c r="E12" s="10"/>
      <c r="F12" s="11">
        <v>3</v>
      </c>
      <c r="G12" s="10">
        <v>1</v>
      </c>
      <c r="H12" s="10">
        <v>1</v>
      </c>
      <c r="I12" s="11"/>
      <c r="J12" s="10"/>
      <c r="K12" s="10"/>
      <c r="L12" s="14">
        <f t="shared" ref="L12:L22" si="1">D12+E12-SUM(F12:K12)</f>
        <v>12.350000000000001</v>
      </c>
      <c r="M12" s="10">
        <v>12.35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VLOOKUP($B14,'2209'!$B14:$N33,12,0)</f>
        <v>8.9</v>
      </c>
      <c r="E14" s="10"/>
      <c r="F14" s="11">
        <v>1</v>
      </c>
      <c r="G14" s="10">
        <v>1</v>
      </c>
      <c r="H14" s="10"/>
      <c r="I14" s="11"/>
      <c r="J14" s="10"/>
      <c r="K14" s="10"/>
      <c r="L14" s="14">
        <f t="shared" si="1"/>
        <v>6.9</v>
      </c>
      <c r="M14" s="10">
        <v>6.9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VLOOKUP($B15,'2209'!$B15:$N34,12,0)</f>
        <v>7.05</v>
      </c>
      <c r="E15" s="10"/>
      <c r="F15" s="11">
        <v>0.5</v>
      </c>
      <c r="G15" s="10">
        <v>0.65</v>
      </c>
      <c r="H15" s="10"/>
      <c r="I15" s="10"/>
      <c r="J15" s="10"/>
      <c r="K15" s="10"/>
      <c r="L15" s="14">
        <f t="shared" si="1"/>
        <v>5.9</v>
      </c>
      <c r="M15" s="23">
        <v>5.9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VLOOKUP($B16,'2209'!$B16:$N35,12,0)</f>
        <v>35.35</v>
      </c>
      <c r="E16" s="10"/>
      <c r="F16" s="11">
        <v>2</v>
      </c>
      <c r="G16" s="10">
        <v>19.850000000000001</v>
      </c>
      <c r="H16" s="10"/>
      <c r="I16" s="10"/>
      <c r="J16" s="10"/>
      <c r="K16" s="10"/>
      <c r="L16" s="14">
        <f t="shared" si="1"/>
        <v>13.5</v>
      </c>
      <c r="M16" s="10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VLOOKUP($B18,'2209'!$B18:$N37,12,0)</f>
        <v>12.65</v>
      </c>
      <c r="E18" s="10"/>
      <c r="F18" s="11">
        <v>0.95</v>
      </c>
      <c r="G18" s="10">
        <v>1.8</v>
      </c>
      <c r="H18" s="10"/>
      <c r="I18" s="10">
        <v>0.9</v>
      </c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VLOOKUP($B20,'2209'!$B20:$N39,12,0)</f>
        <v>11.9</v>
      </c>
      <c r="E20" s="12"/>
      <c r="F20" s="12">
        <v>0.5</v>
      </c>
      <c r="G20" s="12"/>
      <c r="H20" s="11">
        <v>1</v>
      </c>
      <c r="I20" s="12"/>
      <c r="J20" s="12"/>
      <c r="K20" s="12"/>
      <c r="L20" s="14">
        <f t="shared" si="1"/>
        <v>10.4</v>
      </c>
      <c r="M20" s="12">
        <v>10.4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VLOOKUP($B21,'2209'!$B21:$N40,12,0)</f>
        <v>13.549999999999999</v>
      </c>
      <c r="E21" s="12"/>
      <c r="F21" s="12">
        <v>2.4</v>
      </c>
      <c r="G21" s="12">
        <v>1.2</v>
      </c>
      <c r="H21" s="11">
        <v>0.9</v>
      </c>
      <c r="I21" s="12">
        <v>0.9</v>
      </c>
      <c r="J21" s="12"/>
      <c r="K21" s="12"/>
      <c r="L21" s="14">
        <f t="shared" si="1"/>
        <v>8.1499999999999986</v>
      </c>
      <c r="M21" s="12">
        <v>8.15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VLOOKUP($B22,'2209'!$B22:$N41,12,0)</f>
        <v>4.5</v>
      </c>
      <c r="E22" s="10"/>
      <c r="F22" s="10"/>
      <c r="G22" s="12"/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100</v>
      </c>
      <c r="F27" s="13">
        <f t="shared" si="2"/>
        <v>14.35</v>
      </c>
      <c r="G27" s="13">
        <f>SUM(G7:G26)</f>
        <v>48</v>
      </c>
      <c r="H27" s="13">
        <f>SUM(H7:H26)</f>
        <v>16.95</v>
      </c>
      <c r="I27" s="13">
        <f t="shared" si="2"/>
        <v>17.799999999999997</v>
      </c>
      <c r="J27" s="13">
        <f t="shared" si="2"/>
        <v>0</v>
      </c>
      <c r="K27" s="13">
        <f t="shared" si="2"/>
        <v>0</v>
      </c>
      <c r="L27" s="13">
        <f t="shared" si="2"/>
        <v>235.25000000000003</v>
      </c>
      <c r="M27" s="13">
        <f t="shared" si="2"/>
        <v>235.25000000000003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DATE(2015,9,23)</f>
        <v>42270</v>
      </c>
      <c r="E4" s="36">
        <f>D4+1</f>
        <v>42271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38</v>
      </c>
      <c r="J6" s="5" t="s">
        <v>48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VLOOKUP($B7,'2309'!$B7:$N26,12,0)</f>
        <v>80</v>
      </c>
      <c r="E7" s="10">
        <v>40</v>
      </c>
      <c r="F7" s="10">
        <v>2</v>
      </c>
      <c r="G7" s="10">
        <v>26</v>
      </c>
      <c r="H7" s="11">
        <v>50</v>
      </c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VLOOKUP($B8,'2309'!$B8:$N27,12,0)</f>
        <v>3.9</v>
      </c>
      <c r="E8" s="10">
        <f>6+2.35</f>
        <v>8.35</v>
      </c>
      <c r="F8" s="11"/>
      <c r="G8" s="10"/>
      <c r="H8" s="10"/>
      <c r="I8" s="10"/>
      <c r="J8" s="10"/>
      <c r="K8" s="10"/>
      <c r="L8" s="14">
        <f>D8+E8-SUM(F8:K8)</f>
        <v>12.25</v>
      </c>
      <c r="M8" s="10">
        <f>3.9+8.35</f>
        <v>12.25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VLOOKUP($B9,'2309'!$B9:$N28,12,0)</f>
        <v>35.549999999999997</v>
      </c>
      <c r="E9" s="10"/>
      <c r="F9" s="11"/>
      <c r="G9" s="10">
        <v>7</v>
      </c>
      <c r="H9" s="10">
        <v>7.05</v>
      </c>
      <c r="I9" s="10"/>
      <c r="J9" s="10"/>
      <c r="K9" s="10"/>
      <c r="L9" s="14">
        <f>D9+E9-SUM(F9:K9)</f>
        <v>21.499999999999996</v>
      </c>
      <c r="M9" s="16">
        <v>21.5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VLOOKUP($B10,'2309'!$B10:$N29,12,0)</f>
        <v>8.1</v>
      </c>
      <c r="E10">
        <v>10.8</v>
      </c>
      <c r="F10" s="11"/>
      <c r="G10" s="10"/>
      <c r="H10" s="10">
        <v>2.1</v>
      </c>
      <c r="I10" s="11"/>
      <c r="J10" s="10"/>
      <c r="K10" s="10"/>
      <c r="L10" s="14">
        <f>D10+E10-SUM(F10:K10)</f>
        <v>16.799999999999997</v>
      </c>
      <c r="M10" s="10">
        <f>6+10.8</f>
        <v>16.8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VLOOKUP($B11,'2309'!$B11:$N30,12,0)</f>
        <v>37</v>
      </c>
      <c r="E11" s="10"/>
      <c r="F11" s="11"/>
      <c r="G11" s="10">
        <v>8</v>
      </c>
      <c r="H11" s="10">
        <v>12</v>
      </c>
      <c r="I11" s="11"/>
      <c r="J11" s="10">
        <v>4</v>
      </c>
      <c r="K11" s="10"/>
      <c r="L11" s="21">
        <f>D11+E11-SUM(F11:K11)</f>
        <v>13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VLOOKUP($B12,'2309'!$B12:$N31,12,0)</f>
        <v>12.35</v>
      </c>
      <c r="E12" s="10">
        <v>13.2</v>
      </c>
      <c r="F12" s="11"/>
      <c r="G12" s="10">
        <v>4</v>
      </c>
      <c r="H12" s="10">
        <v>2.85</v>
      </c>
      <c r="I12" s="11"/>
      <c r="J12" s="10"/>
      <c r="K12" s="10"/>
      <c r="L12" s="14">
        <f t="shared" ref="L12:L22" si="1">D12+E12-SUM(F12:K12)</f>
        <v>18.699999999999996</v>
      </c>
      <c r="M12" s="10">
        <f>5.5+13.2</f>
        <v>18.7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VLOOKUP($B13,'2309'!$B13:$N32,12,0)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VLOOKUP($B14,'2309'!$B14:$N33,12,0)</f>
        <v>6.9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3.9000000000000004</v>
      </c>
      <c r="M14" s="10">
        <v>3.9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VLOOKUP($B15,'2309'!$B15:$N34,12,0)</f>
        <v>5.9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2.9000000000000004</v>
      </c>
      <c r="M15" s="23">
        <v>2.9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VLOOKUP($B16,'2309'!$B16:$N35,12,0)</f>
        <v>13.5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VLOOKUP($B18,'2309'!$B18:$N37,12,0)</f>
        <v>9</v>
      </c>
      <c r="E18" s="10"/>
      <c r="F18" s="11"/>
      <c r="G18" s="10"/>
      <c r="H18" s="10"/>
      <c r="I18" s="10"/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VLOOKUP($B20,'2309'!$B20:$N39,12,0)</f>
        <v>10.4</v>
      </c>
      <c r="E20" s="12"/>
      <c r="F20" s="12"/>
      <c r="G20" s="12"/>
      <c r="H20" s="11">
        <v>4.9000000000000004</v>
      </c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VLOOKUP($B21,'2309'!$B21:$N40,12,0)</f>
        <v>8.15</v>
      </c>
      <c r="E21" s="12"/>
      <c r="F21" s="12"/>
      <c r="G21" s="12">
        <v>2.4500000000000002</v>
      </c>
      <c r="H21" s="11">
        <v>2.1</v>
      </c>
      <c r="I21" s="12"/>
      <c r="J21" s="12"/>
      <c r="K21" s="12"/>
      <c r="L21" s="14">
        <f t="shared" si="1"/>
        <v>3.5999999999999996</v>
      </c>
      <c r="M21" s="12">
        <v>3.6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VLOOKUP($B22,'2309'!$B22:$N41,12,0)</f>
        <v>4.5</v>
      </c>
      <c r="E22" s="10">
        <v>17.5</v>
      </c>
      <c r="F22" s="10"/>
      <c r="G22" s="12">
        <v>2.4</v>
      </c>
      <c r="H22" s="11"/>
      <c r="I22" s="12"/>
      <c r="J22" s="12"/>
      <c r="K22" s="12"/>
      <c r="L22" s="14">
        <f t="shared" si="1"/>
        <v>19.600000000000001</v>
      </c>
      <c r="M22" s="12">
        <f>2.1+17.5</f>
        <v>19.600000000000001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91.65</v>
      </c>
      <c r="F27" s="13">
        <f t="shared" si="2"/>
        <v>3.8</v>
      </c>
      <c r="G27" s="13">
        <f>SUM(G7:G26)</f>
        <v>58.85</v>
      </c>
      <c r="H27" s="13">
        <f>SUM(H7:H26)</f>
        <v>81</v>
      </c>
      <c r="I27" s="13">
        <f t="shared" si="2"/>
        <v>2</v>
      </c>
      <c r="J27" s="13">
        <f t="shared" si="2"/>
        <v>4</v>
      </c>
      <c r="K27" s="13">
        <f t="shared" si="2"/>
        <v>0</v>
      </c>
      <c r="L27" s="13">
        <f t="shared" si="2"/>
        <v>177.25</v>
      </c>
      <c r="M27" s="13">
        <f t="shared" si="2"/>
        <v>177.25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DATE(2015,9,24)</f>
        <v>42271</v>
      </c>
      <c r="E4" s="36">
        <f>D4+1</f>
        <v>42272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43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VLOOKUP($B7,'2409'!$B7:$N26,12,0)</f>
        <v>40</v>
      </c>
      <c r="E7" s="10">
        <v>20</v>
      </c>
      <c r="F7" s="10">
        <v>4</v>
      </c>
      <c r="G7" s="10"/>
      <c r="H7" s="11">
        <v>30</v>
      </c>
      <c r="I7" s="10">
        <v>10</v>
      </c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VLOOKUP($B8,'2409'!$B8:$N27,12,0)</f>
        <v>12.25</v>
      </c>
      <c r="E8" s="10"/>
      <c r="F8" s="11"/>
      <c r="G8" s="10">
        <v>5.05</v>
      </c>
      <c r="H8" s="10">
        <v>3</v>
      </c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VLOOKUP($B9,'2409'!$B9:$N28,12,0)</f>
        <v>21.5</v>
      </c>
      <c r="E9" s="10">
        <f>10+5.95</f>
        <v>15.95</v>
      </c>
      <c r="F9" s="11"/>
      <c r="G9" s="10">
        <v>10</v>
      </c>
      <c r="H9" s="10">
        <v>6</v>
      </c>
      <c r="I9" s="10"/>
      <c r="J9" s="10"/>
      <c r="K9" s="10"/>
      <c r="L9" s="14">
        <f>D9+E9-SUM(F9:K9)</f>
        <v>21.450000000000003</v>
      </c>
      <c r="M9" s="16">
        <f>5.5+E9</f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VLOOKUP($B10,'2409'!$B10:$N29,12,0)</f>
        <v>16.8</v>
      </c>
      <c r="F10" s="11"/>
      <c r="G10" s="10"/>
      <c r="H10" s="10">
        <v>2.1</v>
      </c>
      <c r="I10" s="11"/>
      <c r="J10" s="10"/>
      <c r="K10" s="10"/>
      <c r="L10" s="14">
        <f>D10+E10-SUM(F10:K10)</f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VLOOKUP($B11,'2409'!$B11:$N30,12,0)</f>
        <v>13</v>
      </c>
      <c r="E11" s="10">
        <v>24.1</v>
      </c>
      <c r="F11" s="11"/>
      <c r="G11" s="10"/>
      <c r="H11" s="10">
        <v>5</v>
      </c>
      <c r="I11" s="11"/>
      <c r="J11" s="10"/>
      <c r="K11" s="10"/>
      <c r="L11" s="21">
        <f>D11+E11-SUM(F11:K11)</f>
        <v>32.1</v>
      </c>
      <c r="M11" s="17">
        <f>9+24.1</f>
        <v>33.1</v>
      </c>
      <c r="N11" s="20">
        <f t="shared" si="0"/>
        <v>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VLOOKUP($B12,'2409'!$B12:$N31,12,0)</f>
        <v>18.7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VLOOKUP($B14,'2409'!$B14:$N33,12,0)</f>
        <v>3.9</v>
      </c>
      <c r="E14" s="10">
        <f>4.5+0.35</f>
        <v>4.8499999999999996</v>
      </c>
      <c r="F14" s="11"/>
      <c r="G14" s="10"/>
      <c r="H14" s="10">
        <v>2</v>
      </c>
      <c r="I14" s="11"/>
      <c r="J14" s="10"/>
      <c r="K14" s="10"/>
      <c r="L14" s="14">
        <f t="shared" si="1"/>
        <v>6.75</v>
      </c>
      <c r="M14" s="10">
        <f>1.9+E14</f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VLOOKUP($B15,'2409'!$B15:$N34,12,0)</f>
        <v>2.9</v>
      </c>
      <c r="E15" s="10">
        <v>10.3</v>
      </c>
      <c r="F15" s="11"/>
      <c r="G15" s="10"/>
      <c r="H15" s="10">
        <v>2</v>
      </c>
      <c r="I15" s="10"/>
      <c r="J15" s="10"/>
      <c r="K15" s="10"/>
      <c r="L15" s="14">
        <f t="shared" si="1"/>
        <v>11.200000000000001</v>
      </c>
      <c r="M15" s="23">
        <f>1+E15</f>
        <v>11.3</v>
      </c>
      <c r="N15" s="15">
        <f t="shared" si="0"/>
        <v>9.9999999999999645E-2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VLOOKUP($B16,'2409'!$B16:$N35,12,0)</f>
        <v>10.5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7.5</v>
      </c>
      <c r="M16" s="10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VLOOKUP($B18,'2409'!$B18:$N37,12,0)</f>
        <v>9</v>
      </c>
      <c r="E18" s="10"/>
      <c r="F18" s="11"/>
      <c r="G18" s="10">
        <v>1.2</v>
      </c>
      <c r="H18" s="10">
        <v>1.5</v>
      </c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VLOOKUP($B20,'2409'!$B20:$N39,12,0)</f>
        <v>5.5</v>
      </c>
      <c r="E20" s="12"/>
      <c r="F20" s="12"/>
      <c r="G20" s="12"/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VLOOKUP($B21,'2409'!$B21:$N40,12,0)</f>
        <v>3.6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VLOOKUP($B22,'2409'!$B22:$N41,12,0)</f>
        <v>19.600000000000001</v>
      </c>
      <c r="E22" s="10"/>
      <c r="F22" s="10">
        <v>17.5</v>
      </c>
      <c r="G22" s="12"/>
      <c r="H22" s="11"/>
      <c r="I22" s="12"/>
      <c r="J22" s="12"/>
      <c r="K22" s="12"/>
      <c r="L22" s="14">
        <f t="shared" si="1"/>
        <v>2.1000000000000014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21.5</v>
      </c>
      <c r="G27" s="13">
        <f>SUM(G7:G26)</f>
        <v>20.25</v>
      </c>
      <c r="H27" s="13">
        <f>SUM(H7:H26)</f>
        <v>59.7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141.00000000000003</v>
      </c>
      <c r="M27" s="13">
        <f t="shared" si="2"/>
        <v>142.1</v>
      </c>
      <c r="N27" s="13">
        <f t="shared" si="2"/>
        <v>1.0999999999999996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DATE(2015,9,25)</f>
        <v>42272</v>
      </c>
      <c r="E4" s="36">
        <f>D4+1</f>
        <v>42273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VLOOKUP($B7,'2509'!$B7:$N26,12,0)</f>
        <v>16</v>
      </c>
      <c r="E7" s="10">
        <v>10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12</v>
      </c>
      <c r="M7" s="10">
        <v>12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VLOOKUP($B8,'2509'!$B8:$N27,12,0)</f>
        <v>4.2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VLOOKUP($B10,'2509'!$B10:$N29,12,0)</f>
        <v>14.7</v>
      </c>
      <c r="F10" s="11"/>
      <c r="G10" s="10">
        <v>0.6</v>
      </c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VLOOKUP($B11,'2509'!$B11:$N30,12,0)</f>
        <v>33.1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VLOOKUP($B16,'2509'!$B16:$N35,12,0)</f>
        <v>7.5</v>
      </c>
      <c r="E16" s="10">
        <v>13.35</v>
      </c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f>7.5+13.35</f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VLOOKUP($B20,'2509'!$B20:$N39,12,0)</f>
        <v>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23.35</v>
      </c>
      <c r="F27" s="13">
        <f t="shared" si="2"/>
        <v>4</v>
      </c>
      <c r="G27" s="13">
        <f>SUM(G7:G26)</f>
        <v>15.5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145.95000000000002</v>
      </c>
      <c r="M27" s="13">
        <f t="shared" si="2"/>
        <v>145.95000000000002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DATE(2015,4,17)</f>
        <v>42111</v>
      </c>
      <c r="E4" s="36">
        <f>D4+1</f>
        <v>42112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VLOOKUP($B7,'1704'!$B7:$N26,12,0)</f>
        <v>18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VLOOKUP($B8,'1704'!$B8:$N27,12,0)</f>
        <v>11.5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VLOOKUP($B9,'1704'!$B9:$N28,12,0)</f>
        <v>15.1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VLOOKUP($B10,'1704'!$B10:$N29,12,0)</f>
        <v>0.3</v>
      </c>
      <c r="E10">
        <f>0.9+10.2</f>
        <v>11.1</v>
      </c>
      <c r="F10" s="11"/>
      <c r="G10" s="10">
        <v>1.2</v>
      </c>
      <c r="H10" s="10"/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VLOOKUP($B11,'1704'!$B11:$N30,12,0)</f>
        <v>10.5</v>
      </c>
      <c r="E11" s="10"/>
      <c r="F11" s="11">
        <v>2.5</v>
      </c>
      <c r="G11" s="10">
        <v>2</v>
      </c>
      <c r="H11" s="10"/>
      <c r="I11" s="11"/>
      <c r="J11" s="10"/>
      <c r="K11" s="10"/>
      <c r="L11" s="14">
        <f t="shared" si="1"/>
        <v>6</v>
      </c>
      <c r="M11" s="10">
        <v>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VLOOKUP($B12,'1704'!$B12:$N31,12,0)</f>
        <v>13.35</v>
      </c>
      <c r="E12" s="10"/>
      <c r="F12" s="11">
        <v>3</v>
      </c>
      <c r="G12" s="10">
        <v>3</v>
      </c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VLOOKUP($B15,'1704'!$B15:$N34,12,0)</f>
        <v>6.7</v>
      </c>
      <c r="E15" s="10"/>
      <c r="F15" s="11"/>
      <c r="G15" s="10"/>
      <c r="H15" s="10"/>
      <c r="I15" s="10"/>
      <c r="J15" s="10"/>
      <c r="K15" s="10"/>
      <c r="L15" s="14">
        <f t="shared" si="1"/>
        <v>6.7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VLOOKUP($B18,'1704'!$B18:$N37,12,0)</f>
        <v>15.2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13.399999999999999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VLOOKUP($B20,'1704'!$B20:$N39,12,0)</f>
        <v>9</v>
      </c>
      <c r="E20" s="12"/>
      <c r="F20" s="12">
        <v>1</v>
      </c>
      <c r="G20" s="12">
        <v>2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VLOOKUP($B22,'1704'!$B22:$N41,12,0)</f>
        <v>0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128.25</v>
      </c>
      <c r="E27" s="13">
        <f t="shared" si="2"/>
        <v>46.800000000000004</v>
      </c>
      <c r="F27" s="13">
        <f t="shared" si="2"/>
        <v>12.5</v>
      </c>
      <c r="G27" s="13">
        <f t="shared" si="2"/>
        <v>13.8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148.74999999999997</v>
      </c>
      <c r="M27" s="13">
        <f t="shared" si="2"/>
        <v>148.74999999999997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6" priority="1" stopIfTrue="1" operator="lessThan">
      <formula>0</formula>
    </cfRule>
  </conditionalFormatting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DATE(2015,9,26)</f>
        <v>42273</v>
      </c>
      <c r="E4" s="36">
        <f>D4+1</f>
        <v>42274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VLOOKUP($B7,'2609'!$B7:$N26,12,0)</f>
        <v>12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VLOOKUP($B11,'2609'!$B11:$N30,12,0)</f>
        <v>30.1</v>
      </c>
      <c r="E11" s="10"/>
      <c r="F11" s="11"/>
      <c r="G11" s="10"/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VLOOKUP($B16,'2609'!$B16:$N35,12,0)</f>
        <v>20.85</v>
      </c>
      <c r="E16" s="10"/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141.95000000000002</v>
      </c>
      <c r="M27" s="13">
        <f t="shared" si="2"/>
        <v>141.95000000000002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DATE(2015,9,27)</f>
        <v>42274</v>
      </c>
      <c r="E4" s="36">
        <f>D4+1</f>
        <v>42275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VLOOKUP($B7,'2709'!$B7:$N26,12,0)</f>
        <v>8</v>
      </c>
      <c r="E7" s="10">
        <v>50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VLOOKUP($B9,'2709'!$B9:$N28,12,0)</f>
        <v>21.45</v>
      </c>
      <c r="E9" s="10"/>
      <c r="F9" s="11">
        <v>5</v>
      </c>
      <c r="G9" s="10">
        <v>3</v>
      </c>
      <c r="H9" s="10"/>
      <c r="I9" s="10"/>
      <c r="J9" s="10"/>
      <c r="K9" s="10"/>
      <c r="L9" s="14">
        <f>D9+E9-SUM(F9:K9)</f>
        <v>13.45</v>
      </c>
      <c r="M9" s="16">
        <f>10.95+2.5</f>
        <v>13.45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f>11.1+3</f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VLOOKUP($B11,'2709'!$B11:$N30,12,0)</f>
        <v>30.1</v>
      </c>
      <c r="E11" s="10"/>
      <c r="F11" s="11">
        <v>5</v>
      </c>
      <c r="G11" s="10">
        <v>2.5</v>
      </c>
      <c r="H11" s="10"/>
      <c r="I11" s="11"/>
      <c r="J11" s="10"/>
      <c r="K11" s="10"/>
      <c r="L11" s="21">
        <f>D11+E11-SUM(F11:K11)</f>
        <v>22.6</v>
      </c>
      <c r="M11" s="17">
        <f>19.1+3.5</f>
        <v>22.6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VLOOKUP($B12,'2709'!$B12:$N31,12,0)</f>
        <v>11.7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VLOOKUP($B14,'2709'!$B14:$N33,12,0)</f>
        <v>6.75</v>
      </c>
      <c r="E14" s="10"/>
      <c r="F14" s="11">
        <v>3</v>
      </c>
      <c r="G14" s="10">
        <v>0.9</v>
      </c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VLOOKUP($B15,'2709'!$B15:$N34,12,0)</f>
        <v>11.3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7.3000000000000007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VLOOKUP($B16,'2709'!$B16:$N35,12,0)</f>
        <v>20.85</v>
      </c>
      <c r="E16" s="10">
        <v>13.35</v>
      </c>
      <c r="F16" s="11">
        <v>3.85</v>
      </c>
      <c r="G16" s="10">
        <v>4</v>
      </c>
      <c r="H16" s="10">
        <v>10</v>
      </c>
      <c r="I16" s="10"/>
      <c r="J16" s="10"/>
      <c r="K16" s="10"/>
      <c r="L16" s="14">
        <f t="shared" si="1"/>
        <v>16.350000000000001</v>
      </c>
      <c r="M16" s="10">
        <f>3+13.35</f>
        <v>16.350000000000001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VLOOKUP($B18,'2709'!$B18:$N37,12,0)</f>
        <v>6.3</v>
      </c>
      <c r="E18" s="10"/>
      <c r="F18" s="11">
        <v>1.5</v>
      </c>
      <c r="G18" s="10">
        <v>1.8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VLOOKUP($B21,'2709'!$B21:$N40,12,0)</f>
        <v>1.5</v>
      </c>
      <c r="E21" s="12">
        <v>10.3</v>
      </c>
      <c r="F21" s="12">
        <v>1.5</v>
      </c>
      <c r="G21" s="12"/>
      <c r="H21" s="11"/>
      <c r="I21" s="12"/>
      <c r="J21" s="12"/>
      <c r="K21" s="12"/>
      <c r="L21" s="14">
        <f t="shared" si="1"/>
        <v>10.3</v>
      </c>
      <c r="M21" s="12">
        <v>10.3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VLOOKUP($B22,'2709'!$B22:$N41,12,0)</f>
        <v>2.1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0.30000000000000004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73.650000000000006</v>
      </c>
      <c r="F27" s="13">
        <f t="shared" si="2"/>
        <v>28.85</v>
      </c>
      <c r="G27" s="13">
        <f>SUM(G7:G26)</f>
        <v>26.5</v>
      </c>
      <c r="H27" s="13">
        <f>SUM(H7:H26)</f>
        <v>10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150.25</v>
      </c>
      <c r="M27" s="13">
        <f t="shared" si="2"/>
        <v>150.25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DATE(2015,9,28)</f>
        <v>42275</v>
      </c>
      <c r="E4" s="36">
        <f>D4+1</f>
        <v>42276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VLOOKUP($B7,'2809'!$B7:$N26,12,0)</f>
        <v>44</v>
      </c>
      <c r="E7" s="10">
        <v>30</v>
      </c>
      <c r="F7" s="10">
        <v>4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VLOOKUP($B9,'2809'!$B9:$N28,12,0)</f>
        <v>13.45</v>
      </c>
      <c r="E9" s="10">
        <f>16.05</f>
        <v>16.05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22.5</v>
      </c>
      <c r="M9" s="16">
        <f>6.45+16.05</f>
        <v>22.5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VLOOKUP($B10,'2809'!$B10:$N29,12,0)</f>
        <v>14.1</v>
      </c>
      <c r="F10" s="11"/>
      <c r="G10" s="10">
        <v>1.2</v>
      </c>
      <c r="H10" s="10"/>
      <c r="I10" s="11"/>
      <c r="J10" s="10"/>
      <c r="K10" s="10"/>
      <c r="L10" s="14">
        <f>D10+E10-SUM(F10:K10)</f>
        <v>12.9</v>
      </c>
      <c r="M10" s="10">
        <f>12+0.9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VLOOKUP($B11,'2809'!$B11:$N30,12,0)</f>
        <v>22.6</v>
      </c>
      <c r="E11" s="10">
        <v>24.5</v>
      </c>
      <c r="F11" s="11"/>
      <c r="G11" s="10"/>
      <c r="H11" s="10">
        <v>4</v>
      </c>
      <c r="I11" s="11"/>
      <c r="J11" s="10"/>
      <c r="K11" s="10"/>
      <c r="L11" s="21">
        <f>D11+E11-SUM(F11:K11)</f>
        <v>43.1</v>
      </c>
      <c r="M11" s="17">
        <f>18.6+24.5</f>
        <v>43.1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VLOOKUP($B12,'2809'!$B12:$N31,12,0)</f>
        <v>8.1999999999999993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VLOOKUP($B14,'2809'!$B14:$N33,12,0)</f>
        <v>2.85</v>
      </c>
      <c r="E14" s="10"/>
      <c r="F14" s="11"/>
      <c r="G14" s="10"/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VLOOKUP($B15,'2809'!$B15:$N34,12,0)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VLOOKUP($B16,'2809'!$B16:$N35,12,0)</f>
        <v>16.350000000000001</v>
      </c>
      <c r="E16" s="10">
        <v>14</v>
      </c>
      <c r="F16" s="11"/>
      <c r="G16" s="10">
        <v>0.5</v>
      </c>
      <c r="H16" s="10"/>
      <c r="I16" s="10"/>
      <c r="J16" s="10"/>
      <c r="K16" s="10"/>
      <c r="L16" s="14">
        <f t="shared" si="1"/>
        <v>29.85</v>
      </c>
      <c r="M16" s="10">
        <f>15.85+14</f>
        <v>29.85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VLOOKUP($B18,'2809'!$B18:$N37,12,0)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VLOOKUP($B21,'2809'!$B21:$N40,12,0)</f>
        <v>10.3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9.1000000000000014</v>
      </c>
      <c r="M21" s="12">
        <v>9.1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VLOOKUP($B22,'2809'!$B22:$N41,12,0)</f>
        <v>0.3</v>
      </c>
      <c r="E22" s="10"/>
      <c r="F22" s="10"/>
      <c r="G22" s="12"/>
      <c r="H22" s="11"/>
      <c r="I22" s="12"/>
      <c r="J22" s="12"/>
      <c r="K22" s="12"/>
      <c r="L22" s="14">
        <f t="shared" si="1"/>
        <v>0.3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84.55</v>
      </c>
      <c r="F27" s="13">
        <f t="shared" si="2"/>
        <v>4</v>
      </c>
      <c r="G27" s="13">
        <f>SUM(G7:G26)</f>
        <v>17.099999999999998</v>
      </c>
      <c r="H27" s="13">
        <f>SUM(H7:H26)</f>
        <v>14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197.7</v>
      </c>
      <c r="M27" s="13">
        <f t="shared" si="2"/>
        <v>197.7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A4" sqref="A4"/>
      <selection pane="topRight" activeCell="E4" sqref="E4"/>
      <selection pane="bottomLeft" activeCell="A7" sqref="A7"/>
      <selection pane="bottomRight" activeCell="M22" sqref="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DATE(2015,9,29)</f>
        <v>42276</v>
      </c>
      <c r="E4" s="36">
        <f>D4+1</f>
        <v>42277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VLOOKUP($B7,'2909'!$B7:$N26,12,0)</f>
        <v>52</v>
      </c>
      <c r="E7" s="10">
        <v>60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70</v>
      </c>
      <c r="M7" s="10">
        <f>10+60</f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VLOOKUP($B8,'2909'!$B8:$N27,12,0)</f>
        <v>2.1</v>
      </c>
      <c r="E8" s="10">
        <v>6.6</v>
      </c>
      <c r="F8" s="11"/>
      <c r="G8" s="10"/>
      <c r="H8" s="10">
        <v>0.9</v>
      </c>
      <c r="I8" s="10"/>
      <c r="J8" s="10"/>
      <c r="K8" s="10"/>
      <c r="L8" s="14">
        <f>D8+E8-SUM(F8:K8)</f>
        <v>7.7999999999999989</v>
      </c>
      <c r="M8" s="10">
        <f>1.2+6.6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VLOOKUP($B9,'2909'!$B9:$N28,12,0)</f>
        <v>22.5</v>
      </c>
      <c r="E9" s="10">
        <v>15.85</v>
      </c>
      <c r="F9" s="11"/>
      <c r="G9" s="10">
        <v>2.5</v>
      </c>
      <c r="H9" s="10">
        <v>1.95</v>
      </c>
      <c r="I9" s="10">
        <v>2.5</v>
      </c>
      <c r="J9" s="10"/>
      <c r="K9" s="10"/>
      <c r="L9" s="14">
        <f>D9+E9-SUM(F9:K9)</f>
        <v>31.400000000000002</v>
      </c>
      <c r="M9" s="16">
        <f>15.55+15.85</f>
        <v>31.4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VLOOKUP($B10,'2909'!$B10:$N29,12,0)</f>
        <v>12.9</v>
      </c>
      <c r="F10" s="11"/>
      <c r="G10" s="10"/>
      <c r="H10" s="10">
        <v>0.9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VLOOKUP($B11,'2909'!$B11:$N30,12,0)</f>
        <v>43.1</v>
      </c>
      <c r="E11" s="10"/>
      <c r="F11" s="11"/>
      <c r="G11" s="10">
        <v>2</v>
      </c>
      <c r="H11" s="10">
        <v>2</v>
      </c>
      <c r="I11" s="11">
        <v>2</v>
      </c>
      <c r="J11" s="10"/>
      <c r="K11" s="10"/>
      <c r="L11" s="21">
        <f>D11+E11-SUM(F11:K11)</f>
        <v>37.1</v>
      </c>
      <c r="M11" s="17">
        <f>24.5+12.6</f>
        <v>37.1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VLOOKUP($B12,'2909'!$B12:$N31,12,0)</f>
        <v>8.1999999999999993</v>
      </c>
      <c r="E12" s="10"/>
      <c r="F12" s="11"/>
      <c r="G12" s="10"/>
      <c r="H12" s="10">
        <v>1.5</v>
      </c>
      <c r="I12" s="11">
        <v>0.5</v>
      </c>
      <c r="J12" s="10"/>
      <c r="K12" s="10"/>
      <c r="L12" s="14">
        <f t="shared" ref="L12:L22" si="1">D12+E12-SUM(F12:K12)</f>
        <v>6.1999999999999993</v>
      </c>
      <c r="M12" s="10">
        <v>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VLOOKUP($B14,'2909'!$B14:$N33,12,0)</f>
        <v>2.85</v>
      </c>
      <c r="E14" s="10">
        <v>9.3000000000000007</v>
      </c>
      <c r="F14" s="11"/>
      <c r="G14" s="10">
        <v>0.5</v>
      </c>
      <c r="H14" s="10"/>
      <c r="I14" s="11"/>
      <c r="J14" s="10"/>
      <c r="K14" s="10"/>
      <c r="L14" s="14">
        <f t="shared" si="1"/>
        <v>11.65</v>
      </c>
      <c r="M14" s="10">
        <f>2.35+9.3</f>
        <v>11.65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VLOOKUP($B15,'2909'!$B15:$N34,12,0)</f>
        <v>7.3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6.3</v>
      </c>
      <c r="M15" s="23">
        <v>6.3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VLOOKUP($B16,'2909'!$B16:$N35,12,0)</f>
        <v>29.85</v>
      </c>
      <c r="E16" s="10"/>
      <c r="F16" s="11"/>
      <c r="G16" s="10">
        <v>24.85</v>
      </c>
      <c r="H16" s="10"/>
      <c r="I16" s="10"/>
      <c r="J16" s="10"/>
      <c r="K16" s="10"/>
      <c r="L16" s="14">
        <f t="shared" si="1"/>
        <v>5</v>
      </c>
      <c r="M16" s="10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VLOOKUP($B18,'2909'!$B18:$N37,12,0)</f>
        <v>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VLOOKUP($B20,'2909'!$B20:$N39,12,0)</f>
        <v>4.5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VLOOKUP($B21,'2909'!$B21:$N40,12,0)</f>
        <v>9.1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7</v>
      </c>
      <c r="M21" s="12">
        <v>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VLOOKUP($B22,'2909'!$B22:$N41,12,0)</f>
        <v>0.3</v>
      </c>
      <c r="E22" s="10">
        <f>3+2.05</f>
        <v>5.05</v>
      </c>
      <c r="F22" s="10"/>
      <c r="G22" s="12"/>
      <c r="H22" s="11"/>
      <c r="I22" s="12"/>
      <c r="J22" s="12"/>
      <c r="K22" s="12"/>
      <c r="L22" s="14">
        <f t="shared" si="1"/>
        <v>5.35</v>
      </c>
      <c r="M22" s="12">
        <f>0.3+5.05</f>
        <v>5.35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96.799999999999983</v>
      </c>
      <c r="F27" s="13">
        <f t="shared" si="2"/>
        <v>4</v>
      </c>
      <c r="G27" s="13">
        <f>SUM(G7:G26)</f>
        <v>48.35</v>
      </c>
      <c r="H27" s="13">
        <f>SUM(H7:H26)</f>
        <v>19.75</v>
      </c>
      <c r="I27" s="13">
        <f t="shared" si="2"/>
        <v>17</v>
      </c>
      <c r="J27" s="13">
        <f t="shared" si="2"/>
        <v>0</v>
      </c>
      <c r="K27" s="13">
        <f t="shared" si="2"/>
        <v>0</v>
      </c>
      <c r="L27" s="13">
        <f t="shared" si="2"/>
        <v>205.4</v>
      </c>
      <c r="M27" s="13">
        <f t="shared" si="2"/>
        <v>205.39999999999998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DATE(2015,9,30)</f>
        <v>42277</v>
      </c>
      <c r="E4" s="36">
        <f>D4+1</f>
        <v>42278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VLOOKUP($B7,'3009'!$B7:$N26,12,0)</f>
        <v>70</v>
      </c>
      <c r="E7" s="10">
        <v>40</v>
      </c>
      <c r="F7" s="10"/>
      <c r="G7" s="10">
        <v>40</v>
      </c>
      <c r="H7" s="11">
        <v>30</v>
      </c>
      <c r="I7" s="10"/>
      <c r="J7" s="10"/>
      <c r="K7" s="10"/>
      <c r="L7" s="14">
        <f>D7+E7-SUM(F7:K7)</f>
        <v>40</v>
      </c>
      <c r="M7" s="10">
        <f>40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VLOOKUP($B8,'3009'!$B8:$N27,12,0)</f>
        <v>7.8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6.3</v>
      </c>
      <c r="M8" s="10">
        <v>6.3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VLOOKUP($B9,'3009'!$B9:$N28,12,0)</f>
        <v>31.4</v>
      </c>
      <c r="E9" s="10">
        <v>16.899999999999999</v>
      </c>
      <c r="F9" s="11"/>
      <c r="G9" s="10">
        <v>4</v>
      </c>
      <c r="H9" s="10">
        <v>11.05</v>
      </c>
      <c r="I9" s="10"/>
      <c r="J9" s="10"/>
      <c r="K9" s="10"/>
      <c r="L9" s="14">
        <f>D9+E9-SUM(F9:K9)</f>
        <v>33.25</v>
      </c>
      <c r="M9" s="16">
        <f>15.85+0.5+16.9</f>
        <v>33.25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VLOOKUP($B10,'3009'!$B10:$N29,12,0)</f>
        <v>12</v>
      </c>
      <c r="F10" s="11"/>
      <c r="G10" s="10">
        <v>0.6</v>
      </c>
      <c r="H10" s="10">
        <v>1.2</v>
      </c>
      <c r="I10" s="11"/>
      <c r="J10" s="10"/>
      <c r="K10" s="10"/>
      <c r="L10" s="14">
        <f>D10+E10-SUM(F10:K10)</f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VLOOKUP($B11,'3009'!$B11:$N30,12,0)</f>
        <v>37.1</v>
      </c>
      <c r="E11" s="10"/>
      <c r="F11" s="11"/>
      <c r="G11" s="10">
        <v>8.1</v>
      </c>
      <c r="H11" s="10">
        <v>7</v>
      </c>
      <c r="I11" s="11"/>
      <c r="J11" s="10"/>
      <c r="K11" s="10"/>
      <c r="L11" s="21">
        <f>D11+E11-SUM(F11:K11)</f>
        <v>22</v>
      </c>
      <c r="M11" s="17">
        <v>22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VLOOKUP($B12,'3009'!$B12:$N31,12,0)</f>
        <v>6.2</v>
      </c>
      <c r="E12" s="10">
        <v>13.25</v>
      </c>
      <c r="F12" s="11"/>
      <c r="G12" s="10">
        <v>2</v>
      </c>
      <c r="H12" s="10">
        <v>3</v>
      </c>
      <c r="I12" s="11"/>
      <c r="J12" s="10"/>
      <c r="K12" s="10"/>
      <c r="L12" s="14">
        <f t="shared" ref="L12:L22" si="1">D12+E12-SUM(F12:K12)</f>
        <v>14.45</v>
      </c>
      <c r="M12" s="10">
        <f>1.2+13.25</f>
        <v>14.45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VLOOKUP($B14,'3009'!$B14:$N33,12,0)</f>
        <v>11.65</v>
      </c>
      <c r="E14" s="10"/>
      <c r="F14" s="11"/>
      <c r="G14" s="10"/>
      <c r="H14" s="10">
        <v>2.85</v>
      </c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VLOOKUP($B15,'3009'!$B15:$N34,12,0)</f>
        <v>6.3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3.3</v>
      </c>
      <c r="M15" s="23">
        <v>3.3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VLOOKUP($B16,'3009'!$B16:$N35,12,0)</f>
        <v>5</v>
      </c>
      <c r="E16" s="10">
        <v>14</v>
      </c>
      <c r="F16" s="11"/>
      <c r="G16" s="10"/>
      <c r="H16" s="10">
        <v>3</v>
      </c>
      <c r="I16" s="10"/>
      <c r="J16" s="10"/>
      <c r="K16" s="10"/>
      <c r="L16" s="14">
        <f t="shared" si="1"/>
        <v>16</v>
      </c>
      <c r="M16" s="10">
        <f>2+14</f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VLOOKUP($B18,'3009'!$B18:$N37,12,0)</f>
        <v>2.1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12.5</v>
      </c>
      <c r="M18" s="10">
        <f>2.1+10.4</f>
        <v>12.5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VLOOKUP($B20,'3009'!$B20:$N39,12,0)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VLOOKUP($B21,'3009'!$B21:$N40,12,0)</f>
        <v>7</v>
      </c>
      <c r="E21" s="12"/>
      <c r="F21" s="12"/>
      <c r="G21" s="12">
        <v>2.1</v>
      </c>
      <c r="H21" s="11">
        <v>1.2</v>
      </c>
      <c r="I21" s="12"/>
      <c r="J21" s="12"/>
      <c r="K21" s="12"/>
      <c r="L21" s="14">
        <f t="shared" si="1"/>
        <v>3.7</v>
      </c>
      <c r="M21" s="12">
        <v>3.7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VLOOKUP($B22,'3009'!$B22:$N41,12,0)</f>
        <v>5.35</v>
      </c>
      <c r="E22" s="10"/>
      <c r="F22" s="10"/>
      <c r="G22" s="12"/>
      <c r="H22" s="11">
        <v>2.0499999999999998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94.550000000000011</v>
      </c>
      <c r="F27" s="13">
        <f t="shared" si="2"/>
        <v>0</v>
      </c>
      <c r="G27" s="13">
        <f>SUM(G7:G26)</f>
        <v>56.800000000000004</v>
      </c>
      <c r="H27" s="13">
        <f>SUM(H7:H26)</f>
        <v>65.850000000000009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177.3</v>
      </c>
      <c r="M27" s="13">
        <f t="shared" si="2"/>
        <v>177.3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DATE(2015,10,1)</f>
        <v>42278</v>
      </c>
      <c r="E4" s="36">
        <f>D4+1</f>
        <v>42279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VLOOKUP($B7,'0110'!$B7:$N26,12,0)</f>
        <v>40</v>
      </c>
      <c r="E7" s="10">
        <v>20</v>
      </c>
      <c r="F7" s="10">
        <v>2</v>
      </c>
      <c r="G7" s="10">
        <v>34</v>
      </c>
      <c r="H7" s="11"/>
      <c r="I7" s="10"/>
      <c r="J7" s="10"/>
      <c r="K7" s="10"/>
      <c r="L7" s="14">
        <f>D7+E7-SUM(F7:K7)</f>
        <v>24</v>
      </c>
      <c r="M7" s="10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VLOOKUP($B8,'0110'!$B8:$N27,12,0)</f>
        <v>6.3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VLOOKUP($B9,'0110'!$B9:$N28,12,0)</f>
        <v>33.25</v>
      </c>
      <c r="E9" s="10"/>
      <c r="F9" s="11">
        <v>5</v>
      </c>
      <c r="G9" s="10">
        <v>10</v>
      </c>
      <c r="H9" s="10">
        <v>5</v>
      </c>
      <c r="I9" s="10"/>
      <c r="J9" s="10"/>
      <c r="K9" s="10"/>
      <c r="L9" s="14">
        <f>D9+E9-SUM(F9:K9)</f>
        <v>13.25</v>
      </c>
      <c r="M9" s="16">
        <f>11.9+1.35</f>
        <v>13.25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VLOOKUP($B10,'0110'!$B10:$N29,12,0)</f>
        <v>10.199999999999999</v>
      </c>
      <c r="E10">
        <f>10.2+0.25</f>
        <v>10.45</v>
      </c>
      <c r="F10" s="11"/>
      <c r="G10" s="10">
        <v>2.4</v>
      </c>
      <c r="H10" s="10">
        <v>4.5</v>
      </c>
      <c r="I10" s="11"/>
      <c r="J10" s="10"/>
      <c r="K10" s="10"/>
      <c r="L10" s="14">
        <f>D10+E10-SUM(F10:K10)</f>
        <v>13.749999999999998</v>
      </c>
      <c r="M10" s="10">
        <f>3.3+10.45</f>
        <v>13.75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VLOOKUP($B11,'0110'!$B11:$N30,12,0)</f>
        <v>22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16</v>
      </c>
      <c r="M11" s="17">
        <v>16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VLOOKUP($B12,'0110'!$B12:$N31,12,0)</f>
        <v>14.45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VLOOKUP($B14,'0110'!$B14:$N33,12,0)</f>
        <v>8.8000000000000007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6.8000000000000007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VLOOKUP($B15,'0110'!$B15:$N34,12,0)</f>
        <v>3.3</v>
      </c>
      <c r="E15" s="10">
        <v>7.2</v>
      </c>
      <c r="F15" s="11"/>
      <c r="G15" s="10">
        <v>2.5</v>
      </c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VLOOKUP($B16,'0110'!$B16:$N35,12,0)</f>
        <v>16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VLOOKUP($B18,'0110'!$B18:$N37,12,0)</f>
        <v>12.5</v>
      </c>
      <c r="E18" s="10"/>
      <c r="F18" s="11"/>
      <c r="G18" s="10">
        <v>2.1</v>
      </c>
      <c r="H18" s="10">
        <v>1.5</v>
      </c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VLOOKUP($B20,'0110'!$B20:$N39,12,0)</f>
        <v>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VLOOKUP($B21,'0110'!$B21:$N40,12,0)</f>
        <v>3.7</v>
      </c>
      <c r="E21" s="12">
        <f>9+1.63</f>
        <v>10.629999999999999</v>
      </c>
      <c r="F21" s="12"/>
      <c r="G21" s="12">
        <v>2.2000000000000002</v>
      </c>
      <c r="H21" s="11">
        <v>1.5</v>
      </c>
      <c r="I21" s="12"/>
      <c r="J21" s="12"/>
      <c r="K21" s="12"/>
      <c r="L21" s="14">
        <f t="shared" si="1"/>
        <v>10.629999999999999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48.28</v>
      </c>
      <c r="F27" s="13">
        <f t="shared" si="2"/>
        <v>7</v>
      </c>
      <c r="G27" s="13">
        <f>SUM(G7:G26)</f>
        <v>73.3</v>
      </c>
      <c r="H27" s="13">
        <f>SUM(H7:H26)</f>
        <v>12.5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132.78000000000003</v>
      </c>
      <c r="M27" s="13">
        <f t="shared" si="2"/>
        <v>132.78000000000003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DATE(2015,10,2)</f>
        <v>42279</v>
      </c>
      <c r="E4" s="36">
        <f>D4+1</f>
        <v>42280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VLOOKUP($B7,'0210'!$B7:$N26,12,0)</f>
        <v>24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36</v>
      </c>
      <c r="M7" s="10">
        <f>18*2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VLOOKUP($B8,'0210'!$B8:$N27,12,0)</f>
        <v>4.2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VLOOKUP($B9,'0210'!$B9:$N28,12,0)</f>
        <v>13.25</v>
      </c>
      <c r="E9" s="10">
        <v>15.7</v>
      </c>
      <c r="F9" s="11"/>
      <c r="G9" s="10">
        <v>2</v>
      </c>
      <c r="H9" s="10"/>
      <c r="I9" s="10"/>
      <c r="J9" s="10"/>
      <c r="K9" s="10"/>
      <c r="L9" s="14">
        <f>D9+E9-SUM(F9:K9)</f>
        <v>26.95</v>
      </c>
      <c r="M9" s="16">
        <f>11.25+15.7</f>
        <v>26.95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VLOOKUP($B10,'0210'!$B10:$N29,12,0)</f>
        <v>13.75</v>
      </c>
      <c r="F10" s="11"/>
      <c r="G10" s="10">
        <v>1.2</v>
      </c>
      <c r="H10" s="10"/>
      <c r="I10" s="11"/>
      <c r="J10" s="10"/>
      <c r="K10" s="10"/>
      <c r="L10" s="14">
        <f>D10+E10-SUM(F10:K10)</f>
        <v>12.55</v>
      </c>
      <c r="M10" s="10">
        <f>2.1+10.45</f>
        <v>12.549999999999999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VLOOKUP($B11,'0210'!$B11:$N30,12,0)</f>
        <v>16</v>
      </c>
      <c r="E11" s="10">
        <v>23.65</v>
      </c>
      <c r="F11" s="11"/>
      <c r="G11" s="10">
        <v>3</v>
      </c>
      <c r="H11" s="10"/>
      <c r="I11" s="11"/>
      <c r="J11" s="10"/>
      <c r="K11" s="10"/>
      <c r="L11" s="21">
        <f>D11+E11-SUM(F11:K11)</f>
        <v>36.65</v>
      </c>
      <c r="M11" s="17">
        <f>13+23.65</f>
        <v>36.65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1"/>
        <v>6.8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VLOOKUP($B16,'0210'!$B16:$N35,12,0)</f>
        <v>12</v>
      </c>
      <c r="E16" s="10">
        <v>13.14</v>
      </c>
      <c r="F16" s="11"/>
      <c r="G16" s="10"/>
      <c r="H16" s="10"/>
      <c r="I16" s="10"/>
      <c r="J16" s="10"/>
      <c r="K16" s="10"/>
      <c r="L16" s="14">
        <f t="shared" si="1"/>
        <v>25.14</v>
      </c>
      <c r="M16" s="10">
        <f>12+13.14</f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VLOOKUP($B18,'0210'!$B18:$N37,12,0)</f>
        <v>8.9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7.7</v>
      </c>
      <c r="M18" s="10"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VLOOKUP($B20,'0210'!$B20:$N39,12,0)</f>
        <v>1.5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0.5</v>
      </c>
      <c r="M20" s="12"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VLOOKUP($B21,'0210'!$B21:$N40,12,0)</f>
        <v>10.63</v>
      </c>
      <c r="E21" s="12"/>
      <c r="F21" s="12"/>
      <c r="G21" s="12"/>
      <c r="H21" s="11"/>
      <c r="I21" s="12"/>
      <c r="J21" s="12"/>
      <c r="K21" s="12"/>
      <c r="L21" s="14">
        <f t="shared" si="1"/>
        <v>10.63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72.490000000000009</v>
      </c>
      <c r="F27" s="13">
        <f t="shared" si="2"/>
        <v>6</v>
      </c>
      <c r="G27" s="13">
        <f>SUM(G7:G26)</f>
        <v>8.4</v>
      </c>
      <c r="H27" s="13">
        <f>SUM(H7:H26)</f>
        <v>2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187.67000000000002</v>
      </c>
      <c r="M27" s="13">
        <f t="shared" si="2"/>
        <v>187.67000000000002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DATE(2015,10,3)</f>
        <v>42280</v>
      </c>
      <c r="E4" s="36">
        <f>D4+1</f>
        <v>42281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VLOOKUP($B7,'0310'!$B7:$N26,12,0)</f>
        <v>36</v>
      </c>
      <c r="E7" s="10"/>
      <c r="F7" s="10">
        <v>6</v>
      </c>
      <c r="G7" s="10"/>
      <c r="H7" s="11"/>
      <c r="I7" s="10"/>
      <c r="J7" s="10"/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VLOOKUP($B8,'0310'!$B8:$N27,12,0)</f>
        <v>3</v>
      </c>
      <c r="E8" s="10">
        <v>6.3</v>
      </c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VLOOKUP($B9,'0310'!$B9:$N28,12,0)</f>
        <v>26.95</v>
      </c>
      <c r="E9" s="10"/>
      <c r="F9" s="11"/>
      <c r="G9" s="10"/>
      <c r="H9" s="10"/>
      <c r="I9" s="10"/>
      <c r="J9" s="10"/>
      <c r="K9" s="10"/>
      <c r="L9" s="14">
        <f>D9+E9-SUM(F9:K9)</f>
        <v>26.95</v>
      </c>
      <c r="M9" s="13">
        <f t="shared" ref="M9:M12" si="1">D9</f>
        <v>26.95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VLOOKUP($B10,'0310'!$B10:$N29,12,0)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 t="shared" si="1"/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VLOOKUP($B11,'0310'!$B11:$N30,12,0)</f>
        <v>36.65</v>
      </c>
      <c r="E11" s="10"/>
      <c r="F11" s="11"/>
      <c r="G11" s="10"/>
      <c r="H11" s="10"/>
      <c r="I11" s="11"/>
      <c r="J11" s="10"/>
      <c r="K11" s="10"/>
      <c r="L11" s="21">
        <f>D11+E11-SUM(F11:K11)</f>
        <v>36.65</v>
      </c>
      <c r="M11" s="13">
        <f t="shared" si="1"/>
        <v>36.65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VLOOKUP($B12,'0310'!$B12:$N31,12,0)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10.45</v>
      </c>
      <c r="M12" s="13">
        <f t="shared" si="1"/>
        <v>10.45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VLOOKUP($B14,'0310'!$B14:$N33,12,0)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2"/>
        <v>6.8</v>
      </c>
      <c r="M14" s="13">
        <f t="shared" ref="M14:M26" si="3">D14</f>
        <v>6.8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VLOOKUP($B15,'0310'!$B15:$N34,12,0)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2"/>
        <v>8</v>
      </c>
      <c r="M15" s="13">
        <f t="shared" si="3"/>
        <v>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VLOOKUP($B16,'0310'!$B16:$N35,12,0)</f>
        <v>25.14</v>
      </c>
      <c r="E16" s="10"/>
      <c r="F16" s="11"/>
      <c r="G16" s="10"/>
      <c r="H16" s="10"/>
      <c r="I16" s="10"/>
      <c r="J16" s="10"/>
      <c r="K16" s="10"/>
      <c r="L16" s="14">
        <f t="shared" si="2"/>
        <v>25.14</v>
      </c>
      <c r="M16" s="13">
        <f t="shared" si="3"/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VLOOKUP($B18,'0310'!$B18:$N37,12,0)</f>
        <v>7.7</v>
      </c>
      <c r="E18" s="10"/>
      <c r="F18" s="11"/>
      <c r="G18" s="10"/>
      <c r="H18" s="10"/>
      <c r="I18" s="10"/>
      <c r="J18" s="10"/>
      <c r="K18" s="10"/>
      <c r="L18" s="14">
        <f t="shared" si="2"/>
        <v>7.7</v>
      </c>
      <c r="M18" s="13">
        <f t="shared" si="3"/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VLOOKUP($B20,'0310'!$B20:$N39,12,0)</f>
        <v>0.5</v>
      </c>
      <c r="E20" s="12"/>
      <c r="F20" s="12"/>
      <c r="G20" s="12"/>
      <c r="H20" s="11"/>
      <c r="I20" s="12"/>
      <c r="J20" s="12"/>
      <c r="K20" s="12"/>
      <c r="L20" s="14">
        <f t="shared" si="2"/>
        <v>0.5</v>
      </c>
      <c r="M20" s="13">
        <f t="shared" si="3"/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VLOOKUP($B21,'0310'!$B21:$N40,12,0)</f>
        <v>10.63</v>
      </c>
      <c r="E21" s="12">
        <v>5.7</v>
      </c>
      <c r="F21" s="12"/>
      <c r="G21" s="12"/>
      <c r="H21" s="11"/>
      <c r="I21" s="12"/>
      <c r="J21" s="12"/>
      <c r="K21" s="12"/>
      <c r="L21" s="14">
        <f t="shared" si="2"/>
        <v>16.330000000000002</v>
      </c>
      <c r="M21" s="13">
        <f>D21+5.7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2"/>
        <v>3.3</v>
      </c>
      <c r="M22" s="13">
        <f t="shared" si="3"/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3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3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3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3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12</v>
      </c>
      <c r="F27" s="13">
        <f t="shared" si="4"/>
        <v>6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193.67</v>
      </c>
      <c r="M27" s="13">
        <f t="shared" si="4"/>
        <v>193.67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DATE(2015,10,4)</f>
        <v>42281</v>
      </c>
      <c r="E4" s="36">
        <f>D4+1</f>
        <v>42282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45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VLOOKUP($B7,'0410'!$B7:$N26,12,0)</f>
        <v>30</v>
      </c>
      <c r="E7" s="10">
        <v>30</v>
      </c>
      <c r="F7" s="10">
        <v>8</v>
      </c>
      <c r="G7" s="10">
        <v>8</v>
      </c>
      <c r="H7" s="11">
        <v>2</v>
      </c>
      <c r="I7" s="10"/>
      <c r="J7" s="10"/>
      <c r="K7" s="10"/>
      <c r="L7" s="14">
        <f>D7+E7-SUM(F7:K7)</f>
        <v>42</v>
      </c>
      <c r="M7" s="13">
        <f>12+30</f>
        <v>42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VLOOKUP($B8,'0410'!$B8:$N27,12,0)</f>
        <v>9.3000000000000007</v>
      </c>
      <c r="E8" s="10"/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VLOOKUP($B9,'0410'!$B9:$N28,12,0)</f>
        <v>26.95</v>
      </c>
      <c r="E9" s="10"/>
      <c r="F9" s="11">
        <v>5</v>
      </c>
      <c r="G9" s="10">
        <v>5</v>
      </c>
      <c r="H9" s="10"/>
      <c r="I9" s="10"/>
      <c r="J9" s="10"/>
      <c r="K9" s="10"/>
      <c r="L9" s="14">
        <f>D9+E9-SUM(F9:K9)</f>
        <v>16.95</v>
      </c>
      <c r="M9" s="13">
        <f>15.7+0.9+0.35</f>
        <v>16.95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VLOOKUP($B10,'0410'!$B10:$N29,12,0)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>10.45+2.1</f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VLOOKUP($B11,'0410'!$B11:$N30,12,0)</f>
        <v>36.65</v>
      </c>
      <c r="E11" s="10"/>
      <c r="F11" s="11">
        <v>9</v>
      </c>
      <c r="G11" s="10">
        <v>3.5</v>
      </c>
      <c r="H11" s="10"/>
      <c r="I11" s="11"/>
      <c r="J11" s="10"/>
      <c r="K11" s="10"/>
      <c r="L11" s="21">
        <f>D11+E11-SUM(F11:K11)</f>
        <v>24.15</v>
      </c>
      <c r="M11" s="13">
        <f>23.65+0.5</f>
        <v>24.15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VLOOKUP($B12,'0410'!$B12:$N31,12,0)</f>
        <v>10.45</v>
      </c>
      <c r="E12" s="10"/>
      <c r="F12" s="11">
        <v>4.95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4.9999999999999991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VLOOKUP($B13,'0410'!$B13:$N32,12,0)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VLOOKUP($B14,'0410'!$B14:$N33,12,0)</f>
        <v>6.8</v>
      </c>
      <c r="E14" s="10"/>
      <c r="F14" s="11">
        <v>3</v>
      </c>
      <c r="G14" s="10">
        <v>1.8</v>
      </c>
      <c r="H14" s="10"/>
      <c r="I14" s="11"/>
      <c r="J14" s="10"/>
      <c r="K14" s="10"/>
      <c r="L14" s="14">
        <f t="shared" si="1"/>
        <v>2</v>
      </c>
      <c r="M14" s="13">
        <v>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VLOOKUP($B15,'0410'!$B15:$N34,12,0)</f>
        <v>8</v>
      </c>
      <c r="E15" s="10"/>
      <c r="F15" s="11">
        <v>2.7</v>
      </c>
      <c r="G15" s="10">
        <v>1.3</v>
      </c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VLOOKUP($B16,'0410'!$B16:$N35,12,0)</f>
        <v>25.14</v>
      </c>
      <c r="E16" s="10">
        <v>13.7</v>
      </c>
      <c r="F16" s="11">
        <v>3</v>
      </c>
      <c r="G16" s="10">
        <v>6</v>
      </c>
      <c r="H16" s="10"/>
      <c r="I16" s="10"/>
      <c r="J16" s="10"/>
      <c r="K16" s="10"/>
      <c r="L16" s="14">
        <f t="shared" si="1"/>
        <v>29.840000000000003</v>
      </c>
      <c r="M16" s="13">
        <f>13+3.14+E16</f>
        <v>29.84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VLOOKUP($B18,'0410'!$B18:$N37,12,0)</f>
        <v>7.7</v>
      </c>
      <c r="E18" s="10"/>
      <c r="F18" s="11">
        <v>2</v>
      </c>
      <c r="G18" s="10">
        <v>0.9</v>
      </c>
      <c r="H18" s="10"/>
      <c r="I18" s="10"/>
      <c r="J18" s="10"/>
      <c r="K18" s="10"/>
      <c r="L18" s="14">
        <f t="shared" si="1"/>
        <v>4.8000000000000007</v>
      </c>
      <c r="M18" s="13">
        <v>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VLOOKUP($B20,'0410'!$B20:$N39,12,0)</f>
        <v>0.5</v>
      </c>
      <c r="E20" s="12">
        <v>12.8</v>
      </c>
      <c r="F20" s="12"/>
      <c r="G20" s="12"/>
      <c r="H20" s="11"/>
      <c r="I20" s="12"/>
      <c r="J20" s="12"/>
      <c r="K20" s="12"/>
      <c r="L20" s="14">
        <f t="shared" si="1"/>
        <v>13.3</v>
      </c>
      <c r="M20" s="13">
        <f>0.5+E20</f>
        <v>13.3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VLOOKUP($B21,'0410'!$B21:$N40,12,0)</f>
        <v>16.330000000000002</v>
      </c>
      <c r="E21" s="12"/>
      <c r="F21" s="12"/>
      <c r="G21" s="12"/>
      <c r="H21" s="11"/>
      <c r="I21" s="12"/>
      <c r="J21" s="12"/>
      <c r="K21" s="12"/>
      <c r="L21" s="14">
        <f t="shared" si="1"/>
        <v>16.330000000000002</v>
      </c>
      <c r="M21" s="13">
        <f>10.63+5.7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VLOOKUP($B22,'0410'!$B22:$N41,12,0)</f>
        <v>3.3</v>
      </c>
      <c r="E22" s="10">
        <v>3.05</v>
      </c>
      <c r="F22" s="10"/>
      <c r="G22" s="12">
        <v>0.3</v>
      </c>
      <c r="H22" s="11"/>
      <c r="I22" s="12"/>
      <c r="J22" s="12"/>
      <c r="K22" s="12"/>
      <c r="L22" s="14">
        <f t="shared" si="1"/>
        <v>6.05</v>
      </c>
      <c r="M22" s="13">
        <f>3+E22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61.55</v>
      </c>
      <c r="F27" s="13">
        <f t="shared" si="3"/>
        <v>39.65</v>
      </c>
      <c r="G27" s="13">
        <f>SUM(G7:G26)</f>
        <v>27.3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186.27000000000004</v>
      </c>
      <c r="M27" s="13">
        <f t="shared" si="3"/>
        <v>186.27000000000004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DATE(2015,10,5)</f>
        <v>42282</v>
      </c>
      <c r="E4" s="36">
        <f>D4+1</f>
        <v>42283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VLOOKUP($B7,'0510'!$B7:$N26,12,0)</f>
        <v>42</v>
      </c>
      <c r="E7" s="10">
        <v>30</v>
      </c>
      <c r="F7" s="10">
        <v>10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44</v>
      </c>
      <c r="M7" s="13">
        <f>2+42</f>
        <v>44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VLOOKUP($B8,'0510'!$B8:$N27,12,0)</f>
        <v>9.3000000000000007</v>
      </c>
      <c r="E8" s="10"/>
      <c r="F8" s="11"/>
      <c r="G8" s="10">
        <v>1.5</v>
      </c>
      <c r="H8" s="10"/>
      <c r="I8" s="10"/>
      <c r="J8" s="10"/>
      <c r="K8" s="10"/>
      <c r="L8" s="14">
        <f>D8+E8-SUM(F8:K8)</f>
        <v>7.8000000000000007</v>
      </c>
      <c r="M8" s="13">
        <v>7.8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VLOOKUP($B9,'0510'!$B9:$N28,12,0)</f>
        <v>16.95</v>
      </c>
      <c r="E9" s="10">
        <v>16.350000000000001</v>
      </c>
      <c r="F9" s="11"/>
      <c r="G9" s="10">
        <v>3.4</v>
      </c>
      <c r="H9" s="10"/>
      <c r="I9" s="10"/>
      <c r="J9" s="10"/>
      <c r="K9" s="10"/>
      <c r="L9" s="14">
        <f>D9+E9-SUM(F9:K9)</f>
        <v>29.9</v>
      </c>
      <c r="M9" s="13">
        <f>10.7+2.85+16.35</f>
        <v>29.9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VLOOKUP($B10,'0510'!$B10:$N29,12,0)</f>
        <v>12.549999999999999</v>
      </c>
      <c r="F10" s="11"/>
      <c r="G10" s="10">
        <v>1.8</v>
      </c>
      <c r="H10" s="10"/>
      <c r="I10" s="11"/>
      <c r="J10" s="10"/>
      <c r="K10" s="10"/>
      <c r="L10" s="14">
        <f>D10+E10-SUM(F10:K10)</f>
        <v>10.749999999999998</v>
      </c>
      <c r="M10" s="13">
        <v>10.75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VLOOKUP($B11,'0510'!$B11:$N30,12,0)</f>
        <v>24.15</v>
      </c>
      <c r="E11" s="10"/>
      <c r="F11" s="11"/>
      <c r="G11" s="10">
        <v>5</v>
      </c>
      <c r="H11" s="10">
        <v>3</v>
      </c>
      <c r="I11" s="11"/>
      <c r="J11" s="10"/>
      <c r="K11" s="10"/>
      <c r="L11" s="21">
        <f>D11+E11-SUM(F11:K11)</f>
        <v>16.149999999999999</v>
      </c>
      <c r="M11" s="13">
        <v>16.149999999999999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VLOOKUP($B12,'0510'!$B12:$N31,12,0)</f>
        <v>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5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VLOOKUP($B14,'0510'!$B14:$N33,12,0)</f>
        <v>2</v>
      </c>
      <c r="E14" s="10">
        <v>8.5</v>
      </c>
      <c r="F14" s="11"/>
      <c r="G14" s="10"/>
      <c r="H14" s="10"/>
      <c r="I14" s="11"/>
      <c r="J14" s="10"/>
      <c r="K14" s="10"/>
      <c r="L14" s="14">
        <f t="shared" si="1"/>
        <v>10.5</v>
      </c>
      <c r="M14" s="13">
        <f>2+E14</f>
        <v>10.5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VLOOKUP($B15,'0510'!$B15:$N34,12,0)</f>
        <v>4</v>
      </c>
      <c r="E15" s="10"/>
      <c r="F15" s="11"/>
      <c r="G15" s="10"/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VLOOKUP($B16,'0510'!$B16:$N35,12,0)</f>
        <v>29.84</v>
      </c>
      <c r="E16" s="10">
        <v>14.3</v>
      </c>
      <c r="F16" s="11"/>
      <c r="G16" s="10"/>
      <c r="H16" s="10">
        <v>1</v>
      </c>
      <c r="I16" s="10"/>
      <c r="J16" s="10"/>
      <c r="K16" s="10"/>
      <c r="L16" s="14">
        <f t="shared" si="1"/>
        <v>43.14</v>
      </c>
      <c r="M16" s="13">
        <f>28.84+E16</f>
        <v>43.14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VLOOKUP($B18,'0510'!$B18:$N37,12,0)</f>
        <v>4.8</v>
      </c>
      <c r="E18" s="10">
        <v>5.4</v>
      </c>
      <c r="F18" s="11"/>
      <c r="G18" s="10"/>
      <c r="H18" s="10"/>
      <c r="I18" s="10"/>
      <c r="J18" s="10"/>
      <c r="K18" s="10"/>
      <c r="L18" s="14">
        <f t="shared" si="1"/>
        <v>10.199999999999999</v>
      </c>
      <c r="M18" s="13">
        <f>4.8+E18</f>
        <v>10.199999999999999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VLOOKUP($B20,'0510'!$B20:$N39,12,0)</f>
        <v>13.3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12.3</v>
      </c>
      <c r="M20" s="13">
        <v>12.3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VLOOKUP($B21,'0510'!$B21:$N40,12,0)</f>
        <v>16.330000000000002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14.230000000000002</v>
      </c>
      <c r="M21" s="13">
        <v>14.23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74.550000000000011</v>
      </c>
      <c r="F27" s="13">
        <f t="shared" si="3"/>
        <v>10</v>
      </c>
      <c r="G27" s="13">
        <f>SUM(G7:G26)</f>
        <v>24.8</v>
      </c>
      <c r="H27" s="13">
        <f>SUM(H7:H26)</f>
        <v>10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214.02</v>
      </c>
      <c r="M27" s="13">
        <f t="shared" si="3"/>
        <v>214.02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DATE(2015,4,18)</f>
        <v>42112</v>
      </c>
      <c r="E4" s="36">
        <f>D4+1</f>
        <v>42113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VLOOKUP($B7,'1804'!$B7:$N26,12,0)</f>
        <v>42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VLOOKUP($B9,'1804'!$B9:$N28,12,0)</f>
        <v>13.1</v>
      </c>
      <c r="E9" s="10"/>
      <c r="F9" s="11"/>
      <c r="G9" s="10"/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VLOOKUP($B10,'1804'!$B10:$N29,12,0)</f>
        <v>10.199999999999999</v>
      </c>
      <c r="F10" s="11">
        <v>0.3</v>
      </c>
      <c r="G10" s="10"/>
      <c r="H10" s="10"/>
      <c r="I10" s="11"/>
      <c r="J10" s="10"/>
      <c r="K10" s="10"/>
      <c r="L10" s="14">
        <f t="shared" si="1"/>
        <v>9.8999999999999986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VLOOKUP($B11,'1804'!$B11:$N30,12,0)</f>
        <v>6</v>
      </c>
      <c r="E11" s="10">
        <v>23.5</v>
      </c>
      <c r="F11" s="11"/>
      <c r="G11" s="10"/>
      <c r="H11" s="10"/>
      <c r="I11" s="11"/>
      <c r="J11" s="10"/>
      <c r="K11" s="10"/>
      <c r="L11" s="14">
        <f t="shared" si="1"/>
        <v>29.5</v>
      </c>
      <c r="M11" s="10">
        <v>29.5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VLOOKUP($B12,'1804'!$B12:$N31,12,0)</f>
        <v>7.35</v>
      </c>
      <c r="E12" s="10"/>
      <c r="F12" s="11"/>
      <c r="G12" s="10"/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VLOOKUP($B13,'1804'!$B13:$N32,12,0)</f>
        <v>3.5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VLOOKUP($B15,'1804'!$B15:$N34,12,0)</f>
        <v>6.7</v>
      </c>
      <c r="E15" s="10">
        <v>10.199999999999999</v>
      </c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VLOOKUP($B20,'1804'!$B20:$N39,12,0)</f>
        <v>6</v>
      </c>
      <c r="E20" s="12"/>
      <c r="F20" s="12"/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148.74999999999997</v>
      </c>
      <c r="E27" s="13">
        <f t="shared" si="2"/>
        <v>53.7</v>
      </c>
      <c r="F27" s="13">
        <f t="shared" si="2"/>
        <v>4.8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197.64999999999998</v>
      </c>
      <c r="M27" s="13">
        <f t="shared" si="2"/>
        <v>197.65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5" priority="1" stopIfTrue="1" operator="lessThan">
      <formula>0</formula>
    </cfRule>
  </conditionalFormatting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VLOOKUP($B7,'0610'!$B7:$N26,12,0)</f>
        <v>44</v>
      </c>
      <c r="E7" s="10">
        <v>60</v>
      </c>
      <c r="F7" s="10">
        <v>6</v>
      </c>
      <c r="G7" s="10">
        <v>16</v>
      </c>
      <c r="H7" s="11">
        <v>8</v>
      </c>
      <c r="I7" s="10">
        <v>12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VLOOKUP($B8,'0610'!$B8:$N27,12,0)</f>
        <v>7.8</v>
      </c>
      <c r="E8" s="10"/>
      <c r="F8" s="11"/>
      <c r="G8" s="10"/>
      <c r="H8" s="10">
        <v>0.3</v>
      </c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VLOOKUP($B9,'0610'!$B9:$N28,12,0)</f>
        <v>29.9</v>
      </c>
      <c r="E9" s="10"/>
      <c r="F9" s="11"/>
      <c r="G9" s="10">
        <v>1</v>
      </c>
      <c r="H9" s="10"/>
      <c r="I9" s="10">
        <v>1.35</v>
      </c>
      <c r="J9" s="10"/>
      <c r="K9" s="10"/>
      <c r="L9" s="14">
        <f>D9+E9-SUM(F9:K9)</f>
        <v>27.549999999999997</v>
      </c>
      <c r="M9" s="13">
        <f>16.35+11.2</f>
        <v>27.55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VLOOKUP($B10,'0610'!$B10:$N29,12,0)</f>
        <v>10.75</v>
      </c>
      <c r="E10">
        <v>4.93</v>
      </c>
      <c r="F10" s="11"/>
      <c r="G10" s="10"/>
      <c r="H10" s="10">
        <v>0.55000000000000004</v>
      </c>
      <c r="I10" s="11"/>
      <c r="J10" s="10"/>
      <c r="K10" s="10"/>
      <c r="L10" s="14">
        <f>D10+E10-SUM(F10:K10)</f>
        <v>15.129999999999999</v>
      </c>
      <c r="M10" s="13">
        <f>10.2+4.93</f>
        <v>15.129999999999999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VLOOKUP($B11,'0610'!$B11:$N30,12,0)</f>
        <v>16.149999999999999</v>
      </c>
      <c r="E11" s="10">
        <v>23.8</v>
      </c>
      <c r="F11" s="11"/>
      <c r="G11" s="10">
        <v>3</v>
      </c>
      <c r="H11" s="10">
        <v>2.15</v>
      </c>
      <c r="I11" s="11">
        <v>2</v>
      </c>
      <c r="J11" s="10"/>
      <c r="K11" s="10"/>
      <c r="L11" s="21">
        <f>D11+E11-SUM(F11:K11)</f>
        <v>32.800000000000004</v>
      </c>
      <c r="M11" s="13">
        <f>9+23.8</f>
        <v>32.799999999999997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VLOOKUP($B12,'0610'!$B12:$N31,12,0)</f>
        <v>5</v>
      </c>
      <c r="E12" s="10">
        <v>13.1</v>
      </c>
      <c r="F12" s="11"/>
      <c r="G12" s="10">
        <v>0.5</v>
      </c>
      <c r="H12" s="10"/>
      <c r="I12" s="11">
        <v>0.5</v>
      </c>
      <c r="J12" s="10"/>
      <c r="K12" s="10"/>
      <c r="L12" s="14">
        <f t="shared" ref="L12:L22" si="1">D12+E12-SUM(F12:K12)</f>
        <v>17.100000000000001</v>
      </c>
      <c r="M12" s="13">
        <f>4+13.1</f>
        <v>17.100000000000001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VLOOKUP($B14,'0610'!$B14:$N33,12,0)</f>
        <v>10.5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10</v>
      </c>
      <c r="M14" s="13">
        <v>10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VLOOKUP($B15,'0610'!$B15:$N34,12,0)</f>
        <v>4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3.5</v>
      </c>
      <c r="M15" s="13">
        <v>3.5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VLOOKUP($B16,'0610'!$B16:$N35,12,0)</f>
        <v>43.14</v>
      </c>
      <c r="E16" s="10"/>
      <c r="F16" s="11"/>
      <c r="G16" s="10">
        <v>35.14</v>
      </c>
      <c r="H16" s="10"/>
      <c r="I16" s="10"/>
      <c r="J16" s="10"/>
      <c r="K16" s="10"/>
      <c r="L16" s="14">
        <f t="shared" si="1"/>
        <v>8</v>
      </c>
      <c r="M16" s="13">
        <v>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VLOOKUP($B18,'0610'!$B18:$N37,12,0)</f>
        <v>10.199999999999999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VLOOKUP($B20,'0610'!$B20:$N39,12,0)</f>
        <v>12.3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11.3</v>
      </c>
      <c r="M20" s="13">
        <v>11.3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VLOOKUP($B21,'0610'!$B21:$N40,12,0)</f>
        <v>14.23</v>
      </c>
      <c r="E21" s="12"/>
      <c r="F21" s="12"/>
      <c r="G21" s="12"/>
      <c r="H21" s="11">
        <v>0.9</v>
      </c>
      <c r="I21" s="12">
        <v>1.93</v>
      </c>
      <c r="J21" s="12"/>
      <c r="K21" s="12"/>
      <c r="L21" s="14">
        <f t="shared" si="1"/>
        <v>11.4</v>
      </c>
      <c r="M21" s="13">
        <f>8.7+2.7</f>
        <v>11.399999999999999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f>3+3.05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101.83</v>
      </c>
      <c r="F27" s="13">
        <f t="shared" si="3"/>
        <v>6</v>
      </c>
      <c r="G27" s="13">
        <f>SUM(G7:G26)</f>
        <v>57.54</v>
      </c>
      <c r="H27" s="13">
        <f>SUM(H7:H26)</f>
        <v>12.900000000000002</v>
      </c>
      <c r="I27" s="13">
        <f t="shared" si="3"/>
        <v>18.98</v>
      </c>
      <c r="J27" s="13">
        <f t="shared" si="3"/>
        <v>0</v>
      </c>
      <c r="K27" s="13">
        <f t="shared" si="3"/>
        <v>0</v>
      </c>
      <c r="L27" s="13">
        <f t="shared" si="3"/>
        <v>220.43</v>
      </c>
      <c r="M27" s="13">
        <f t="shared" si="3"/>
        <v>220.43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34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VLOOKUP($B7,'0710'!$B7:$N26,12,0)</f>
        <v>62</v>
      </c>
      <c r="E7" s="10">
        <v>40</v>
      </c>
      <c r="F7" s="10">
        <v>8</v>
      </c>
      <c r="G7" s="10">
        <v>24</v>
      </c>
      <c r="H7" s="11">
        <v>30</v>
      </c>
      <c r="I7" s="10"/>
      <c r="J7" s="10"/>
      <c r="K7" s="10"/>
      <c r="L7" s="14">
        <f>D7+E7-SUM(F7:K7)</f>
        <v>40</v>
      </c>
      <c r="M7" s="13">
        <v>40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VLOOKUP($B8,'0710'!$B8:$N27,12,0)</f>
        <v>7.5</v>
      </c>
      <c r="E8" s="10"/>
      <c r="F8" s="11"/>
      <c r="G8" s="10"/>
      <c r="H8" s="10"/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VLOOKUP($B9,'0710'!$B9:$N28,12,0)</f>
        <v>27.55</v>
      </c>
      <c r="E9" s="10"/>
      <c r="F9" s="11"/>
      <c r="G9" s="10">
        <v>9</v>
      </c>
      <c r="H9" s="10">
        <v>4</v>
      </c>
      <c r="I9" s="10">
        <v>2</v>
      </c>
      <c r="J9" s="10"/>
      <c r="K9" s="10"/>
      <c r="L9" s="14">
        <f>D9+E9-SUM(F9:K9)</f>
        <v>12.55</v>
      </c>
      <c r="M9" s="13">
        <f>12.55</f>
        <v>12.55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VLOOKUP($B10,'0710'!$B10:$N29,12,0)</f>
        <v>15.129999999999999</v>
      </c>
      <c r="F10" s="11"/>
      <c r="G10" s="10">
        <v>2.1</v>
      </c>
      <c r="H10" s="10"/>
      <c r="I10" s="11"/>
      <c r="J10" s="10"/>
      <c r="K10" s="10"/>
      <c r="L10" s="14">
        <f>D10+E10-SUM(F10:K10)</f>
        <v>13.03</v>
      </c>
      <c r="M10" s="13">
        <v>13.03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VLOOKUP($B11,'0710'!$B11:$N30,12,0)</f>
        <v>32.799999999999997</v>
      </c>
      <c r="E11" s="10">
        <v>23.9</v>
      </c>
      <c r="F11" s="11"/>
      <c r="G11" s="10">
        <v>3</v>
      </c>
      <c r="H11" s="10">
        <v>15</v>
      </c>
      <c r="I11" s="11"/>
      <c r="J11" s="10"/>
      <c r="K11" s="10"/>
      <c r="L11" s="21">
        <f>D11+E11-SUM(F11:K11)</f>
        <v>38.699999999999996</v>
      </c>
      <c r="M11" s="13">
        <f>14.8+23.9</f>
        <v>38.700000000000003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VLOOKUP($B12,'0710'!$B12:$N31,12,0)</f>
        <v>17.100000000000001</v>
      </c>
      <c r="E12" s="10"/>
      <c r="F12" s="11"/>
      <c r="G12" s="10">
        <v>3.1</v>
      </c>
      <c r="H12" s="10">
        <v>4</v>
      </c>
      <c r="I12" s="11">
        <v>2</v>
      </c>
      <c r="J12" s="10"/>
      <c r="K12" s="10"/>
      <c r="L12" s="14">
        <f t="shared" ref="L12:L22" si="1">D12+E12-SUM(F12:K12)</f>
        <v>8.0000000000000018</v>
      </c>
      <c r="M12" s="13">
        <v>8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VLOOKUP($B14,'0710'!$B14:$N33,12,0)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VLOOKUP($B15,'0710'!$B15:$N34,12,0)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3">
        <f>1.5+5</f>
        <v>6.5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VLOOKUP($B16,'0710'!$B16:$N35,12,0)</f>
        <v>8</v>
      </c>
      <c r="E16" s="10">
        <v>14.3</v>
      </c>
      <c r="F16" s="11"/>
      <c r="G16" s="10">
        <v>4</v>
      </c>
      <c r="H16" s="10"/>
      <c r="I16" s="10"/>
      <c r="J16" s="10"/>
      <c r="K16" s="10"/>
      <c r="L16" s="14">
        <f t="shared" si="1"/>
        <v>18.3</v>
      </c>
      <c r="M16" s="13">
        <f>4+14.3</f>
        <v>18.3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VLOOKUP($B18,'0710'!$B18:$N37,12,0)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VLOOKUP($B20,'0710'!$B20:$N39,12,0)</f>
        <v>11.3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6.3000000000000007</v>
      </c>
      <c r="M20" s="13">
        <v>6.3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VLOOKUP($B21,'0710'!$B21:$N40,12,0)</f>
        <v>11.399999999999999</v>
      </c>
      <c r="E21" s="12"/>
      <c r="F21" s="12"/>
      <c r="G21" s="12">
        <v>3</v>
      </c>
      <c r="H21" s="11">
        <v>3.9</v>
      </c>
      <c r="I21" s="12"/>
      <c r="J21" s="12"/>
      <c r="K21" s="12"/>
      <c r="L21" s="14">
        <f t="shared" si="1"/>
        <v>4.4999999999999982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VLOOKUP($B22,'0710'!$B22:$N41,12,0)</f>
        <v>6.05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83.2</v>
      </c>
      <c r="F27" s="13">
        <f t="shared" si="3"/>
        <v>8</v>
      </c>
      <c r="G27" s="13">
        <f>SUM(G7:G26)</f>
        <v>56.2</v>
      </c>
      <c r="H27" s="13">
        <f>SUM(H7:H26)</f>
        <v>61.9</v>
      </c>
      <c r="I27" s="13">
        <f t="shared" si="3"/>
        <v>4</v>
      </c>
      <c r="J27" s="13">
        <f t="shared" si="3"/>
        <v>0</v>
      </c>
      <c r="K27" s="13">
        <f t="shared" si="3"/>
        <v>0</v>
      </c>
      <c r="L27" s="13">
        <f t="shared" si="3"/>
        <v>173.53000000000003</v>
      </c>
      <c r="M27" s="13">
        <f t="shared" si="3"/>
        <v>173.53000000000003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DATE(2015,10,8)</f>
        <v>42285</v>
      </c>
      <c r="E4" s="36">
        <f>D4+1</f>
        <v>42286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VLOOKUP($B7,'0810'!$B7:$N26,12,0)</f>
        <v>40</v>
      </c>
      <c r="E7" s="10">
        <v>20</v>
      </c>
      <c r="F7" s="10">
        <v>4</v>
      </c>
      <c r="G7" s="10">
        <v>26</v>
      </c>
      <c r="H7" s="11"/>
      <c r="I7" s="10"/>
      <c r="J7" s="10"/>
      <c r="K7" s="10"/>
      <c r="L7" s="14">
        <f>D7+E7-SUM(F7:K7)</f>
        <v>30</v>
      </c>
      <c r="M7" s="13">
        <f>10+20</f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VLOOKUP($B8,'0810'!$B8:$N27,12,0)</f>
        <v>7.5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VLOOKUP($B9,'0810'!$B9:$N28,12,0)</f>
        <v>12.55</v>
      </c>
      <c r="E9" s="10">
        <v>16.3</v>
      </c>
      <c r="F9" s="11"/>
      <c r="G9" s="10">
        <v>7.85</v>
      </c>
      <c r="H9" s="10"/>
      <c r="I9" s="10"/>
      <c r="J9" s="10"/>
      <c r="K9" s="10"/>
      <c r="L9" s="14">
        <f>D9+E9-SUM(F9:K9)</f>
        <v>21</v>
      </c>
      <c r="M9" s="13">
        <f>4.7+16.3</f>
        <v>21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VLOOKUP($B10,'0810'!$B10:$N29,12,0)</f>
        <v>13.03</v>
      </c>
      <c r="F10" s="11"/>
      <c r="G10" s="10">
        <v>2.1</v>
      </c>
      <c r="H10" s="10">
        <v>1.2</v>
      </c>
      <c r="I10" s="11"/>
      <c r="J10" s="10"/>
      <c r="K10" s="10"/>
      <c r="L10" s="14">
        <f>D10+E10-SUM(F10:K10)</f>
        <v>9.73</v>
      </c>
      <c r="M10" s="13">
        <f>4.8+4.93</f>
        <v>9.73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VLOOKUP($B11,'0810'!$B11:$N30,12,0)</f>
        <v>38.700000000000003</v>
      </c>
      <c r="E11" s="10"/>
      <c r="F11" s="11">
        <v>3.8</v>
      </c>
      <c r="G11" s="10">
        <v>6</v>
      </c>
      <c r="H11" s="10">
        <v>5</v>
      </c>
      <c r="I11" s="11"/>
      <c r="J11" s="10"/>
      <c r="K11" s="10"/>
      <c r="L11" s="21">
        <f>D11+E11-SUM(F11:K11)</f>
        <v>23.900000000000002</v>
      </c>
      <c r="M11" s="13">
        <v>23.9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VLOOKUP($B12,'0810'!$B12:$N31,12,0)</f>
        <v>8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VLOOKUP($B13,'0810'!$B13:$N32,12,0)</f>
        <v>0</v>
      </c>
      <c r="E13" s="10">
        <v>3.78</v>
      </c>
      <c r="F13" s="11"/>
      <c r="G13" s="10"/>
      <c r="H13" s="10"/>
      <c r="I13" s="11"/>
      <c r="J13" s="10"/>
      <c r="K13" s="10"/>
      <c r="L13" s="14">
        <f t="shared" si="1"/>
        <v>3.78</v>
      </c>
      <c r="M13" s="13">
        <v>3.78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VLOOKUP($B14,'0810'!$B14:$N33,12,0)</f>
        <v>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</v>
      </c>
      <c r="M14" s="13">
        <v>6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VLOOKUP($B15,'0810'!$B15:$N34,12,0)</f>
        <v>6.5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2.5</v>
      </c>
      <c r="M15" s="13">
        <v>2.5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VLOOKUP($B16,'0810'!$B16:$N35,12,0)</f>
        <v>18.3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14.3</v>
      </c>
      <c r="M16" s="13">
        <v>14.3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VLOOKUP($B18,'0810'!$B18:$N37,12,0)</f>
        <v>8.1</v>
      </c>
      <c r="E18" s="10"/>
      <c r="F18" s="11"/>
      <c r="G18" s="10">
        <v>2.1</v>
      </c>
      <c r="H18" s="10">
        <v>1.8</v>
      </c>
      <c r="I18" s="10"/>
      <c r="J18" s="10"/>
      <c r="K18" s="10"/>
      <c r="L18" s="14">
        <f t="shared" si="1"/>
        <v>4.1999999999999993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VLOOKUP($B20,'0810'!$B20:$N39,12,0)</f>
        <v>6.3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4.3</v>
      </c>
      <c r="M20" s="13">
        <v>4.3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VLOOKUP($B21,'0810'!$B21:$N40,12,0)</f>
        <v>4.5</v>
      </c>
      <c r="E21" s="12">
        <f>9+2.23</f>
        <v>11.23</v>
      </c>
      <c r="F21" s="12"/>
      <c r="G21" s="12">
        <v>1.5</v>
      </c>
      <c r="H21" s="11">
        <v>2.1</v>
      </c>
      <c r="I21" s="12"/>
      <c r="J21" s="12"/>
      <c r="K21" s="12"/>
      <c r="L21" s="14">
        <f t="shared" si="1"/>
        <v>12.13</v>
      </c>
      <c r="M21" s="13">
        <f>0.9+11.23</f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51.31</v>
      </c>
      <c r="F27" s="13">
        <f t="shared" si="3"/>
        <v>7.8</v>
      </c>
      <c r="G27" s="13">
        <f>SUM(G7:G26)</f>
        <v>58.45</v>
      </c>
      <c r="H27" s="13">
        <f>SUM(H7:H26)</f>
        <v>10.1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148.49</v>
      </c>
      <c r="M27" s="13">
        <f t="shared" si="3"/>
        <v>148.49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DATE(2015,10,9)</f>
        <v>42286</v>
      </c>
      <c r="E4" s="36">
        <f>D4+1</f>
        <v>42287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32</v>
      </c>
      <c r="J6" s="5" t="s">
        <v>61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VLOOKUP($B7,'0910'!$B7:$N26,12,0)</f>
        <v>30</v>
      </c>
      <c r="E7" s="10">
        <v>20</v>
      </c>
      <c r="F7" s="10">
        <v>4</v>
      </c>
      <c r="G7" s="10">
        <v>10</v>
      </c>
      <c r="H7" s="11"/>
      <c r="I7" s="10"/>
      <c r="J7" s="10">
        <v>6</v>
      </c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VLOOKUP($B8,'0910'!$B8:$N27,12,0)</f>
        <v>6.6</v>
      </c>
      <c r="E8" s="10"/>
      <c r="F8" s="11"/>
      <c r="G8" s="10">
        <v>0.6</v>
      </c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VLOOKUP($B9,'0910'!$B9:$N28,12,0)</f>
        <v>21</v>
      </c>
      <c r="E9" s="10"/>
      <c r="F9" s="11"/>
      <c r="G9" s="10">
        <v>2.2000000000000002</v>
      </c>
      <c r="H9" s="10">
        <v>4.8</v>
      </c>
      <c r="I9" s="10">
        <v>2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VLOOKUP($B10,'0910'!$B10:$N29,12,0)</f>
        <v>9.73</v>
      </c>
      <c r="F10" s="11"/>
      <c r="G10" s="10">
        <v>0.6</v>
      </c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VLOOKUP($B11,'0910'!$B11:$N30,12,0)</f>
        <v>23.9</v>
      </c>
      <c r="E11" s="10"/>
      <c r="F11" s="11"/>
      <c r="G11" s="10">
        <v>1</v>
      </c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VLOOKUP($B12,'0910'!$B12:$N31,12,0)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VLOOKUP($B13,'0910'!$B13:$N32,12,0)</f>
        <v>3.78</v>
      </c>
      <c r="E13" s="10"/>
      <c r="F13" s="11">
        <v>3.78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VLOOKUP($B14,'0910'!$B14:$N33,12,0)</f>
        <v>6</v>
      </c>
      <c r="E14" s="10">
        <v>3.78</v>
      </c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6+3.78</f>
        <v>9.7799999999999994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VLOOKUP($B15,'0910'!$B15:$N34,12,0)</f>
        <v>2.5</v>
      </c>
      <c r="E15" s="10">
        <f>5+5.18</f>
        <v>10.18</v>
      </c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f>2.5+10.18</f>
        <v>12.68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VLOOKUP($B16,'0910'!$B16:$N35,12,0)</f>
        <v>14.3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28.3</v>
      </c>
      <c r="M16" s="13">
        <f>14.3+14</f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VLOOKUP($B20,'0910'!$B20:$N39,12,0)</f>
        <v>4.3</v>
      </c>
      <c r="E20" s="12">
        <v>12.7</v>
      </c>
      <c r="F20" s="12"/>
      <c r="G20" s="12">
        <v>0.5</v>
      </c>
      <c r="H20" s="11"/>
      <c r="I20" s="12"/>
      <c r="J20" s="12"/>
      <c r="K20" s="12"/>
      <c r="L20" s="14">
        <f t="shared" si="1"/>
        <v>16.5</v>
      </c>
      <c r="M20" s="13">
        <f>3.8+12.7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60.66</v>
      </c>
      <c r="F27" s="13">
        <f t="shared" si="3"/>
        <v>7.7799999999999994</v>
      </c>
      <c r="G27" s="13">
        <f>SUM(G7:G26)</f>
        <v>14.9</v>
      </c>
      <c r="H27" s="13">
        <f>SUM(H7:H26)</f>
        <v>4.8</v>
      </c>
      <c r="I27" s="13">
        <f t="shared" si="3"/>
        <v>2</v>
      </c>
      <c r="J27" s="13">
        <f t="shared" si="3"/>
        <v>6</v>
      </c>
      <c r="K27" s="13">
        <f t="shared" si="3"/>
        <v>0</v>
      </c>
      <c r="L27" s="13">
        <f t="shared" si="3"/>
        <v>173.67000000000002</v>
      </c>
      <c r="M27" s="13">
        <f t="shared" si="3"/>
        <v>173.67000000000002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DATE(2015,10,10)</f>
        <v>42287</v>
      </c>
      <c r="E4" s="36">
        <f>D4+1</f>
        <v>42288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VLOOKUP($B7,'1010'!$B7:$N26,12,0)</f>
        <v>30</v>
      </c>
      <c r="E7" s="10"/>
      <c r="F7" s="10">
        <v>8</v>
      </c>
      <c r="G7" s="10">
        <v>2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VLOOKUP($B9,'1010'!$B9:$N28,12,0)</f>
        <v>12</v>
      </c>
      <c r="E9" s="10"/>
      <c r="F9" s="11"/>
      <c r="G9" s="10"/>
      <c r="H9" s="10"/>
      <c r="I9" s="10"/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VLOOKUP($B11,'1010'!$B11:$N30,12,0)</f>
        <v>22.9</v>
      </c>
      <c r="E11" s="10"/>
      <c r="F11" s="11"/>
      <c r="G11" s="10"/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VLOOKUP($B14,'1010'!$B14:$N33,12,0)</f>
        <v>9.7799999999999994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D14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VLOOKUP($B15,'1010'!$B15:$N34,12,0)</f>
        <v>12.68</v>
      </c>
      <c r="E15" s="10"/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v>12.68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VLOOKUP($B16,'1010'!$B16:$N35,12,0)</f>
        <v>28.3</v>
      </c>
      <c r="E16" s="10"/>
      <c r="F16" s="11"/>
      <c r="G16" s="10"/>
      <c r="H16" s="10"/>
      <c r="I16" s="10"/>
      <c r="J16" s="10"/>
      <c r="K16" s="10"/>
      <c r="L16" s="14">
        <f t="shared" si="1"/>
        <v>28.3</v>
      </c>
      <c r="M16" s="13"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8</v>
      </c>
      <c r="G27" s="13">
        <f>SUM(G7:G26)</f>
        <v>2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163.67000000000002</v>
      </c>
      <c r="M27" s="13">
        <f t="shared" si="3"/>
        <v>163.67000000000002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DATE(2015,10,11)</f>
        <v>42288</v>
      </c>
      <c r="E4" s="36">
        <f>D4+1</f>
        <v>42289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VLOOKUP($B7,'1110'!$B7:$N26,12,0)</f>
        <v>20</v>
      </c>
      <c r="E7" s="10">
        <v>30</v>
      </c>
      <c r="F7" s="10">
        <v>8</v>
      </c>
      <c r="G7" s="10">
        <v>10</v>
      </c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VLOOKUP($B9,'1110'!$B9:$N28,12,0)</f>
        <v>12</v>
      </c>
      <c r="E9" s="10">
        <v>16.55</v>
      </c>
      <c r="F9" s="11"/>
      <c r="G9" s="10">
        <v>2</v>
      </c>
      <c r="H9" s="10"/>
      <c r="I9" s="10"/>
      <c r="J9" s="10"/>
      <c r="K9" s="10"/>
      <c r="L9" s="14">
        <f>D9+E9-SUM(F9:K9)</f>
        <v>26.55</v>
      </c>
      <c r="M9" s="13">
        <f>10+16.55</f>
        <v>26.55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f>7.93+1.2</f>
        <v>9.129999999999999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VLOOKUP($B11,'1110'!$B11:$N30,12,0)</f>
        <v>22.9</v>
      </c>
      <c r="E11" s="10"/>
      <c r="F11" s="11">
        <v>3</v>
      </c>
      <c r="G11" s="10">
        <v>1</v>
      </c>
      <c r="H11" s="10"/>
      <c r="I11" s="11"/>
      <c r="J11" s="10"/>
      <c r="K11" s="10"/>
      <c r="L11" s="21">
        <f>D11+E11-SUM(F11:K11)</f>
        <v>18.899999999999999</v>
      </c>
      <c r="M11" s="13">
        <v>18.899999999999999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VLOOKUP($B12,'1110'!$B12:$N31,12,0)</f>
        <v>7</v>
      </c>
      <c r="E12" s="10">
        <v>13.15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19.649999999999999</v>
      </c>
      <c r="M12" s="13">
        <f>6.5+13.15</f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VLOOKUP($B14,'1110'!$B14:$N33,12,0)</f>
        <v>9.7799999999999994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8.2799999999999994</v>
      </c>
      <c r="M14" s="13">
        <f>3.78+4.5</f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VLOOKUP($B15,'1110'!$B15:$N34,12,0)</f>
        <v>12.68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11.18</v>
      </c>
      <c r="M15" s="13">
        <f>11.18</f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VLOOKUP($B16,'1110'!$B16:$N35,12,0)</f>
        <v>28.3</v>
      </c>
      <c r="E16" s="10">
        <v>13.04</v>
      </c>
      <c r="F16" s="11"/>
      <c r="G16" s="10">
        <v>3.3</v>
      </c>
      <c r="H16" s="10"/>
      <c r="I16" s="10"/>
      <c r="J16" s="10"/>
      <c r="K16" s="10"/>
      <c r="L16" s="14">
        <f t="shared" si="1"/>
        <v>38.040000000000006</v>
      </c>
      <c r="M16" s="13">
        <f>25+13.04</f>
        <v>38.04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VLOOKUP($B18,'1110'!$B18:$N37,12,0)</f>
        <v>4.2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3.3000000000000003</v>
      </c>
      <c r="M18" s="13">
        <v>3.3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VLOOKUP($B21,'1110'!$B21:$N40,12,0)</f>
        <v>12.13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10.63</v>
      </c>
      <c r="M21" s="13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VLOOKUP($B22,'1110'!$B22:$N41,12,0)</f>
        <v>3.05</v>
      </c>
      <c r="E22" s="10"/>
      <c r="F22" s="10"/>
      <c r="G22" s="12">
        <v>1.55</v>
      </c>
      <c r="H22" s="11"/>
      <c r="I22" s="12"/>
      <c r="J22" s="12"/>
      <c r="K22" s="12"/>
      <c r="L22" s="14">
        <f t="shared" si="1"/>
        <v>1.4999999999999998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72.739999999999995</v>
      </c>
      <c r="F27" s="13">
        <f t="shared" si="3"/>
        <v>12.5</v>
      </c>
      <c r="G27" s="13">
        <f>SUM(G7:G26)</f>
        <v>22.25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201.66000000000003</v>
      </c>
      <c r="M27" s="13">
        <f t="shared" si="3"/>
        <v>201.66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DATE(2015,10,12)</f>
        <v>42289</v>
      </c>
      <c r="E4" s="36">
        <f>D4+1</f>
        <v>42290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VLOOKUP($B7,'1210'!$B7:$N26,12,0)</f>
        <v>32</v>
      </c>
      <c r="E7" s="10">
        <v>40</v>
      </c>
      <c r="F7" s="10">
        <v>4</v>
      </c>
      <c r="G7" s="10">
        <v>16</v>
      </c>
      <c r="H7" s="11">
        <v>10</v>
      </c>
      <c r="I7" s="10"/>
      <c r="J7" s="10"/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VLOOKUP($B8,'1210'!$B8:$N27,12,0)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3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VLOOKUP($B9,'1210'!$B9:$N28,12,0)</f>
        <v>26.55</v>
      </c>
      <c r="E9" s="10"/>
      <c r="F9" s="11"/>
      <c r="G9" s="10">
        <v>3</v>
      </c>
      <c r="H9" s="10">
        <v>4</v>
      </c>
      <c r="I9" s="10"/>
      <c r="J9" s="10"/>
      <c r="K9" s="10"/>
      <c r="L9" s="14">
        <f>D9+E9-SUM(F9:K9)</f>
        <v>19.55</v>
      </c>
      <c r="M9" s="13">
        <v>19.55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VLOOKUP($B10,'1210'!$B10:$N29,12,0)</f>
        <v>9.129999999999999</v>
      </c>
      <c r="F10" s="11"/>
      <c r="G10" s="10">
        <v>0.6</v>
      </c>
      <c r="H10" s="10"/>
      <c r="I10" s="11"/>
      <c r="J10" s="10"/>
      <c r="K10" s="10"/>
      <c r="L10" s="14">
        <f>D10+E10-SUM(F10:K10)</f>
        <v>8.5299999999999994</v>
      </c>
      <c r="M10" s="13">
        <v>8.5299999999999994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VLOOKUP($B11,'1210'!$B11:$N30,12,0)</f>
        <v>18.899999999999999</v>
      </c>
      <c r="E11" s="10">
        <v>24.4</v>
      </c>
      <c r="F11" s="11"/>
      <c r="G11" s="10">
        <v>1.9</v>
      </c>
      <c r="H11" s="10">
        <v>3</v>
      </c>
      <c r="I11" s="11"/>
      <c r="J11" s="10"/>
      <c r="K11" s="10"/>
      <c r="L11" s="21">
        <f>D11+E11-SUM(F11:K11)</f>
        <v>38.4</v>
      </c>
      <c r="M11" s="13">
        <f>14+24.4</f>
        <v>38.4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VLOOKUP($B12,'1210'!$B12:$N31,12,0)</f>
        <v>19.649999999999999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19.649999999999999</v>
      </c>
      <c r="M12" s="13"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VLOOKUP($B14,'1210'!$B14:$N33,12,0)</f>
        <v>8.2799999999999994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8.2799999999999994</v>
      </c>
      <c r="M14" s="13"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VLOOKUP($B15,'1210'!$B15:$N34,12,0)</f>
        <v>11.18</v>
      </c>
      <c r="E15" s="10"/>
      <c r="F15" s="11"/>
      <c r="G15" s="10"/>
      <c r="H15" s="10"/>
      <c r="I15" s="10"/>
      <c r="J15" s="10"/>
      <c r="K15" s="10"/>
      <c r="L15" s="14">
        <f t="shared" si="1"/>
        <v>11.18</v>
      </c>
      <c r="M15" s="13"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VLOOKUP($B16,'1210'!$B16:$N35,12,0)</f>
        <v>38.04</v>
      </c>
      <c r="E16" s="10"/>
      <c r="F16" s="11"/>
      <c r="G16" s="10">
        <v>2</v>
      </c>
      <c r="H16" s="10">
        <v>1</v>
      </c>
      <c r="I16" s="10"/>
      <c r="J16" s="10"/>
      <c r="K16" s="10"/>
      <c r="L16" s="14">
        <f t="shared" si="1"/>
        <v>35.04</v>
      </c>
      <c r="M16" s="13">
        <v>35.04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VLOOKUP($B18,'1210'!$B18:$N37,12,0)</f>
        <v>3.3</v>
      </c>
      <c r="E18" s="10">
        <f>6+4.25</f>
        <v>10.25</v>
      </c>
      <c r="F18" s="11"/>
      <c r="G18" s="10"/>
      <c r="H18" s="10"/>
      <c r="I18" s="10"/>
      <c r="J18" s="10"/>
      <c r="K18" s="10"/>
      <c r="L18" s="14">
        <f t="shared" si="1"/>
        <v>13.55</v>
      </c>
      <c r="M18" s="13">
        <f>3.3+10.25</f>
        <v>13.55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VLOOKUP($B21,'1210'!$B21:$N40,12,0)</f>
        <v>10.63</v>
      </c>
      <c r="E21" s="12"/>
      <c r="F21" s="12"/>
      <c r="G21" s="12">
        <v>1.63</v>
      </c>
      <c r="H21" s="11">
        <v>3</v>
      </c>
      <c r="I21" s="12"/>
      <c r="J21" s="12"/>
      <c r="K21" s="12"/>
      <c r="L21" s="14">
        <f t="shared" si="1"/>
        <v>6.0000000000000009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74.650000000000006</v>
      </c>
      <c r="F27" s="13">
        <f t="shared" si="3"/>
        <v>4</v>
      </c>
      <c r="G27" s="13">
        <f>SUM(G7:G26)</f>
        <v>26.33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224.98000000000002</v>
      </c>
      <c r="M27" s="13">
        <f t="shared" si="3"/>
        <v>224.98000000000002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DATE(2015,10,13)</f>
        <v>42290</v>
      </c>
      <c r="E4" s="36">
        <f>D4+1</f>
        <v>42291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33</v>
      </c>
      <c r="I6" s="5" t="s">
        <v>34</v>
      </c>
      <c r="J6" s="5" t="s">
        <v>32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VLOOKUP($B7,'1310'!$B7:$N26,12,0)</f>
        <v>42</v>
      </c>
      <c r="E7" s="10">
        <f>30+40</f>
        <v>70</v>
      </c>
      <c r="F7" s="10">
        <v>4</v>
      </c>
      <c r="G7" s="10">
        <v>24</v>
      </c>
      <c r="H7" s="11">
        <v>16</v>
      </c>
      <c r="I7" s="10">
        <v>10</v>
      </c>
      <c r="J7" s="10">
        <v>12</v>
      </c>
      <c r="K7" s="10"/>
      <c r="L7" s="14">
        <f>D7+E7-SUM(F7:K7)</f>
        <v>46</v>
      </c>
      <c r="M7" s="13">
        <f>40+6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VLOOKUP($B8,'1310'!$B8:$N27,12,0)</f>
        <v>4.8</v>
      </c>
      <c r="E8" s="10"/>
      <c r="F8" s="11"/>
      <c r="G8" s="10">
        <v>0.9</v>
      </c>
      <c r="H8" s="10"/>
      <c r="I8" s="10">
        <v>0.6</v>
      </c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VLOOKUP($B9,'1310'!$B9:$N28,12,0)</f>
        <v>19.55</v>
      </c>
      <c r="E9" s="10">
        <v>17</v>
      </c>
      <c r="F9" s="11"/>
      <c r="G9" s="10">
        <v>5.05</v>
      </c>
      <c r="H9" s="10">
        <v>2</v>
      </c>
      <c r="I9" s="10">
        <v>3.5</v>
      </c>
      <c r="J9" s="10"/>
      <c r="K9" s="10"/>
      <c r="L9" s="14">
        <f>D9+E9-SUM(F9:K9)</f>
        <v>25.999999999999996</v>
      </c>
      <c r="M9" s="13">
        <f>9+17</f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VLOOKUP($B10,'1310'!$B10:$N29,12,0)</f>
        <v>8.5299999999999994</v>
      </c>
      <c r="F10" s="11"/>
      <c r="G10" s="10">
        <v>1.5</v>
      </c>
      <c r="H10" s="10"/>
      <c r="I10" s="11">
        <v>1.2</v>
      </c>
      <c r="J10" s="10"/>
      <c r="K10" s="10"/>
      <c r="L10" s="14">
        <f>D10+E10-SUM(F10:K10)</f>
        <v>5.8299999999999992</v>
      </c>
      <c r="M10" s="13">
        <v>5.83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VLOOKUP($B11,'1310'!$B11:$N30,12,0)</f>
        <v>38.4</v>
      </c>
      <c r="E11" s="10"/>
      <c r="F11" s="11">
        <v>3</v>
      </c>
      <c r="G11" s="10">
        <v>4</v>
      </c>
      <c r="H11" s="10">
        <v>3</v>
      </c>
      <c r="I11" s="11">
        <v>2.5</v>
      </c>
      <c r="J11" s="10">
        <v>1.5</v>
      </c>
      <c r="K11" s="10"/>
      <c r="L11" s="21">
        <f>D11+E11-SUM(F11:K11)</f>
        <v>24.4</v>
      </c>
      <c r="M11" s="13">
        <v>24.4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VLOOKUP($B12,'1310'!$B12:$N31,12,0)</f>
        <v>19.649999999999999</v>
      </c>
      <c r="E12" s="10"/>
      <c r="F12" s="11"/>
      <c r="G12" s="10">
        <v>1</v>
      </c>
      <c r="H12" s="10">
        <v>1</v>
      </c>
      <c r="I12" s="11">
        <v>1.5</v>
      </c>
      <c r="J12" s="10">
        <v>0.5</v>
      </c>
      <c r="K12" s="10"/>
      <c r="L12" s="14">
        <f t="shared" ref="L12:L22" si="1">D12+E12-SUM(F12:K12)</f>
        <v>15.649999999999999</v>
      </c>
      <c r="M12" s="13"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VLOOKUP($B14,'1310'!$B14:$N33,12,0)</f>
        <v>8.2799999999999994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6.7799999999999994</v>
      </c>
      <c r="M14" s="13">
        <v>6.78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VLOOKUP($B15,'1310'!$B15:$N34,12,0)</f>
        <v>11.18</v>
      </c>
      <c r="E15" s="10"/>
      <c r="F15" s="11"/>
      <c r="G15" s="10">
        <v>1.18</v>
      </c>
      <c r="H15" s="10">
        <v>1</v>
      </c>
      <c r="I15" s="10"/>
      <c r="J15" s="10"/>
      <c r="K15" s="10"/>
      <c r="L15" s="14">
        <f t="shared" si="1"/>
        <v>9</v>
      </c>
      <c r="M15" s="13">
        <v>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VLOOKUP($B16,'1310'!$B16:$N35,12,0)</f>
        <v>35.04</v>
      </c>
      <c r="E16" s="10">
        <v>13.55</v>
      </c>
      <c r="F16" s="11"/>
      <c r="G16" s="10">
        <v>1</v>
      </c>
      <c r="H16" s="10">
        <f>30-7.5</f>
        <v>22.5</v>
      </c>
      <c r="I16" s="10"/>
      <c r="J16" s="10"/>
      <c r="K16" s="10"/>
      <c r="L16" s="14">
        <f t="shared" si="1"/>
        <v>25.090000000000003</v>
      </c>
      <c r="M16" s="13">
        <f>4.04+13.55+7.5</f>
        <v>25.09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VLOOKUP($B18,'1310'!$B18:$N37,12,0)</f>
        <v>13.55</v>
      </c>
      <c r="E18" s="10"/>
      <c r="F18" s="11"/>
      <c r="G18" s="10">
        <v>1.55</v>
      </c>
      <c r="H18" s="10">
        <v>1.2</v>
      </c>
      <c r="I18" s="10"/>
      <c r="J18" s="10">
        <v>1.2</v>
      </c>
      <c r="K18" s="10"/>
      <c r="L18" s="14">
        <f t="shared" si="1"/>
        <v>9.6000000000000014</v>
      </c>
      <c r="M18" s="13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VLOOKUP($B20,'1310'!$B20:$N39,12,0)</f>
        <v>16.5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14.5</v>
      </c>
      <c r="M20" s="13">
        <v>14.5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VLOOKUP($B21,'1310'!$B21:$N40,12,0)</f>
        <v>6</v>
      </c>
      <c r="E21" s="12">
        <v>10.8</v>
      </c>
      <c r="F21" s="12"/>
      <c r="G21" s="12">
        <v>1.5</v>
      </c>
      <c r="H21" s="11"/>
      <c r="I21" s="12"/>
      <c r="J21" s="12">
        <v>1.2</v>
      </c>
      <c r="K21" s="12"/>
      <c r="L21" s="14">
        <f t="shared" si="1"/>
        <v>14.100000000000001</v>
      </c>
      <c r="M21" s="13">
        <f>3.3+10.8</f>
        <v>14.100000000000001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111.35</v>
      </c>
      <c r="F27" s="13">
        <f t="shared" si="3"/>
        <v>7</v>
      </c>
      <c r="G27" s="13">
        <f>SUM(G7:G26)</f>
        <v>43.68</v>
      </c>
      <c r="H27" s="13">
        <f>SUM(H7:H26)</f>
        <v>47.2</v>
      </c>
      <c r="I27" s="13">
        <f t="shared" si="3"/>
        <v>20.299999999999997</v>
      </c>
      <c r="J27" s="13">
        <f t="shared" si="3"/>
        <v>16.399999999999999</v>
      </c>
      <c r="K27" s="13">
        <f t="shared" si="3"/>
        <v>0</v>
      </c>
      <c r="L27" s="13">
        <f t="shared" si="3"/>
        <v>201.75</v>
      </c>
      <c r="M27" s="13">
        <f t="shared" si="3"/>
        <v>201.75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DATE(2015,10,14)</f>
        <v>42291</v>
      </c>
      <c r="E4" s="36">
        <f>D4+1</f>
        <v>42292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VLOOKUP($B7,'1410'!$B7:$N26,12,0)</f>
        <v>46</v>
      </c>
      <c r="E7" s="10">
        <v>30</v>
      </c>
      <c r="F7" s="10">
        <v>6</v>
      </c>
      <c r="G7" s="10"/>
      <c r="H7" s="11">
        <v>24</v>
      </c>
      <c r="I7" s="10">
        <v>36</v>
      </c>
      <c r="J7" s="10"/>
      <c r="K7" s="10"/>
      <c r="L7" s="14">
        <f>D7+E7-SUM(F7:K7)</f>
        <v>10</v>
      </c>
      <c r="M7" s="13">
        <v>10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VLOOKUP($B8,'1410'!$B8:$N27,12,0)</f>
        <v>3.3</v>
      </c>
      <c r="E8" s="10">
        <v>8.5</v>
      </c>
      <c r="F8" s="11"/>
      <c r="G8" s="10">
        <v>1.5</v>
      </c>
      <c r="H8" s="10">
        <v>2.1</v>
      </c>
      <c r="I8" s="10"/>
      <c r="J8" s="10"/>
      <c r="K8" s="10"/>
      <c r="L8" s="14">
        <f>D8+E8-SUM(F8:K8)</f>
        <v>8.2000000000000011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VLOOKUP($B9,'1410'!$B9:$N28,12,0)</f>
        <v>26</v>
      </c>
      <c r="E9" s="10"/>
      <c r="F9" s="11"/>
      <c r="G9" s="10">
        <v>4</v>
      </c>
      <c r="H9" s="10">
        <v>6</v>
      </c>
      <c r="I9" s="10">
        <v>4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VLOOKUP($B10,'1410'!$B10:$N29,12,0)</f>
        <v>5.83</v>
      </c>
      <c r="E10">
        <v>10.65</v>
      </c>
      <c r="F10" s="11"/>
      <c r="G10" s="10">
        <v>2.4</v>
      </c>
      <c r="H10" s="10">
        <v>1.03</v>
      </c>
      <c r="I10" s="11">
        <v>3.9</v>
      </c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VLOOKUP($B11,'1410'!$B11:$N30,12,0)</f>
        <v>24.4</v>
      </c>
      <c r="E11" s="10">
        <f>15.4+10</f>
        <v>25.4</v>
      </c>
      <c r="F11" s="11">
        <v>10</v>
      </c>
      <c r="G11" s="10">
        <v>5</v>
      </c>
      <c r="H11" s="10">
        <v>4</v>
      </c>
      <c r="I11" s="11">
        <v>10</v>
      </c>
      <c r="J11" s="10"/>
      <c r="K11" s="10"/>
      <c r="L11" s="21">
        <f>D11+E11-SUM(F11:K11)</f>
        <v>20.799999999999997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VLOOKUP($B12,'1410'!$B12:$N31,12,0)</f>
        <v>15.65</v>
      </c>
      <c r="E12" s="10"/>
      <c r="F12" s="11"/>
      <c r="G12" s="10"/>
      <c r="H12" s="10">
        <v>3</v>
      </c>
      <c r="I12" s="11">
        <v>1.1499999999999999</v>
      </c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VLOOKUP($B14,'1410'!$B14:$N33,12,0)</f>
        <v>6.78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5.78</v>
      </c>
      <c r="M14" s="13">
        <v>5.78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VLOOKUP($B15,'1410'!$B15:$N34,12,0)</f>
        <v>9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VLOOKUP($B16,'1410'!$B16:$N35,12,0)</f>
        <v>25.09</v>
      </c>
      <c r="E16" s="10">
        <v>13</v>
      </c>
      <c r="F16" s="11"/>
      <c r="G16" s="10"/>
      <c r="H16" s="10">
        <v>5.04</v>
      </c>
      <c r="I16" s="10"/>
      <c r="J16" s="10"/>
      <c r="K16" s="10"/>
      <c r="L16" s="14">
        <f t="shared" si="1"/>
        <v>33.050000000000004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VLOOKUP($B18,'1410'!$B18:$N37,12,0)</f>
        <v>9.6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VLOOKUP($B20,'1410'!$B20:$N39,12,0)</f>
        <v>14.5</v>
      </c>
      <c r="E20" s="12"/>
      <c r="F20" s="12"/>
      <c r="G20" s="12"/>
      <c r="H20" s="11"/>
      <c r="I20" s="12">
        <v>6</v>
      </c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VLOOKUP($B21,'1410'!$B21:$N40,12,0)</f>
        <v>14.100000000000001</v>
      </c>
      <c r="E21" s="12"/>
      <c r="F21" s="12"/>
      <c r="G21" s="12">
        <v>2.1</v>
      </c>
      <c r="H21" s="11">
        <v>2.1</v>
      </c>
      <c r="I21" s="12">
        <v>1.2</v>
      </c>
      <c r="J21" s="12"/>
      <c r="K21" s="12"/>
      <c r="L21" s="14">
        <f t="shared" si="1"/>
        <v>8.7000000000000011</v>
      </c>
      <c r="M21" s="13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VLOOKUP($B22,'1410'!$B22:$N41,12,0)</f>
        <v>1.5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87.55</v>
      </c>
      <c r="F27" s="13">
        <f t="shared" si="3"/>
        <v>16</v>
      </c>
      <c r="G27" s="13">
        <f>SUM(G7:G26)</f>
        <v>15.9</v>
      </c>
      <c r="H27" s="13">
        <f>SUM(H7:H26)</f>
        <v>50.77</v>
      </c>
      <c r="I27" s="13">
        <f t="shared" si="3"/>
        <v>62.25</v>
      </c>
      <c r="J27" s="13">
        <f t="shared" si="3"/>
        <v>0</v>
      </c>
      <c r="K27" s="13">
        <f t="shared" si="3"/>
        <v>0</v>
      </c>
      <c r="L27" s="13">
        <f t="shared" si="3"/>
        <v>144.38</v>
      </c>
      <c r="M27" s="13">
        <f t="shared" si="3"/>
        <v>144.38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DATE(2015,10,15)</f>
        <v>42292</v>
      </c>
      <c r="E4" s="36">
        <f>D4+1</f>
        <v>42293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VLOOKUP($B7,'1510'!$B7:$N26,12,0)</f>
        <v>10</v>
      </c>
      <c r="E7" s="10">
        <v>10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14</v>
      </c>
      <c r="M7" s="13">
        <f>10+4</f>
        <v>14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VLOOKUP($B8,'1510'!$B8:$N27,12,0)</f>
        <v>8.1999999999999993</v>
      </c>
      <c r="E8" s="10"/>
      <c r="F8" s="11"/>
      <c r="G8" s="10"/>
      <c r="H8" s="10"/>
      <c r="I8" s="10"/>
      <c r="J8" s="10"/>
      <c r="K8" s="10"/>
      <c r="L8" s="14">
        <f>D8+E8-SUM(F8:K8)</f>
        <v>8.1999999999999993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VLOOKUP($B9,'1510'!$B9:$N28,12,0)</f>
        <v>12</v>
      </c>
      <c r="E9" s="10">
        <v>16.75</v>
      </c>
      <c r="F9" s="11">
        <v>2</v>
      </c>
      <c r="G9" s="10"/>
      <c r="H9" s="10"/>
      <c r="I9" s="10"/>
      <c r="J9" s="10"/>
      <c r="K9" s="10"/>
      <c r="L9" s="14">
        <f>D9+E9-SUM(F9:K9)</f>
        <v>26.75</v>
      </c>
      <c r="M9" s="13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VLOOKUP($B11,'1510'!$B11:$N30,12,0)</f>
        <v>20.8</v>
      </c>
      <c r="E11" s="10"/>
      <c r="F11" s="11"/>
      <c r="G11" s="10"/>
      <c r="H11" s="10"/>
      <c r="I11" s="11"/>
      <c r="J11" s="10"/>
      <c r="K11" s="10"/>
      <c r="L11" s="21">
        <f>D11+E11-SUM(F11:K11)</f>
        <v>20.8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VLOOKUP($B12,'1510'!$B12:$N31,12,0)</f>
        <v>11.5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VLOOKUP($B14,'1510'!$B14:$N33,12,0)</f>
        <v>5.78</v>
      </c>
      <c r="E14" s="10">
        <v>9.5</v>
      </c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VLOOKUP($B20,'1510'!$B20:$N39,12,0)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VLOOKUP($B21,'1510'!$B21:$N40,12,0)</f>
        <v>8.6999999999999993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7.7999999999999989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VLOOKUP($B22,'1510'!$B22:$N41,12,0)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36.25</v>
      </c>
      <c r="F27" s="13">
        <f t="shared" si="3"/>
        <v>6</v>
      </c>
      <c r="G27" s="13">
        <f>SUM(G7:G26)</f>
        <v>0.9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171.73000000000002</v>
      </c>
      <c r="M27" s="13">
        <f t="shared" si="3"/>
        <v>171.73000000000002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DATE(2015,4,1)</f>
        <v>42095</v>
      </c>
      <c r="E4" s="36">
        <f>D4+1</f>
        <v>42096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35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VLOOKUP($B7,'0104'!$B7:$N26,12,0)</f>
        <v>36</v>
      </c>
      <c r="E7" s="10">
        <v>30</v>
      </c>
      <c r="F7" s="10"/>
      <c r="G7" s="10">
        <v>26</v>
      </c>
      <c r="H7" s="11"/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VLOOKUP($B8,'0104'!$B8:$N27,12,0)</f>
        <v>0</v>
      </c>
      <c r="E8" s="10">
        <v>7.9</v>
      </c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VLOOKUP($B9,'0104'!$B9:$N28,12,0)</f>
        <v>9.5</v>
      </c>
      <c r="E9" s="10">
        <v>16.3</v>
      </c>
      <c r="F9" s="11"/>
      <c r="G9" s="10">
        <v>5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VLOOKUP($B10,'0104'!$B10:$N29,12,0)</f>
        <v>11.2</v>
      </c>
      <c r="F10" s="11"/>
      <c r="G10" s="10"/>
      <c r="H10" s="10"/>
      <c r="I10" s="11"/>
      <c r="J10" s="10"/>
      <c r="K10" s="10"/>
      <c r="L10" s="14">
        <f t="shared" si="1"/>
        <v>11.2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VLOOKUP($B11,'0104'!$B11:$N30,12,0)</f>
        <v>20.149999999999999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15.149999999999999</v>
      </c>
      <c r="M11" s="10">
        <v>15.15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VLOOKUP($B12,'0104'!$B12:$N31,12,0)</f>
        <v>6.5</v>
      </c>
      <c r="E12" s="10"/>
      <c r="F12" s="11"/>
      <c r="G12" s="10">
        <v>4.5</v>
      </c>
      <c r="H12" s="10"/>
      <c r="I12" s="11"/>
      <c r="J12" s="10"/>
      <c r="K12" s="10"/>
      <c r="L12" s="14">
        <f t="shared" si="1"/>
        <v>2</v>
      </c>
      <c r="M12" s="10">
        <v>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VLOOKUP($B14,'0104'!$B14:$N33,12,0)</f>
        <v>12.5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VLOOKUP($B15,'0104'!$B15:$N34,12,0)</f>
        <v>14.4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13.4</v>
      </c>
      <c r="M15" s="10">
        <v>13.4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VLOOKUP($B16,'0104'!$B16:$N35,12,0)</f>
        <v>15.8</v>
      </c>
      <c r="E16" s="10"/>
      <c r="F16" s="11"/>
      <c r="G16" s="10">
        <v>2.9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VLOOKUP($B18,'0104'!$B18:$N37,12,0)</f>
        <v>4.5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15.1</v>
      </c>
      <c r="M18" s="10">
        <v>15.1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VLOOKUP($B20,'0104'!$B20:$N39,12,0)</f>
        <v>7</v>
      </c>
      <c r="E20" s="12"/>
      <c r="F20" s="12"/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VLOOKUP($B21,'0104'!$B21:$N40,12,0)</f>
        <v>10.199999999999999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8.1</v>
      </c>
      <c r="M21" s="12">
        <v>8.1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VLOOKUP($B22,'0104'!$B22:$N41,12,0)</f>
        <v>2.7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0.60000000000000009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154.94999999999999</v>
      </c>
      <c r="E27" s="13">
        <f t="shared" si="2"/>
        <v>64.8</v>
      </c>
      <c r="F27" s="13">
        <f t="shared" si="2"/>
        <v>0</v>
      </c>
      <c r="G27" s="13">
        <f t="shared" si="2"/>
        <v>51.6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168.15</v>
      </c>
      <c r="M27" s="13">
        <f t="shared" si="2"/>
        <v>168.15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2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DATE(2015,4,19)</f>
        <v>42113</v>
      </c>
      <c r="E4" s="36">
        <f>D4+1</f>
        <v>42114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39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VLOOKUP($B7,'1904'!$B7:$N26,12,0)</f>
        <v>58</v>
      </c>
      <c r="E7" s="10">
        <v>40</v>
      </c>
      <c r="F7" s="10">
        <v>4</v>
      </c>
      <c r="G7" s="10">
        <v>24</v>
      </c>
      <c r="H7" s="11">
        <v>4</v>
      </c>
      <c r="I7" s="10">
        <v>10</v>
      </c>
      <c r="J7" s="10"/>
      <c r="K7" s="10"/>
      <c r="L7" s="14">
        <f>D7+E7-SUM(F7:K7)</f>
        <v>56</v>
      </c>
      <c r="M7" s="10"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VLOOKUP($B9,'1904'!$B9:$N28,12,0)</f>
        <v>13.1</v>
      </c>
      <c r="E9" s="10"/>
      <c r="F9" s="11"/>
      <c r="G9" s="10">
        <v>8</v>
      </c>
      <c r="H9" s="10"/>
      <c r="I9" s="10"/>
      <c r="J9" s="10"/>
      <c r="K9" s="10"/>
      <c r="L9" s="14">
        <f t="shared" si="1"/>
        <v>5.0999999999999996</v>
      </c>
      <c r="M9" s="10">
        <v>5.0999999999999996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VLOOKUP($B10,'1904'!$B10:$N29,12,0)</f>
        <v>9.9</v>
      </c>
      <c r="F10" s="11"/>
      <c r="G10" s="10">
        <v>6</v>
      </c>
      <c r="H10" s="10"/>
      <c r="I10" s="11">
        <v>0.9</v>
      </c>
      <c r="J10" s="10"/>
      <c r="K10" s="10"/>
      <c r="L10" s="14">
        <f t="shared" si="1"/>
        <v>3</v>
      </c>
      <c r="M10" s="10">
        <v>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VLOOKUP($B11,'1904'!$B11:$N30,12,0)</f>
        <v>29.5</v>
      </c>
      <c r="E11" s="10"/>
      <c r="F11" s="11"/>
      <c r="G11" s="10">
        <v>12</v>
      </c>
      <c r="H11" s="10">
        <v>4</v>
      </c>
      <c r="I11" s="11">
        <v>3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VLOOKUP($B12,'1904'!$B12:$N31,12,0)</f>
        <v>7.35</v>
      </c>
      <c r="E12" s="10">
        <v>11.5</v>
      </c>
      <c r="F12" s="11"/>
      <c r="G12" s="10">
        <v>3.5</v>
      </c>
      <c r="H12" s="10">
        <v>4</v>
      </c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VLOOKUP($B13,'1904'!$B13:$N32,12,0)</f>
        <v>3</v>
      </c>
      <c r="E13" s="10"/>
      <c r="F13" s="11"/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VLOOKUP($B14,'1904'!$B14:$N33,12,0)</f>
        <v>8.4</v>
      </c>
      <c r="E14" s="10">
        <v>9.6999999999999993</v>
      </c>
      <c r="F14" s="11"/>
      <c r="G14" s="10"/>
      <c r="H14" s="10"/>
      <c r="I14" s="11"/>
      <c r="J14" s="10"/>
      <c r="K14" s="10"/>
      <c r="L14" s="14">
        <f t="shared" si="1"/>
        <v>18.100000000000001</v>
      </c>
      <c r="M14" s="10">
        <v>18.100000000000001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VLOOKUP($B15,'1904'!$B15:$N34,12,0)</f>
        <v>16.899999999999999</v>
      </c>
      <c r="E15" s="10"/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VLOOKUP($B16,'1904'!$B16:$N35,12,0)</f>
        <v>11</v>
      </c>
      <c r="E16" s="10">
        <v>11.5</v>
      </c>
      <c r="F16" s="11"/>
      <c r="G16" s="10"/>
      <c r="H16" s="10"/>
      <c r="I16" s="10"/>
      <c r="J16" s="10"/>
      <c r="K16" s="10"/>
      <c r="L16" s="14">
        <f t="shared" si="1"/>
        <v>22.5</v>
      </c>
      <c r="M16" s="10">
        <v>22.5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VLOOKUP($B20,'1904'!$B20:$N39,12,0)</f>
        <v>6</v>
      </c>
      <c r="E20" s="12">
        <v>13</v>
      </c>
      <c r="F20" s="12"/>
      <c r="G20" s="12">
        <v>5</v>
      </c>
      <c r="H20" s="11"/>
      <c r="I20" s="12">
        <v>1</v>
      </c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VLOOKUP($B21,'1904'!$B21:$N40,12,0)</f>
        <v>5.7</v>
      </c>
      <c r="E21" s="12"/>
      <c r="F21" s="12"/>
      <c r="G21" s="12">
        <v>5.7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197.65</v>
      </c>
      <c r="E27" s="13">
        <f t="shared" si="2"/>
        <v>85.7</v>
      </c>
      <c r="F27" s="13">
        <f t="shared" si="2"/>
        <v>4</v>
      </c>
      <c r="G27" s="13">
        <f t="shared" si="2"/>
        <v>64.2</v>
      </c>
      <c r="H27" s="13">
        <f t="shared" si="2"/>
        <v>12</v>
      </c>
      <c r="I27" s="13">
        <f t="shared" si="2"/>
        <v>14.9</v>
      </c>
      <c r="J27" s="13">
        <f t="shared" si="2"/>
        <v>0</v>
      </c>
      <c r="K27" s="13">
        <f t="shared" si="2"/>
        <v>0</v>
      </c>
      <c r="L27" s="13">
        <f t="shared" si="2"/>
        <v>188.25</v>
      </c>
      <c r="M27" s="13">
        <f t="shared" si="2"/>
        <v>188.25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4" priority="1" stopIfTrue="1" operator="lessThan">
      <formula>0</formula>
    </cfRule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DATE(2015,10,16)</f>
        <v>42293</v>
      </c>
      <c r="E4" s="36">
        <f>D4+1</f>
        <v>42294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VLOOKUP($B7,'1610'!$B7:$N26,12,0)</f>
        <v>14</v>
      </c>
      <c r="E7" s="10">
        <v>20</v>
      </c>
      <c r="F7" s="10">
        <v>4</v>
      </c>
      <c r="G7" s="10"/>
      <c r="H7" s="11">
        <v>4</v>
      </c>
      <c r="I7" s="10"/>
      <c r="J7" s="10"/>
      <c r="K7" s="10"/>
      <c r="L7" s="14">
        <f>D7+E7-SUM(F7:K7)</f>
        <v>26</v>
      </c>
      <c r="M7" s="13">
        <v>26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VLOOKUP($B8,'1610'!$B8:$N27,12,0)</f>
        <v>8.1999999999999993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6.3999999999999995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VLOOKUP($B9,'1610'!$B9:$N28,12,0)</f>
        <v>26.75</v>
      </c>
      <c r="E9" s="10"/>
      <c r="F9" s="11"/>
      <c r="G9" s="10">
        <v>1</v>
      </c>
      <c r="H9" s="10">
        <v>2</v>
      </c>
      <c r="I9" s="10"/>
      <c r="J9" s="10"/>
      <c r="K9" s="10"/>
      <c r="L9" s="14">
        <f>D9+E9-SUM(F9:K9)</f>
        <v>23.75</v>
      </c>
      <c r="M9" s="13">
        <f>16.75+7</f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VLOOKUP($B11,'1610'!$B11:$N30,12,0)</f>
        <v>20.8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18.8</v>
      </c>
      <c r="M11" s="13">
        <f>15.4+3.4</f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VLOOKUP($B12,'1610'!$B12:$N31,12,0)</f>
        <v>11.5</v>
      </c>
      <c r="E12" s="10"/>
      <c r="F12" s="11"/>
      <c r="G12" s="10"/>
      <c r="H12" s="10">
        <v>11.5</v>
      </c>
      <c r="I12" s="11"/>
      <c r="J12" s="10"/>
      <c r="K12" s="10"/>
      <c r="L12" s="14">
        <f t="shared" ref="L12:L22" si="1">D12+E12-SUM(F12:K12)</f>
        <v>0</v>
      </c>
      <c r="M12" s="13"/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VLOOKUP($B15,'1610'!$B15:$N34,12,0)</f>
        <v>8</v>
      </c>
      <c r="E15" s="10">
        <v>5.0999999999999996</v>
      </c>
      <c r="F15" s="11"/>
      <c r="G15" s="10"/>
      <c r="H15" s="10"/>
      <c r="I15" s="10"/>
      <c r="J15" s="10"/>
      <c r="K15" s="10"/>
      <c r="L15" s="14">
        <f t="shared" si="1"/>
        <v>13.1</v>
      </c>
      <c r="M15" s="13">
        <f>8+5.1</f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23+2.55+7.5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VLOOKUP($B20,'1610'!$B20:$N39,12,0)</f>
        <v>8.5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1"/>
        <v>7.8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VLOOKUP($B22,'1610'!$B22:$N41,12,0)</f>
        <v>0</v>
      </c>
      <c r="E22" s="10">
        <v>17.100000000000001</v>
      </c>
      <c r="F22" s="10">
        <v>12.3</v>
      </c>
      <c r="G22" s="12"/>
      <c r="H22" s="11"/>
      <c r="I22" s="12"/>
      <c r="J22" s="12"/>
      <c r="K22" s="12"/>
      <c r="L22" s="14">
        <f t="shared" si="1"/>
        <v>4.8000000000000007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42.2</v>
      </c>
      <c r="F27" s="13">
        <f t="shared" si="3"/>
        <v>16.3</v>
      </c>
      <c r="G27" s="13">
        <f>SUM(G7:G26)</f>
        <v>5.8</v>
      </c>
      <c r="H27" s="13">
        <f>SUM(H7:H26)</f>
        <v>17.5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174.32999999999998</v>
      </c>
      <c r="M27" s="13">
        <f t="shared" si="3"/>
        <v>174.32999999999998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DATE(2015,10,17)</f>
        <v>42294</v>
      </c>
      <c r="E4" s="36">
        <f>D4+1</f>
        <v>42295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VLOOKUP($B7,'1710'!$B7:$N26,12,0)</f>
        <v>26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22</v>
      </c>
      <c r="M7" s="13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f t="shared" ref="M8:M25" si="1">D8</f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VLOOKUP($B9,'1710'!$B9:$N28,12,0)</f>
        <v>23.75</v>
      </c>
      <c r="E9" s="10"/>
      <c r="F9" s="11"/>
      <c r="G9" s="10"/>
      <c r="H9" s="10"/>
      <c r="I9" s="10"/>
      <c r="J9" s="10"/>
      <c r="K9" s="10"/>
      <c r="L9" s="14">
        <f>D9+E9-SUM(F9:K9)</f>
        <v>23.75</v>
      </c>
      <c r="M9" s="13">
        <f t="shared" si="1"/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f t="shared" si="1"/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VLOOKUP($B11,'1710'!$B11:$N30,12,0)</f>
        <v>18.8</v>
      </c>
      <c r="E11" s="10"/>
      <c r="F11" s="11"/>
      <c r="G11" s="10"/>
      <c r="H11" s="10"/>
      <c r="I11" s="11"/>
      <c r="J11" s="10"/>
      <c r="K11" s="10"/>
      <c r="L11" s="21">
        <f>D11+E11-SUM(F11:K11)</f>
        <v>18.8</v>
      </c>
      <c r="M11" s="13">
        <f t="shared" si="1"/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VLOOKUP($B12,'1710'!$B12:$N31,12,0)</f>
        <v>0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0</v>
      </c>
      <c r="M12" s="13">
        <f t="shared" si="1"/>
        <v>0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2"/>
        <v>15.280000000000001</v>
      </c>
      <c r="M14" s="13">
        <f t="shared" si="1"/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2"/>
        <v>13.1</v>
      </c>
      <c r="M15" s="13">
        <f t="shared" si="1"/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2"/>
        <v>33.049999999999997</v>
      </c>
      <c r="M16" s="13">
        <f t="shared" si="1"/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2"/>
        <v>8.6999999999999993</v>
      </c>
      <c r="M18" s="13">
        <f t="shared" si="1"/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2"/>
        <v>7.5</v>
      </c>
      <c r="M20" s="13">
        <f t="shared" si="1"/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2"/>
        <v>7.8</v>
      </c>
      <c r="M21" s="13">
        <f t="shared" si="1"/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2"/>
        <v>4.8</v>
      </c>
      <c r="M22" s="13">
        <f t="shared" si="1"/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4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170.32999999999998</v>
      </c>
      <c r="M27" s="13">
        <f t="shared" si="4"/>
        <v>170.32999999999998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DATE(2015,10,18)</f>
        <v>42295</v>
      </c>
      <c r="E4" s="36">
        <f>D4+1</f>
        <v>42296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VLOOKUP($B7,'1810'!$B7:$N26,12,0)</f>
        <v>22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3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VLOOKUP($B9,'1810'!$B9:$N28,12,0)</f>
        <v>23.75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18.75</v>
      </c>
      <c r="M9" s="13">
        <v>18.75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VLOOKUP($B11,'1810'!$B11:$N30,12,0)</f>
        <v>18.8</v>
      </c>
      <c r="E11" s="10">
        <v>24</v>
      </c>
      <c r="F11" s="11">
        <v>11.9</v>
      </c>
      <c r="G11" s="10"/>
      <c r="H11" s="10"/>
      <c r="I11" s="11"/>
      <c r="J11" s="10"/>
      <c r="K11" s="10"/>
      <c r="L11" s="21">
        <f>D11+E11-SUM(F11:K11)</f>
        <v>30.9</v>
      </c>
      <c r="M11" s="13">
        <v>30.9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VLOOKUP($B12,'1810'!$B12:$N31,12,0)</f>
        <v>0</v>
      </c>
      <c r="E12" s="10">
        <v>13.45</v>
      </c>
      <c r="F12" s="11"/>
      <c r="G12" s="10"/>
      <c r="H12" s="10"/>
      <c r="I12" s="11"/>
      <c r="J12" s="10"/>
      <c r="K12" s="10"/>
      <c r="L12" s="14">
        <f t="shared" ref="L12:L22" si="1">D12+E12-SUM(F12:K12)</f>
        <v>13.45</v>
      </c>
      <c r="M12" s="13">
        <v>13.45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v>15.28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1"/>
        <v>13.1</v>
      </c>
      <c r="M15" s="13"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VLOOKUP($B18,'1810'!$B18:$N37,12,0)</f>
        <v>8.6999999999999993</v>
      </c>
      <c r="E18" s="10"/>
      <c r="F18" s="11">
        <v>2.7</v>
      </c>
      <c r="G18" s="10"/>
      <c r="H18" s="10"/>
      <c r="I18" s="10"/>
      <c r="J18" s="10"/>
      <c r="K18" s="10"/>
      <c r="L18" s="14">
        <f t="shared" si="1"/>
        <v>5.9999999999999991</v>
      </c>
      <c r="M18" s="13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VLOOKUP($B21,'1810'!$B21:$N40,12,0)</f>
        <v>7.8</v>
      </c>
      <c r="E21" s="12"/>
      <c r="F21" s="12">
        <v>2.7</v>
      </c>
      <c r="G21" s="12"/>
      <c r="H21" s="11"/>
      <c r="I21" s="12"/>
      <c r="J21" s="12"/>
      <c r="K21" s="12"/>
      <c r="L21" s="14">
        <f t="shared" si="1"/>
        <v>5.0999999999999996</v>
      </c>
      <c r="M21" s="13">
        <v>5.0999999999999996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1"/>
        <v>4.8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67.45</v>
      </c>
      <c r="F27" s="13">
        <f t="shared" si="3"/>
        <v>26.299999999999997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211.48</v>
      </c>
      <c r="M27" s="13">
        <f t="shared" si="3"/>
        <v>211.48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DATE(2015,10,19)</f>
        <v>42296</v>
      </c>
      <c r="E4" s="36">
        <f>D4+1</f>
        <v>42297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54</v>
      </c>
      <c r="I6" s="5" t="s">
        <v>61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VLOOKUP($B7,'1910'!$B7:$N26,12,0)</f>
        <v>48</v>
      </c>
      <c r="E7" s="10">
        <v>50</v>
      </c>
      <c r="F7" s="10">
        <v>6</v>
      </c>
      <c r="G7" s="10">
        <v>18</v>
      </c>
      <c r="H7" s="11">
        <v>12</v>
      </c>
      <c r="I7" s="10">
        <v>10</v>
      </c>
      <c r="J7" s="10"/>
      <c r="K7" s="10"/>
      <c r="L7" s="14">
        <f>D7+E7-SUM(F7:K7)</f>
        <v>52</v>
      </c>
      <c r="M7" s="13">
        <f>2+50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VLOOKUP($B8,'1910'!$B8:$N27,12,0)</f>
        <v>6.4</v>
      </c>
      <c r="E8" s="10"/>
      <c r="F8" s="11"/>
      <c r="G8" s="10"/>
      <c r="H8" s="10">
        <v>1.6</v>
      </c>
      <c r="I8" s="10">
        <v>2.1</v>
      </c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VLOOKUP($B9,'1910'!$B9:$N28,12,0)</f>
        <v>18.75</v>
      </c>
      <c r="E9" s="10">
        <v>16.350000000000001</v>
      </c>
      <c r="F9" s="11"/>
      <c r="G9" s="10">
        <v>4</v>
      </c>
      <c r="H9" s="10">
        <v>3.75</v>
      </c>
      <c r="I9" s="10">
        <v>1</v>
      </c>
      <c r="J9" s="10"/>
      <c r="K9" s="10"/>
      <c r="L9" s="14">
        <f>D9+E9-SUM(F9:K9)</f>
        <v>26.35</v>
      </c>
      <c r="M9" s="13">
        <f>10+16.35</f>
        <v>26.35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VLOOKUP($B10,'1910'!$B10:$N29,12,0)</f>
        <v>9.15</v>
      </c>
      <c r="F10" s="11"/>
      <c r="G10" s="10"/>
      <c r="H10" s="10">
        <v>1.35</v>
      </c>
      <c r="I10" s="11"/>
      <c r="J10" s="10"/>
      <c r="K10" s="10"/>
      <c r="L10" s="14">
        <f>D10+E10-SUM(F10:K10)</f>
        <v>7.8000000000000007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VLOOKUP($B11,'1910'!$B11:$N30,12,0)</f>
        <v>30.9</v>
      </c>
      <c r="E11" s="10"/>
      <c r="F11" s="11"/>
      <c r="G11" s="10">
        <v>5</v>
      </c>
      <c r="H11" s="10">
        <v>3.9</v>
      </c>
      <c r="I11" s="11">
        <v>3</v>
      </c>
      <c r="J11" s="10"/>
      <c r="K11" s="10"/>
      <c r="L11" s="21">
        <f>D11+E11-SUM(F11:K11)</f>
        <v>19</v>
      </c>
      <c r="M11" s="13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VLOOKUP($B12,'1910'!$B12:$N31,12,0)</f>
        <v>13.45</v>
      </c>
      <c r="E12" s="10">
        <v>14.15</v>
      </c>
      <c r="F12" s="11"/>
      <c r="G12" s="10">
        <v>1.45</v>
      </c>
      <c r="H12" s="10"/>
      <c r="I12" s="11"/>
      <c r="J12" s="10">
        <v>6</v>
      </c>
      <c r="K12" s="10"/>
      <c r="L12" s="14">
        <f t="shared" ref="L12:L22" si="1">D12+E12-SUM(F12:K12)</f>
        <v>20.150000000000002</v>
      </c>
      <c r="M12" s="13">
        <f>6+14.15</f>
        <v>20.149999999999999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VLOOKUP($B14,'1910'!$B14:$N33,12,0)</f>
        <v>15.28</v>
      </c>
      <c r="E14" s="10"/>
      <c r="F14" s="11">
        <v>2</v>
      </c>
      <c r="G14" s="10">
        <v>1</v>
      </c>
      <c r="H14" s="10"/>
      <c r="I14" s="11"/>
      <c r="J14" s="10"/>
      <c r="K14" s="10"/>
      <c r="L14" s="14">
        <f t="shared" si="1"/>
        <v>12.28</v>
      </c>
      <c r="M14" s="13">
        <f>9.5+2.78</f>
        <v>12.28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VLOOKUP($B15,'1910'!$B15:$N34,12,0)</f>
        <v>13.1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11.6</v>
      </c>
      <c r="M15" s="13">
        <f>5+5.1+1.5</f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VLOOKUP($B16,'1910'!$B16:$N35,12,0)</f>
        <v>33.049999999999997</v>
      </c>
      <c r="E16" s="10"/>
      <c r="F16" s="11"/>
      <c r="G16" s="10">
        <v>4</v>
      </c>
      <c r="H16" s="10">
        <v>2</v>
      </c>
      <c r="I16" s="10">
        <v>1</v>
      </c>
      <c r="J16" s="10"/>
      <c r="K16" s="10"/>
      <c r="L16" s="14">
        <f t="shared" si="1"/>
        <v>26.049999999999997</v>
      </c>
      <c r="M16" s="13">
        <f>25.55+0.5</f>
        <v>26.05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VLOOKUP($B18,'1910'!$B18:$N37,12,0)</f>
        <v>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VLOOKUP($B20,'1910'!$B20:$N39,12,0)</f>
        <v>7.5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6.5</v>
      </c>
      <c r="M20" s="13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VLOOKUP($B21,'1910'!$B21:$N40,12,0)</f>
        <v>5.0999999999999996</v>
      </c>
      <c r="E21" s="12">
        <v>11.25</v>
      </c>
      <c r="F21" s="12"/>
      <c r="G21" s="12"/>
      <c r="H21" s="11">
        <v>2.1</v>
      </c>
      <c r="I21" s="12">
        <v>1.5</v>
      </c>
      <c r="J21" s="12"/>
      <c r="K21" s="12"/>
      <c r="L21" s="14">
        <f t="shared" si="1"/>
        <v>12.750000000000002</v>
      </c>
      <c r="M21" s="13">
        <f>1.5+11.25</f>
        <v>12.75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VLOOKUP($B22,'1910'!$B22:$N41,12,0)</f>
        <v>4.8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3.5999999999999996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91.75</v>
      </c>
      <c r="F27" s="13">
        <f t="shared" si="3"/>
        <v>8</v>
      </c>
      <c r="G27" s="13">
        <f>SUM(G7:G26)</f>
        <v>37.950000000000003</v>
      </c>
      <c r="H27" s="13">
        <f>SUM(H7:H26)</f>
        <v>27.700000000000003</v>
      </c>
      <c r="I27" s="13">
        <f t="shared" si="3"/>
        <v>18.600000000000001</v>
      </c>
      <c r="J27" s="13">
        <f t="shared" si="3"/>
        <v>6</v>
      </c>
      <c r="K27" s="13">
        <f t="shared" si="3"/>
        <v>0</v>
      </c>
      <c r="L27" s="13">
        <f t="shared" si="3"/>
        <v>204.98</v>
      </c>
      <c r="M27" s="13">
        <f t="shared" si="3"/>
        <v>204.98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DATE(2015,10,20)</f>
        <v>42297</v>
      </c>
      <c r="E4" s="36">
        <f>D4+1</f>
        <v>42298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43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VLOOKUP($B7,'2010'!$B7:$N26,12,0)</f>
        <v>52</v>
      </c>
      <c r="E7" s="10">
        <v>60</v>
      </c>
      <c r="F7" s="10">
        <v>4</v>
      </c>
      <c r="G7" s="10">
        <v>24</v>
      </c>
      <c r="H7" s="11">
        <v>8</v>
      </c>
      <c r="I7" s="10">
        <v>12</v>
      </c>
      <c r="J7" s="10">
        <v>4</v>
      </c>
      <c r="K7" s="10"/>
      <c r="L7" s="14">
        <f>D7+E7-SUM(F7:K7)</f>
        <v>60</v>
      </c>
      <c r="M7" s="13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VLOOKUP($B8,'2010'!$B8:$N27,12,0)</f>
        <v>2.7</v>
      </c>
      <c r="E8" s="10">
        <v>7</v>
      </c>
      <c r="F8" s="11"/>
      <c r="G8" s="10"/>
      <c r="H8" s="10">
        <v>0.9</v>
      </c>
      <c r="I8" s="10"/>
      <c r="J8" s="10"/>
      <c r="K8" s="10"/>
      <c r="L8" s="14">
        <f>D8+E8-SUM(F8:K8)</f>
        <v>8.7999999999999989</v>
      </c>
      <c r="M8" s="13">
        <f>1.8+7</f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VLOOKUP($B9,'2010'!$B9:$N28,12,0)</f>
        <v>26.35</v>
      </c>
      <c r="E9" s="10">
        <v>16</v>
      </c>
      <c r="F9" s="11"/>
      <c r="G9" s="10">
        <v>4</v>
      </c>
      <c r="H9" s="10">
        <v>2</v>
      </c>
      <c r="I9" s="10">
        <v>2</v>
      </c>
      <c r="J9" s="10"/>
      <c r="K9" s="10">
        <v>2</v>
      </c>
      <c r="L9" s="14">
        <f>D9+E9-SUM(F9:K9)</f>
        <v>32.35</v>
      </c>
      <c r="M9" s="13">
        <f>16.35+E9</f>
        <v>32.35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VLOOKUP($B10,'2010'!$B10:$N29,12,0)</f>
        <v>7.8</v>
      </c>
      <c r="F10" s="11"/>
      <c r="G10" s="10"/>
      <c r="H10" s="10"/>
      <c r="I10" s="11"/>
      <c r="J10" s="10"/>
      <c r="K10" s="10"/>
      <c r="L10" s="14">
        <f>D10+E10-SUM(F10:K10)</f>
        <v>7.8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VLOOKUP($B11,'2010'!$B11:$N30,12,0)</f>
        <v>19</v>
      </c>
      <c r="E11" s="10"/>
      <c r="F11" s="11"/>
      <c r="G11" s="10">
        <v>2</v>
      </c>
      <c r="H11" s="10">
        <v>2</v>
      </c>
      <c r="I11" s="11">
        <v>2.5</v>
      </c>
      <c r="J11" s="10"/>
      <c r="K11" s="10"/>
      <c r="L11" s="21">
        <f>D11+E11-SUM(F11:K11)</f>
        <v>12.5</v>
      </c>
      <c r="M11" s="13">
        <v>12.5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VLOOKUP($B12,'2010'!$B12:$N31,12,0)</f>
        <v>20.149999999999999</v>
      </c>
      <c r="E12" s="10">
        <v>31.15</v>
      </c>
      <c r="F12" s="11">
        <v>1.1499999999999999</v>
      </c>
      <c r="G12" s="10">
        <v>29.9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18.75</v>
      </c>
      <c r="M12" s="13">
        <v>18.75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VLOOKUP($B13,'2010'!$B13:$N32,12,0)</f>
        <v>0</v>
      </c>
      <c r="E13" s="10">
        <v>3.8</v>
      </c>
      <c r="F13" s="11">
        <v>2.2999999999999998</v>
      </c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VLOOKUP($B14,'2010'!$B14:$N33,12,0)</f>
        <v>12.28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11.78</v>
      </c>
      <c r="M14" s="13">
        <f>9.5+2.28</f>
        <v>11.78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VLOOKUP($B15,'2010'!$B15:$N34,12,0)</f>
        <v>11.6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11.1</v>
      </c>
      <c r="M15" s="13">
        <v>11.1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VLOOKUP($B16,'2010'!$B16:$N35,12,0)</f>
        <v>26.05</v>
      </c>
      <c r="E16" s="10"/>
      <c r="F16" s="11"/>
      <c r="G16" s="10"/>
      <c r="H16" s="10"/>
      <c r="I16" s="10"/>
      <c r="J16" s="10"/>
      <c r="K16" s="10">
        <v>1</v>
      </c>
      <c r="L16" s="14">
        <f t="shared" si="1"/>
        <v>25.05</v>
      </c>
      <c r="M16" s="13">
        <v>25.05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VLOOKUP($B18,'2010'!$B18:$N37,12,0)</f>
        <v>4.2</v>
      </c>
      <c r="E18" s="10"/>
      <c r="F18" s="11"/>
      <c r="G18" s="10">
        <v>1.5</v>
      </c>
      <c r="H18" s="10"/>
      <c r="I18" s="10">
        <v>0.9</v>
      </c>
      <c r="J18" s="10"/>
      <c r="K18" s="10">
        <v>0.9</v>
      </c>
      <c r="L18" s="14">
        <f t="shared" si="1"/>
        <v>0.90000000000000036</v>
      </c>
      <c r="M18" s="13">
        <v>0.9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VLOOKUP($B20,'2010'!$B20:$N39,12,0)</f>
        <v>6.5</v>
      </c>
      <c r="E20" s="12"/>
      <c r="F20" s="12"/>
      <c r="G20" s="12"/>
      <c r="H20" s="11">
        <v>1</v>
      </c>
      <c r="I20" s="12"/>
      <c r="J20" s="12"/>
      <c r="K20" s="12">
        <v>1</v>
      </c>
      <c r="L20" s="14">
        <f t="shared" si="1"/>
        <v>4.5</v>
      </c>
      <c r="M20" s="13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VLOOKUP($B21,'2010'!$B21:$N40,12,0)</f>
        <v>12.75</v>
      </c>
      <c r="E21" s="12"/>
      <c r="F21" s="12"/>
      <c r="G21" s="12"/>
      <c r="H21" s="11">
        <v>0.6</v>
      </c>
      <c r="I21" s="12">
        <v>0.9</v>
      </c>
      <c r="J21" s="12"/>
      <c r="K21" s="12">
        <v>1.05</v>
      </c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VLOOKUP($B22,'2010'!$B22:$N41,12,0)</f>
        <v>3.6</v>
      </c>
      <c r="E22" s="10"/>
      <c r="F22" s="10"/>
      <c r="G22" s="12"/>
      <c r="H22" s="11"/>
      <c r="I22" s="12"/>
      <c r="J22" s="12"/>
      <c r="K22" s="12"/>
      <c r="L22" s="14">
        <f t="shared" si="1"/>
        <v>3.6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117.95</v>
      </c>
      <c r="F27" s="13">
        <f t="shared" si="3"/>
        <v>7.45</v>
      </c>
      <c r="G27" s="13">
        <f>SUM(G7:G26)</f>
        <v>62.4</v>
      </c>
      <c r="H27" s="13">
        <f>SUM(H7:H26)</f>
        <v>15.5</v>
      </c>
      <c r="I27" s="13">
        <f t="shared" si="3"/>
        <v>18.799999999999997</v>
      </c>
      <c r="J27" s="13">
        <f t="shared" si="3"/>
        <v>4</v>
      </c>
      <c r="K27" s="13">
        <f t="shared" si="3"/>
        <v>5.95</v>
      </c>
      <c r="L27" s="13">
        <f t="shared" si="3"/>
        <v>208.82999999999998</v>
      </c>
      <c r="M27" s="13">
        <f t="shared" si="3"/>
        <v>208.82999999999998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DATE(2015,10,21)</f>
        <v>42298</v>
      </c>
      <c r="E4" s="36">
        <f>D4+1</f>
        <v>42299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VLOOKUP($B7,'2110'!$B7:$N26,12,0)</f>
        <v>60</v>
      </c>
      <c r="E7" s="10">
        <v>50</v>
      </c>
      <c r="F7" s="10">
        <v>4</v>
      </c>
      <c r="G7" s="10">
        <v>40</v>
      </c>
      <c r="H7" s="11">
        <v>30</v>
      </c>
      <c r="I7" s="10">
        <v>2</v>
      </c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VLOOKUP($B8,'2110'!$B8:$N27,12,0)</f>
        <v>8.8000000000000007</v>
      </c>
      <c r="E8" s="10"/>
      <c r="F8" s="11"/>
      <c r="G8" s="10">
        <v>3.3</v>
      </c>
      <c r="H8" s="10"/>
      <c r="I8" s="10"/>
      <c r="J8" s="10"/>
      <c r="K8" s="10"/>
      <c r="L8" s="14">
        <f>D8+E8-SUM(F8:K8)</f>
        <v>5.5000000000000009</v>
      </c>
      <c r="M8" s="13">
        <v>5.5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VLOOKUP($B9,'2110'!$B9:$N28,12,0)</f>
        <v>32.35</v>
      </c>
      <c r="E9" s="10">
        <v>17.25</v>
      </c>
      <c r="F9" s="11"/>
      <c r="G9" s="10">
        <v>10</v>
      </c>
      <c r="H9" s="10">
        <v>14.85</v>
      </c>
      <c r="I9" s="10"/>
      <c r="J9" s="10"/>
      <c r="K9" s="10"/>
      <c r="L9" s="14">
        <f>D9+E9-SUM(F9:K9)</f>
        <v>24.75</v>
      </c>
      <c r="M9" s="13">
        <f>7.5+17.25</f>
        <v>24.75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VLOOKUP($B10,'2110'!$B10:$N29,12,0)</f>
        <v>7.8</v>
      </c>
      <c r="F10" s="11"/>
      <c r="G10" s="10">
        <v>2.1</v>
      </c>
      <c r="H10" s="10"/>
      <c r="I10" s="11"/>
      <c r="J10" s="10"/>
      <c r="K10" s="10"/>
      <c r="L10" s="14">
        <f>D10+E10-SUM(F10:K10)</f>
        <v>5.6999999999999993</v>
      </c>
      <c r="M10" s="13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VLOOKUP($B11,'2110'!$B11:$N30,12,0)</f>
        <v>12.5</v>
      </c>
      <c r="E11" s="10">
        <v>24.25</v>
      </c>
      <c r="F11" s="11"/>
      <c r="G11" s="10">
        <v>5</v>
      </c>
      <c r="H11" s="10">
        <v>10</v>
      </c>
      <c r="I11" s="11"/>
      <c r="J11" s="10"/>
      <c r="K11" s="10"/>
      <c r="L11" s="21">
        <f>D11+E11-SUM(F11:K11)</f>
        <v>21.75</v>
      </c>
      <c r="M11" s="13">
        <v>21.75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VLOOKUP($B12,'2110'!$B12:$N31,12,0)</f>
        <v>18.75</v>
      </c>
      <c r="E12" s="10"/>
      <c r="F12" s="11"/>
      <c r="G12" s="10">
        <v>3</v>
      </c>
      <c r="H12" s="10">
        <v>2.75</v>
      </c>
      <c r="I12" s="11"/>
      <c r="J12" s="10"/>
      <c r="K12" s="10"/>
      <c r="L12" s="14">
        <f t="shared" ref="L12:L22" si="1">D12+E12-SUM(F12:K12)</f>
        <v>13</v>
      </c>
      <c r="M12" s="13">
        <v>13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VLOOKUP($B14,'2110'!$B14:$N33,12,0)</f>
        <v>11.78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9.7799999999999994</v>
      </c>
      <c r="M14" s="13">
        <f>9.5+0.28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VLOOKUP($B15,'2110'!$B15:$N34,12,0)</f>
        <v>11.1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8.1</v>
      </c>
      <c r="M15" s="13">
        <v>8.1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VLOOKUP($B16,'2110'!$B16:$N35,12,0)</f>
        <v>25.05</v>
      </c>
      <c r="E16" s="10"/>
      <c r="F16" s="11"/>
      <c r="G16" s="10">
        <v>3.05</v>
      </c>
      <c r="H16" s="10"/>
      <c r="I16" s="10"/>
      <c r="J16" s="10"/>
      <c r="K16" s="10"/>
      <c r="L16" s="14">
        <f t="shared" si="1"/>
        <v>22</v>
      </c>
      <c r="M16" s="13">
        <v>22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VLOOKUP($B18,'2110'!$B18:$N37,12,0)</f>
        <v>0.9</v>
      </c>
      <c r="E18" s="10">
        <v>10.93</v>
      </c>
      <c r="F18" s="11"/>
      <c r="G18" s="10"/>
      <c r="H18" s="10"/>
      <c r="I18" s="10"/>
      <c r="J18" s="10"/>
      <c r="K18" s="10"/>
      <c r="L18" s="14">
        <f t="shared" si="1"/>
        <v>11.83</v>
      </c>
      <c r="M18" s="13">
        <f>0.9+10.93</f>
        <v>11.83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VLOOKUP($B20,'2110'!$B20:$N39,12,0)</f>
        <v>4.5</v>
      </c>
      <c r="E20" s="12">
        <v>12.6</v>
      </c>
      <c r="F20" s="12"/>
      <c r="G20" s="12"/>
      <c r="H20" s="11">
        <v>4.5</v>
      </c>
      <c r="I20" s="12"/>
      <c r="J20" s="12"/>
      <c r="K20" s="12"/>
      <c r="L20" s="14">
        <f t="shared" si="1"/>
        <v>12.600000000000001</v>
      </c>
      <c r="M20" s="13">
        <v>12.6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VLOOKUP($B21,'2110'!$B21:$N40,12,0)</f>
        <v>10.199999999999999</v>
      </c>
      <c r="E21" s="12"/>
      <c r="F21" s="12"/>
      <c r="G21" s="12">
        <v>3</v>
      </c>
      <c r="H21" s="11">
        <v>1.2</v>
      </c>
      <c r="I21" s="12"/>
      <c r="J21" s="12"/>
      <c r="K21" s="12"/>
      <c r="L21" s="14">
        <f t="shared" si="1"/>
        <v>5.9999999999999991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VLOOKUP($B22,'2110'!$B22:$N41,12,0)</f>
        <v>3.6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0.60000000000000009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115.03</v>
      </c>
      <c r="F27" s="13">
        <f t="shared" si="3"/>
        <v>4</v>
      </c>
      <c r="G27" s="13">
        <f>SUM(G7:G26)</f>
        <v>77.45</v>
      </c>
      <c r="H27" s="13">
        <f>SUM(H7:H26)</f>
        <v>63.300000000000004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177.10999999999999</v>
      </c>
      <c r="M27" s="13">
        <f t="shared" si="3"/>
        <v>177.10999999999999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DATE(2015,10,22)</f>
        <v>42299</v>
      </c>
      <c r="E4" s="36">
        <f>D4+1</f>
        <v>42300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58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VLOOKUP($B7,'2210'!$B7:$N26,12,0)</f>
        <v>34</v>
      </c>
      <c r="E7" s="10">
        <v>20</v>
      </c>
      <c r="F7" s="10">
        <v>6</v>
      </c>
      <c r="G7" s="10">
        <v>28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VLOOKUP($B8,'2210'!$B8:$N27,12,0)</f>
        <v>5.5</v>
      </c>
      <c r="E8" s="10"/>
      <c r="F8" s="11"/>
      <c r="G8" s="10">
        <v>2.2000000000000002</v>
      </c>
      <c r="H8" s="10">
        <v>2.1</v>
      </c>
      <c r="I8" s="10">
        <v>0.9</v>
      </c>
      <c r="J8" s="10"/>
      <c r="K8" s="10"/>
      <c r="L8" s="14">
        <f>D8+E8-SUM(F8:K8)</f>
        <v>0.29999999999999893</v>
      </c>
      <c r="M8" s="13">
        <v>0.3</v>
      </c>
      <c r="N8" s="15">
        <f t="shared" si="0"/>
        <v>1.0547118733938987E-15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VLOOKUP($B9,'2210'!$B9:$N28,12,0)</f>
        <v>24.75</v>
      </c>
      <c r="E9" s="10">
        <v>16.75</v>
      </c>
      <c r="F9" s="11"/>
      <c r="G9" s="10">
        <v>14</v>
      </c>
      <c r="H9" s="10">
        <v>5</v>
      </c>
      <c r="I9" s="10">
        <v>3</v>
      </c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VLOOKUP($B10,'2210'!$B10:$N29,12,0)</f>
        <v>5.7</v>
      </c>
      <c r="E10">
        <v>10.37</v>
      </c>
      <c r="F10" s="11"/>
      <c r="G10" s="10">
        <v>3</v>
      </c>
      <c r="H10" s="10">
        <v>2.4</v>
      </c>
      <c r="I10" s="11">
        <v>3</v>
      </c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VLOOKUP($B11,'2210'!$B11:$N30,12,0)</f>
        <v>21.75</v>
      </c>
      <c r="E11" s="10"/>
      <c r="F11" s="11"/>
      <c r="G11" s="10">
        <v>5</v>
      </c>
      <c r="H11" s="10">
        <v>6</v>
      </c>
      <c r="I11" s="11">
        <v>3</v>
      </c>
      <c r="J11" s="10"/>
      <c r="K11" s="10"/>
      <c r="L11" s="21">
        <f>D11+E11-SUM(F11:K11)</f>
        <v>7.75</v>
      </c>
      <c r="M11" s="13">
        <v>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VLOOKUP($B12,'2210'!$B12:$N31,12,0)</f>
        <v>13</v>
      </c>
      <c r="E12" s="10"/>
      <c r="F12" s="11"/>
      <c r="G12" s="10">
        <v>2</v>
      </c>
      <c r="H12" s="10">
        <v>2</v>
      </c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VLOOKUP($B14,'2210'!$B14:$N33,12,0)</f>
        <v>9.7799999999999994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7.7799999999999994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VLOOKUP($B15,'2210'!$B15:$N34,12,0)</f>
        <v>8.1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VLOOKUP($B16,'2210'!$B16:$N35,12,0)</f>
        <v>22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VLOOKUP($B18,'2210'!$B18:$N37,12,0)</f>
        <v>11.83</v>
      </c>
      <c r="E18" s="10">
        <v>5.6</v>
      </c>
      <c r="F18" s="11"/>
      <c r="G18" s="10">
        <v>3.9</v>
      </c>
      <c r="H18" s="10">
        <v>6</v>
      </c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VLOOKUP($B20,'2210'!$B20:$N39,12,0)</f>
        <v>12.6</v>
      </c>
      <c r="E20" s="12"/>
      <c r="F20" s="12"/>
      <c r="G20" s="12">
        <v>4.0999999999999996</v>
      </c>
      <c r="H20" s="11"/>
      <c r="I20" s="12">
        <v>1</v>
      </c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VLOOKUP($B21,'2210'!$B21:$N40,12,0)</f>
        <v>6</v>
      </c>
      <c r="E21" s="12"/>
      <c r="F21" s="12"/>
      <c r="G21" s="12">
        <v>3.9</v>
      </c>
      <c r="H21" s="11">
        <v>2.1</v>
      </c>
      <c r="I21" s="12"/>
      <c r="J21" s="12"/>
      <c r="K21" s="12"/>
      <c r="L21" s="14">
        <f t="shared" si="1"/>
        <v>0</v>
      </c>
      <c r="M21" s="13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52.72</v>
      </c>
      <c r="F27" s="13">
        <f t="shared" si="3"/>
        <v>6</v>
      </c>
      <c r="G27" s="13">
        <f>SUM(G7:G26)</f>
        <v>75.100000000000009</v>
      </c>
      <c r="H27" s="13">
        <f>SUM(H7:H26)</f>
        <v>25.6</v>
      </c>
      <c r="I27" s="13">
        <f t="shared" si="3"/>
        <v>10.9</v>
      </c>
      <c r="J27" s="13">
        <f t="shared" si="3"/>
        <v>0</v>
      </c>
      <c r="K27" s="13">
        <f t="shared" si="3"/>
        <v>0</v>
      </c>
      <c r="L27" s="13">
        <f t="shared" si="3"/>
        <v>112.22999999999999</v>
      </c>
      <c r="M27" s="13">
        <f t="shared" si="3"/>
        <v>112.22999999999999</v>
      </c>
      <c r="N27" s="13">
        <f t="shared" si="3"/>
        <v>1.0547118733938987E-15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DATE(2015,10,23)</f>
        <v>42300</v>
      </c>
      <c r="E4" s="36">
        <f>D4+1</f>
        <v>42301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VLOOKUP($B7,'2310'!$B7:$N26,12,0)</f>
        <v>20</v>
      </c>
      <c r="E7" s="10">
        <v>20</v>
      </c>
      <c r="F7" s="10">
        <v>6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VLOOKUP($B8,'2310'!$B8:$N27,12,0)</f>
        <v>0.3</v>
      </c>
      <c r="E8" s="10">
        <v>8.6</v>
      </c>
      <c r="F8" s="11"/>
      <c r="G8" s="10">
        <v>1.8</v>
      </c>
      <c r="H8" s="10"/>
      <c r="I8" s="10"/>
      <c r="J8" s="10"/>
      <c r="K8" s="10"/>
      <c r="L8" s="14">
        <f>D8+E8-SUM(F8:K8)</f>
        <v>7.1000000000000005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VLOOKUP($B11,'2310'!$B11:$N30,12,0)</f>
        <v>7.75</v>
      </c>
      <c r="E11" s="10">
        <v>23.95</v>
      </c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f>7.75+23.95</f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VLOOKUP($B12,'2310'!$B12:$N31,12,0)</f>
        <v>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VLOOKUP($B15,'2310'!$B15:$N34,12,0)</f>
        <v>5.0999999999999996</v>
      </c>
      <c r="E15" s="10"/>
      <c r="F15" s="11"/>
      <c r="G15" s="10"/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f>D20</f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VLOOKUP($B21,'2310'!$B21:$N40,12,0)</f>
        <v>0</v>
      </c>
      <c r="E21" s="12">
        <v>10.199999999999999</v>
      </c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62.75</v>
      </c>
      <c r="F27" s="13">
        <f t="shared" si="3"/>
        <v>6</v>
      </c>
      <c r="G27" s="13">
        <f>SUM(G7:G26)</f>
        <v>1.8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167.17999999999998</v>
      </c>
      <c r="M27" s="13">
        <f t="shared" si="3"/>
        <v>167.17999999999998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DATE(2015,10,24)</f>
        <v>42301</v>
      </c>
      <c r="E4" s="36">
        <f>D4+1</f>
        <v>42302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VLOOKUP($B7,'2410'!$B7:$N26,12,0)</f>
        <v>34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VLOOKUP($B11,'2410'!$B11:$N30,12,0)</f>
        <v>31.7</v>
      </c>
      <c r="E11" s="10"/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VLOOKUP($B12,'2410'!$B12:$N31,12,0)</f>
        <v>9</v>
      </c>
      <c r="E12" s="10">
        <v>20.7</v>
      </c>
      <c r="F12" s="11"/>
      <c r="G12" s="10"/>
      <c r="H12" s="10"/>
      <c r="I12" s="11"/>
      <c r="J12" s="10"/>
      <c r="K12" s="10"/>
      <c r="L12" s="14">
        <f t="shared" ref="L12:L22" si="1">D12+E12-SUM(F12:K12)</f>
        <v>29.7</v>
      </c>
      <c r="M12" s="13">
        <v>29.7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VLOOKUP($B15,'2410'!$B15:$N34,12,0)</f>
        <v>5.0999999999999996</v>
      </c>
      <c r="E15" s="10">
        <v>10.4</v>
      </c>
      <c r="F15" s="11"/>
      <c r="G15" s="10"/>
      <c r="H15" s="10"/>
      <c r="I15" s="10"/>
      <c r="J15" s="10"/>
      <c r="K15" s="10"/>
      <c r="L15" s="14">
        <f t="shared" si="1"/>
        <v>15.5</v>
      </c>
      <c r="M15" s="13">
        <v>15.5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v>7.53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VLOOKUP($B22,'2410'!$B22:$N41,12,0)</f>
        <v>0.6</v>
      </c>
      <c r="E22" s="10">
        <v>5.25</v>
      </c>
      <c r="F22" s="10"/>
      <c r="G22" s="12"/>
      <c r="H22" s="11"/>
      <c r="I22" s="12"/>
      <c r="J22" s="12"/>
      <c r="K22" s="12"/>
      <c r="L22" s="14">
        <f t="shared" si="1"/>
        <v>5.85</v>
      </c>
      <c r="M22" s="13">
        <v>5.85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56.35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219.52999999999997</v>
      </c>
      <c r="M27" s="13">
        <f t="shared" si="3"/>
        <v>219.52999999999997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DATE(2015,10,25)</f>
        <v>42302</v>
      </c>
      <c r="E4" s="36">
        <f>D4+1</f>
        <v>42303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VLOOKUP($B7,'2510'!$B7:$N26,12,0)</f>
        <v>50</v>
      </c>
      <c r="E7" s="10">
        <v>40</v>
      </c>
      <c r="F7" s="10">
        <v>18</v>
      </c>
      <c r="G7" s="10">
        <v>4</v>
      </c>
      <c r="H7" s="11"/>
      <c r="I7" s="10"/>
      <c r="J7" s="10"/>
      <c r="K7" s="10"/>
      <c r="L7" s="14">
        <f>D7+E7-SUM(F7:K7)</f>
        <v>68</v>
      </c>
      <c r="M7" s="13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VLOOKUP($B9,'2510'!$B9:$N28,12,0)</f>
        <v>19.5</v>
      </c>
      <c r="E9" s="10">
        <v>16.3</v>
      </c>
      <c r="F9" s="11">
        <v>5.0999999999999996</v>
      </c>
      <c r="G9" s="10">
        <v>3.4</v>
      </c>
      <c r="H9" s="10"/>
      <c r="I9" s="10"/>
      <c r="J9" s="10"/>
      <c r="K9" s="10"/>
      <c r="L9" s="14">
        <f>D9+E9-SUM(F9:K9)</f>
        <v>27.299999999999997</v>
      </c>
      <c r="M9" s="13">
        <f>11+16.3</f>
        <v>27.3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VLOOKUP($B11,'2510'!$B11:$N30,12,0)</f>
        <v>31.7</v>
      </c>
      <c r="E11" s="10"/>
      <c r="F11" s="11">
        <v>6.25</v>
      </c>
      <c r="G11" s="10">
        <v>3.5</v>
      </c>
      <c r="H11" s="10"/>
      <c r="I11" s="11"/>
      <c r="J11" s="10"/>
      <c r="K11" s="10"/>
      <c r="L11" s="21">
        <f>D11+E11-SUM(F11:K11)</f>
        <v>21.95</v>
      </c>
      <c r="M11" s="13">
        <v>21.95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VLOOKUP($B12,'2510'!$B12:$N31,12,0)</f>
        <v>29.7</v>
      </c>
      <c r="E12" s="10">
        <v>20.85</v>
      </c>
      <c r="F12" s="11">
        <v>5.5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VLOOKUP($B13,'2510'!$B13:$N32,12,0)</f>
        <v>1.5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f>1.5+1</f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VLOOKUP($B14,'2510'!$B14:$N33,12,0)</f>
        <v>7.78</v>
      </c>
      <c r="E14" s="10">
        <v>8.35</v>
      </c>
      <c r="F14" s="11">
        <v>0.78</v>
      </c>
      <c r="G14" s="10">
        <v>2</v>
      </c>
      <c r="H14" s="10"/>
      <c r="I14" s="11"/>
      <c r="J14" s="10"/>
      <c r="K14" s="10"/>
      <c r="L14" s="14">
        <f t="shared" si="1"/>
        <v>13.349999999999998</v>
      </c>
      <c r="M14" s="13"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VLOOKUP($B15,'2510'!$B15:$N34,12,0)</f>
        <v>15.5</v>
      </c>
      <c r="E15" s="10"/>
      <c r="F15" s="11">
        <v>5.0999999999999996</v>
      </c>
      <c r="G15" s="10">
        <v>1.5</v>
      </c>
      <c r="H15" s="10"/>
      <c r="I15" s="10"/>
      <c r="J15" s="10"/>
      <c r="K15" s="10"/>
      <c r="L15" s="14">
        <f t="shared" si="1"/>
        <v>8.9</v>
      </c>
      <c r="M15" s="13"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VLOOKUP($B16,'2510'!$B16:$N35,12,0)</f>
        <v>18</v>
      </c>
      <c r="E16" s="10"/>
      <c r="F16" s="11">
        <v>0.5</v>
      </c>
      <c r="G16" s="10">
        <v>5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VLOOKUP($B18,'2510'!$B18:$N37,12,0)</f>
        <v>7.53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6.9300000000000006</v>
      </c>
      <c r="M18" s="13"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VLOOKUP($B22,'2510'!$B22:$N41,12,0)</f>
        <v>5.85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4.6499999999999995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86.5</v>
      </c>
      <c r="F27" s="13">
        <f t="shared" si="3"/>
        <v>41.230000000000004</v>
      </c>
      <c r="G27" s="13">
        <f>SUM(G7:G26)</f>
        <v>21.7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243.1</v>
      </c>
      <c r="M27" s="13">
        <f t="shared" si="3"/>
        <v>243.1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DATE(2015,4,20)</f>
        <v>42114</v>
      </c>
      <c r="E4" s="36">
        <f>D4+1</f>
        <v>42115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VLOOKUP($B7,'2004'!$B7:$N26,12,0)</f>
        <v>56</v>
      </c>
      <c r="E7" s="10"/>
      <c r="F7" s="10">
        <v>12</v>
      </c>
      <c r="G7" s="10">
        <v>6</v>
      </c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VLOOKUP($B9,'2004'!$B9:$N28,12,0)</f>
        <v>5.0999999999999996</v>
      </c>
      <c r="E9" s="10">
        <f>15+3.9</f>
        <v>18.899999999999999</v>
      </c>
      <c r="F9" s="11">
        <v>5</v>
      </c>
      <c r="G9" s="10">
        <v>1</v>
      </c>
      <c r="H9" s="10"/>
      <c r="I9" s="10"/>
      <c r="J9" s="10"/>
      <c r="K9" s="10"/>
      <c r="L9" s="14">
        <f t="shared" si="1"/>
        <v>18</v>
      </c>
      <c r="M9" s="10">
        <v>18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VLOOKUP($B10,'2004'!$B10:$N29,12,0)</f>
        <v>3</v>
      </c>
      <c r="E10">
        <f>9+1.5</f>
        <v>10.5</v>
      </c>
      <c r="F10" s="11">
        <v>0.9</v>
      </c>
      <c r="G10" s="10">
        <v>0.6</v>
      </c>
      <c r="H10" s="10"/>
      <c r="I10" s="11"/>
      <c r="J10" s="10"/>
      <c r="K10" s="10"/>
      <c r="L10" s="14">
        <f t="shared" si="1"/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VLOOKUP($B11,'2004'!$B11:$N30,12,0)</f>
        <v>10.5</v>
      </c>
      <c r="E11" s="10"/>
      <c r="F11" s="11">
        <v>3.5</v>
      </c>
      <c r="G11" s="10">
        <v>3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VLOOKUP($B12,'2004'!$B12:$N31,12,0)</f>
        <v>11.35</v>
      </c>
      <c r="E12" s="10"/>
      <c r="F12" s="11"/>
      <c r="G12" s="10"/>
      <c r="H12" s="10"/>
      <c r="I12" s="11"/>
      <c r="J12" s="10"/>
      <c r="K12" s="10"/>
      <c r="L12" s="14">
        <f t="shared" si="1"/>
        <v>11.35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VLOOKUP($B13,'2004'!$B13:$N32,12,0)</f>
        <v>3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VLOOKUP($B14,'2004'!$B14:$N33,12,0)</f>
        <v>18.100000000000001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VLOOKUP($B15,'2004'!$B15:$N34,12,0)</f>
        <v>16.899999999999999</v>
      </c>
      <c r="E15" s="10"/>
      <c r="F15" s="11">
        <v>1</v>
      </c>
      <c r="G15" s="10">
        <v>2</v>
      </c>
      <c r="H15" s="10"/>
      <c r="I15" s="10"/>
      <c r="J15" s="10"/>
      <c r="K15" s="10"/>
      <c r="L15" s="14">
        <f t="shared" si="1"/>
        <v>13.899999999999999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VLOOKUP($B16,'2004'!$B16:$N35,12,0)</f>
        <v>22.5</v>
      </c>
      <c r="E16" s="10"/>
      <c r="F16" s="11">
        <v>1</v>
      </c>
      <c r="G16" s="10">
        <v>3</v>
      </c>
      <c r="H16" s="10"/>
      <c r="I16" s="10"/>
      <c r="J16" s="10"/>
      <c r="K16" s="10"/>
      <c r="L16" s="14">
        <f t="shared" si="1"/>
        <v>18.5</v>
      </c>
      <c r="M16" s="10">
        <v>18.5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VLOOKUP($B18,'2004'!$B18:$N37,12,0)</f>
        <v>13.4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12.8</v>
      </c>
      <c r="M18" s="10">
        <v>12.8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VLOOKUP($B20,'2004'!$B20:$N39,12,0)</f>
        <v>13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VLOOKUP($B21,'2004'!$B21:$N40,12,0)</f>
        <v>0</v>
      </c>
      <c r="E21" s="12">
        <v>10.5</v>
      </c>
      <c r="F21" s="12">
        <v>1.2</v>
      </c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VLOOKUP($B22,'2004'!$B22:$N41,12,0)</f>
        <v>5.7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188.25</v>
      </c>
      <c r="E27" s="13">
        <f t="shared" si="2"/>
        <v>39.9</v>
      </c>
      <c r="F27" s="13">
        <f t="shared" si="2"/>
        <v>28.599999999999998</v>
      </c>
      <c r="G27" s="13">
        <f t="shared" si="2"/>
        <v>18.400000000000002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181.15000000000003</v>
      </c>
      <c r="M27" s="13">
        <f t="shared" si="2"/>
        <v>181.15000000000003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3" priority="1" stopIfTrue="1" operator="lessThan">
      <formula>0</formula>
    </cfRule>
  </conditionalFormatting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DATE(2015,10,26)</f>
        <v>42303</v>
      </c>
      <c r="E4" s="36">
        <f>D4+1</f>
        <v>42304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54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VLOOKUP($B7,'2610'!$B7:$N26,12,0)</f>
        <v>68</v>
      </c>
      <c r="E7" s="10">
        <v>30</v>
      </c>
      <c r="F7" s="10"/>
      <c r="G7" s="10">
        <v>2</v>
      </c>
      <c r="H7" s="11">
        <v>12</v>
      </c>
      <c r="I7" s="10">
        <v>14</v>
      </c>
      <c r="J7" s="10"/>
      <c r="K7" s="10"/>
      <c r="L7" s="14">
        <f>D7+E7-SUM(F7:K7)</f>
        <v>70</v>
      </c>
      <c r="M7" s="13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VLOOKUP($B8,'2610'!$B8:$N27,12,0)</f>
        <v>7.1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5.8999999999999995</v>
      </c>
      <c r="M8" s="13">
        <f>3.2+2.7</f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VLOOKUP($B9,'2610'!$B9:$N28,12,0)</f>
        <v>27.3</v>
      </c>
      <c r="E9" s="10"/>
      <c r="F9" s="11"/>
      <c r="G9" s="10"/>
      <c r="H9" s="10">
        <v>3</v>
      </c>
      <c r="I9" s="10">
        <v>2</v>
      </c>
      <c r="J9" s="10"/>
      <c r="K9" s="10"/>
      <c r="L9" s="14">
        <f>D9+E9-SUM(F9:K9)</f>
        <v>22.3</v>
      </c>
      <c r="M9" s="13">
        <f>16.3+6</f>
        <v>22.3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VLOOKUP($B10,'2610'!$B10:$N29,12,0)</f>
        <v>7.67</v>
      </c>
      <c r="F10" s="11"/>
      <c r="G10" s="10"/>
      <c r="H10" s="10">
        <v>1.2</v>
      </c>
      <c r="I10" s="11">
        <v>0.9</v>
      </c>
      <c r="J10" s="10"/>
      <c r="K10" s="10"/>
      <c r="L10" s="14">
        <f>D10+E10-SUM(F10:K10)</f>
        <v>5.57</v>
      </c>
      <c r="M10" s="13">
        <v>5.57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VLOOKUP($B11,'2610'!$B11:$N30,12,0)</f>
        <v>21.95</v>
      </c>
      <c r="E11" s="10">
        <v>25</v>
      </c>
      <c r="F11" s="11"/>
      <c r="G11" s="10"/>
      <c r="H11" s="10">
        <v>1.95</v>
      </c>
      <c r="I11" s="11">
        <v>5</v>
      </c>
      <c r="J11" s="10"/>
      <c r="K11" s="10"/>
      <c r="L11" s="21">
        <f>D11+E11-SUM(F11:K11)</f>
        <v>40</v>
      </c>
      <c r="M11" s="13">
        <f>15+E11</f>
        <v>40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VLOOKUP($B12,'2610'!$B12:$N31,12,0)</f>
        <v>44.55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VLOOKUP($B15,'2610'!$B15:$N34,12,0)</f>
        <v>8.9</v>
      </c>
      <c r="E15" s="10"/>
      <c r="F15" s="11"/>
      <c r="G15" s="10"/>
      <c r="H15" s="10"/>
      <c r="I15" s="10"/>
      <c r="J15" s="10"/>
      <c r="K15" s="10"/>
      <c r="L15" s="14">
        <f t="shared" si="1"/>
        <v>8.9</v>
      </c>
      <c r="M15" s="13">
        <f>3.5+5.4</f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VLOOKUP($B16,'2610'!$B16:$N35,12,0)</f>
        <v>12.5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VLOOKUP($B18,'2610'!$B18:$N37,12,0)</f>
        <v>6.93</v>
      </c>
      <c r="E18" s="10"/>
      <c r="F18" s="11"/>
      <c r="G18" s="10"/>
      <c r="H18" s="10"/>
      <c r="I18" s="10"/>
      <c r="J18" s="10"/>
      <c r="K18" s="10"/>
      <c r="L18" s="14">
        <f t="shared" si="1"/>
        <v>6.93</v>
      </c>
      <c r="M18" s="13">
        <f>5.6+1.33</f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VLOOKUP($B20,'2610'!$B20:$N39,12,0)</f>
        <v>7.5</v>
      </c>
      <c r="E20" s="12">
        <v>12.7</v>
      </c>
      <c r="F20" s="12"/>
      <c r="G20" s="12"/>
      <c r="H20" s="11">
        <v>2</v>
      </c>
      <c r="I20" s="12"/>
      <c r="J20" s="12"/>
      <c r="K20" s="12"/>
      <c r="L20" s="14">
        <f t="shared" si="1"/>
        <v>18.2</v>
      </c>
      <c r="M20" s="13">
        <f>5.5+E20</f>
        <v>18.2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VLOOKUP($B21,'2610'!$B21:$N40,12,0)</f>
        <v>10.199999999999999</v>
      </c>
      <c r="E21" s="12"/>
      <c r="F21" s="12"/>
      <c r="G21" s="12"/>
      <c r="H21" s="11">
        <v>1.8</v>
      </c>
      <c r="I21" s="12">
        <v>2.1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67.7</v>
      </c>
      <c r="F27" s="13">
        <f t="shared" si="3"/>
        <v>0</v>
      </c>
      <c r="G27" s="13">
        <f>SUM(G7:G26)</f>
        <v>2</v>
      </c>
      <c r="H27" s="13">
        <f>SUM(H7:H26)</f>
        <v>24.15</v>
      </c>
      <c r="I27" s="13">
        <f t="shared" si="3"/>
        <v>24</v>
      </c>
      <c r="J27" s="13">
        <f t="shared" si="3"/>
        <v>0</v>
      </c>
      <c r="K27" s="13">
        <f t="shared" si="3"/>
        <v>0</v>
      </c>
      <c r="L27" s="13">
        <f t="shared" si="3"/>
        <v>260.64999999999998</v>
      </c>
      <c r="M27" s="13">
        <f t="shared" si="3"/>
        <v>260.64999999999998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DATE(2015,10,27)</f>
        <v>42304</v>
      </c>
      <c r="E4" s="36">
        <f>D4+1</f>
        <v>42305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VLOOKUP($B7,'2710'!$B7:$N26,12,0)</f>
        <v>70</v>
      </c>
      <c r="E7" s="10">
        <v>40</v>
      </c>
      <c r="F7" s="10">
        <v>6</v>
      </c>
      <c r="G7" s="10">
        <v>24</v>
      </c>
      <c r="H7" s="11">
        <v>10</v>
      </c>
      <c r="I7" s="10">
        <v>8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VLOOKUP($B8,'2710'!$B8:$N27,12,0)</f>
        <v>5.9</v>
      </c>
      <c r="E8" s="10"/>
      <c r="F8" s="11"/>
      <c r="G8" s="10"/>
      <c r="H8" s="10"/>
      <c r="I8" s="10">
        <v>0.6</v>
      </c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VLOOKUP($B9,'2710'!$B9:$N28,12,0)</f>
        <v>22.3</v>
      </c>
      <c r="E9" s="10">
        <v>15</v>
      </c>
      <c r="F9" s="11"/>
      <c r="G9" s="10">
        <v>1</v>
      </c>
      <c r="H9" s="10">
        <v>3</v>
      </c>
      <c r="I9" s="10">
        <v>2.2999999999999998</v>
      </c>
      <c r="J9" s="10"/>
      <c r="K9" s="10"/>
      <c r="L9" s="14">
        <f>D9+E9-SUM(F9:K9)</f>
        <v>30.999999999999996</v>
      </c>
      <c r="M9" s="13">
        <f>16+15</f>
        <v>31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VLOOKUP($B10,'2710'!$B10:$N29,12,0)</f>
        <v>5.57</v>
      </c>
      <c r="E10">
        <f>9+1.35</f>
        <v>10.35</v>
      </c>
      <c r="F10" s="11"/>
      <c r="G10" s="10"/>
      <c r="H10" s="10"/>
      <c r="I10" s="11">
        <v>1.2</v>
      </c>
      <c r="J10" s="10"/>
      <c r="K10" s="10"/>
      <c r="L10" s="14">
        <f>D10+E10-SUM(F10:K10)</f>
        <v>14.72</v>
      </c>
      <c r="M10" s="13">
        <f>4.37+10.35</f>
        <v>14.719999999999999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VLOOKUP($B11,'2710'!$B11:$N30,12,0)</f>
        <v>40</v>
      </c>
      <c r="E11" s="10"/>
      <c r="F11" s="11"/>
      <c r="G11" s="10">
        <v>3</v>
      </c>
      <c r="H11" s="10">
        <v>1</v>
      </c>
      <c r="I11" s="11">
        <v>1</v>
      </c>
      <c r="J11" s="10"/>
      <c r="K11" s="10"/>
      <c r="L11" s="21">
        <f>D11+E11-SUM(F11:K11)</f>
        <v>35</v>
      </c>
      <c r="M11" s="13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VLOOKUP($B12,'2710'!$B12:$N31,12,0)</f>
        <v>44.55</v>
      </c>
      <c r="E12" s="10"/>
      <c r="F12" s="11"/>
      <c r="G12" s="10">
        <v>10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33.049999999999997</v>
      </c>
      <c r="M12" s="13">
        <f>20.85+11.5+0.7</f>
        <v>33.050000000000004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VLOOKUP($B15,'2710'!$B15:$N34,12,0)</f>
        <v>8.9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7.4</v>
      </c>
      <c r="M15" s="13">
        <v>7.4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VLOOKUP($B16,'2710'!$B16:$N35,12,0)</f>
        <v>11.5</v>
      </c>
      <c r="E16" s="10"/>
      <c r="F16" s="11"/>
      <c r="G16" s="10"/>
      <c r="H16" s="10"/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VLOOKUP($B18,'2710'!$B18:$N37,12,0)</f>
        <v>6.93</v>
      </c>
      <c r="E18" s="10"/>
      <c r="F18" s="11"/>
      <c r="G18" s="10"/>
      <c r="H18" s="10">
        <v>0.9</v>
      </c>
      <c r="I18" s="10"/>
      <c r="J18" s="10"/>
      <c r="K18" s="10"/>
      <c r="L18" s="14">
        <f t="shared" si="1"/>
        <v>6.0299999999999994</v>
      </c>
      <c r="M18" s="13">
        <f>5.6+0.43</f>
        <v>6.0299999999999994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VLOOKUP($B20,'2710'!$B20:$N39,12,0)</f>
        <v>18.2</v>
      </c>
      <c r="E20" s="12"/>
      <c r="F20" s="12"/>
      <c r="G20" s="12"/>
      <c r="H20" s="11"/>
      <c r="I20" s="12">
        <v>0.5</v>
      </c>
      <c r="J20" s="12"/>
      <c r="K20" s="12"/>
      <c r="L20" s="14">
        <f t="shared" si="1"/>
        <v>17.7</v>
      </c>
      <c r="M20" s="13">
        <f>5+12.7</f>
        <v>17.7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VLOOKUP($B21,'2710'!$B21:$N40,12,0)</f>
        <v>6.3</v>
      </c>
      <c r="E21" s="12">
        <v>9.9</v>
      </c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14.399999999999999</v>
      </c>
      <c r="M21" s="13">
        <f>4.5+9.9</f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75.25</v>
      </c>
      <c r="F27" s="13">
        <f t="shared" si="3"/>
        <v>6</v>
      </c>
      <c r="G27" s="13">
        <f>SUM(G7:G26)</f>
        <v>39.5</v>
      </c>
      <c r="H27" s="13">
        <f>SUM(H7:H26)</f>
        <v>16.3</v>
      </c>
      <c r="I27" s="13">
        <f t="shared" si="3"/>
        <v>15.499999999999998</v>
      </c>
      <c r="J27" s="13">
        <f t="shared" si="3"/>
        <v>0</v>
      </c>
      <c r="K27" s="13">
        <f t="shared" si="3"/>
        <v>0</v>
      </c>
      <c r="L27" s="13">
        <f t="shared" si="3"/>
        <v>258.59999999999997</v>
      </c>
      <c r="M27" s="13">
        <f t="shared" si="3"/>
        <v>258.59999999999997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DATE(2015,10,28)</f>
        <v>42305</v>
      </c>
      <c r="E4" s="36">
        <f>D4+1</f>
        <v>42306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VLOOKUP($B7,'2810'!$B7:$N26,12,0)</f>
        <v>62</v>
      </c>
      <c r="E7" s="10">
        <v>50</v>
      </c>
      <c r="F7" s="10">
        <v>16</v>
      </c>
      <c r="G7" s="10">
        <v>18</v>
      </c>
      <c r="H7" s="11">
        <v>40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VLOOKUP($B8,'2810'!$B8:$N27,12,0)</f>
        <v>5.3000000000000007</v>
      </c>
      <c r="E8" s="10"/>
      <c r="F8" s="11"/>
      <c r="G8" s="10"/>
      <c r="H8" s="10"/>
      <c r="I8" s="10"/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VLOOKUP($B9,'2810'!$B9:$N28,12,0)</f>
        <v>31</v>
      </c>
      <c r="E9" s="10">
        <v>16.5</v>
      </c>
      <c r="F9" s="11"/>
      <c r="G9" s="10">
        <v>11</v>
      </c>
      <c r="H9" s="10">
        <v>5</v>
      </c>
      <c r="I9" s="10"/>
      <c r="J9" s="10"/>
      <c r="K9" s="10"/>
      <c r="L9" s="14">
        <f>D9+E9-SUM(F9:K9)</f>
        <v>31.5</v>
      </c>
      <c r="M9" s="13">
        <f>15+16.5</f>
        <v>31.5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VLOOKUP($B10,'2810'!$B10:$N29,12,0)</f>
        <v>14.719999999999999</v>
      </c>
      <c r="F10" s="11"/>
      <c r="G10" s="10">
        <v>1.5</v>
      </c>
      <c r="H10" s="10">
        <v>1.67</v>
      </c>
      <c r="I10" s="11"/>
      <c r="J10" s="10"/>
      <c r="K10" s="10"/>
      <c r="L10" s="14">
        <f>D10+E10-SUM(F10:K10)</f>
        <v>11.549999999999999</v>
      </c>
      <c r="M10" s="13">
        <f>1.2+10.35</f>
        <v>11.549999999999999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VLOOKUP($B11,'2810'!$B11:$N30,12,0)</f>
        <v>35</v>
      </c>
      <c r="E11" s="10">
        <v>24.8</v>
      </c>
      <c r="F11" s="11">
        <v>3</v>
      </c>
      <c r="G11" s="10">
        <v>9</v>
      </c>
      <c r="H11" s="10">
        <v>15</v>
      </c>
      <c r="I11" s="11"/>
      <c r="J11" s="10"/>
      <c r="K11" s="10"/>
      <c r="L11" s="21">
        <f>D11+E11-SUM(F11:K11)</f>
        <v>32.799999999999997</v>
      </c>
      <c r="M11" s="13">
        <f>8+24.8</f>
        <v>32.799999999999997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VLOOKUP($B12,'2810'!$B12:$N31,12,0)</f>
        <v>33.050000000000004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26.050000000000004</v>
      </c>
      <c r="M12" s="13">
        <f>20.85+5.2</f>
        <v>26.05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VLOOKUP($B14,'2810'!$B14:$N33,12,0)</f>
        <v>13.35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VLOOKUP($B15,'2810'!$B15:$N34,12,0)</f>
        <v>7.4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4.4000000000000004</v>
      </c>
      <c r="M15" s="13">
        <v>4.4000000000000004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VLOOKUP($B16,'2810'!$B16:$N35,12,0)</f>
        <v>11.5</v>
      </c>
      <c r="E16" s="10"/>
      <c r="F16" s="11">
        <v>1.5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VLOOKUP($B18,'2810'!$B18:$N37,12,0)</f>
        <v>6.0299999999999994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6.0299999999999994</v>
      </c>
      <c r="M18" s="13">
        <v>6.03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VLOOKUP($B20,'2810'!$B20:$N39,12,0)</f>
        <v>17.7</v>
      </c>
      <c r="E20" s="12"/>
      <c r="F20" s="12"/>
      <c r="G20" s="12"/>
      <c r="H20" s="11">
        <v>4</v>
      </c>
      <c r="I20" s="12"/>
      <c r="J20" s="12"/>
      <c r="K20" s="12"/>
      <c r="L20" s="14">
        <f t="shared" si="1"/>
        <v>13.7</v>
      </c>
      <c r="M20" s="13">
        <v>13.7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VLOOKUP($B21,'2810'!$B21:$N40,12,0)</f>
        <v>14.4</v>
      </c>
      <c r="E21" s="12"/>
      <c r="F21" s="12"/>
      <c r="G21" s="12">
        <v>3</v>
      </c>
      <c r="H21" s="11">
        <v>3</v>
      </c>
      <c r="I21" s="12"/>
      <c r="J21" s="12"/>
      <c r="K21" s="12"/>
      <c r="L21" s="14">
        <f t="shared" si="1"/>
        <v>8.4</v>
      </c>
      <c r="M21" s="13">
        <f>6.9+1.5</f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VLOOKUP($B22,'2810'!$B22:$N41,12,0)</f>
        <v>4.6500000000000004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91.3</v>
      </c>
      <c r="F27" s="13">
        <f t="shared" si="3"/>
        <v>20.5</v>
      </c>
      <c r="G27" s="13">
        <f>SUM(G7:G26)</f>
        <v>58.7</v>
      </c>
      <c r="H27" s="13">
        <f>SUM(H7:H26)</f>
        <v>71.67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199.02999999999997</v>
      </c>
      <c r="M27" s="13">
        <f t="shared" si="3"/>
        <v>199.02999999999997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DATE(2015,10,29)</f>
        <v>42306</v>
      </c>
      <c r="E4" s="36">
        <f>D4+1</f>
        <v>42307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VLOOKUP($B7,'2910'!$B7:$N26,12,0)</f>
        <v>38</v>
      </c>
      <c r="E7" s="10">
        <v>20</v>
      </c>
      <c r="F7" s="10">
        <v>6</v>
      </c>
      <c r="G7" s="10">
        <v>30</v>
      </c>
      <c r="H7" s="11"/>
      <c r="I7" s="10">
        <v>2</v>
      </c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VLOOKUP($B8,'2910'!$B8:$N27,12,0)</f>
        <v>5.3000000000000007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>D8+E8-SUM(F8:K8)</f>
        <v>11.9</v>
      </c>
      <c r="M8" s="13">
        <f>3.2+8.7</f>
        <v>11.899999999999999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VLOOKUP($B9,'2910'!$B9:$N28,12,0)</f>
        <v>31.5</v>
      </c>
      <c r="E9" s="10"/>
      <c r="F9" s="11"/>
      <c r="G9" s="10">
        <v>7</v>
      </c>
      <c r="H9" s="10">
        <v>10</v>
      </c>
      <c r="I9" s="10"/>
      <c r="J9" s="10"/>
      <c r="K9" s="10"/>
      <c r="L9" s="14">
        <f>D9+E9-SUM(F9:K9)</f>
        <v>14.5</v>
      </c>
      <c r="M9" s="13">
        <v>14.5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VLOOKUP($B10,'2910'!$B10:$N29,12,0)</f>
        <v>11.549999999999999</v>
      </c>
      <c r="F10" s="11"/>
      <c r="G10" s="10">
        <v>3.15</v>
      </c>
      <c r="H10" s="10">
        <v>2.1</v>
      </c>
      <c r="I10" s="11"/>
      <c r="J10" s="10"/>
      <c r="K10" s="10"/>
      <c r="L10" s="14">
        <f>D10+E10-SUM(F10:K10)</f>
        <v>6.2999999999999989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VLOOKUP($B11,'2910'!$B11:$N30,12,0)</f>
        <v>32.799999999999997</v>
      </c>
      <c r="E11" s="10"/>
      <c r="F11" s="11"/>
      <c r="G11" s="10">
        <v>8</v>
      </c>
      <c r="H11" s="10"/>
      <c r="I11" s="11"/>
      <c r="J11" s="10"/>
      <c r="K11" s="10"/>
      <c r="L11" s="21">
        <f>D11+E11-SUM(F11:K11)</f>
        <v>24.799999999999997</v>
      </c>
      <c r="M11" s="13"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VLOOKUP($B12,'2910'!$B12:$N31,12,0)</f>
        <v>26.05</v>
      </c>
      <c r="E12" s="10"/>
      <c r="F12" s="11"/>
      <c r="G12" s="10">
        <v>1.7</v>
      </c>
      <c r="H12" s="10">
        <v>1</v>
      </c>
      <c r="I12" s="11"/>
      <c r="J12" s="10"/>
      <c r="K12" s="10"/>
      <c r="L12" s="14">
        <f t="shared" ref="L12:L22" si="1">D12+E12-SUM(F12:K12)</f>
        <v>23.35</v>
      </c>
      <c r="M12" s="13">
        <f>20.85+2.5</f>
        <v>23.35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VLOOKUP($B13,'2910'!$B13:$N32,12,0)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VLOOKUP($B14,'2910'!$B14:$N33,12,0)</f>
        <v>10.35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VLOOKUP($B15,'2910'!$B15:$N34,12,0)</f>
        <v>4.4000000000000004</v>
      </c>
      <c r="E15" s="10">
        <v>9.75</v>
      </c>
      <c r="F15" s="11"/>
      <c r="G15" s="10">
        <v>1.9</v>
      </c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VLOOKUP($B16,'2910'!$B16:$N35,12,0)</f>
        <v>5</v>
      </c>
      <c r="E16" s="10">
        <v>11.67</v>
      </c>
      <c r="F16" s="11"/>
      <c r="G16" s="10">
        <v>3</v>
      </c>
      <c r="H16" s="10"/>
      <c r="I16" s="10"/>
      <c r="J16" s="10"/>
      <c r="K16" s="10"/>
      <c r="L16" s="14">
        <f t="shared" si="1"/>
        <v>13.670000000000002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VLOOKUP($B18,'2910'!$B18:$N37,12,0)</f>
        <v>6.03</v>
      </c>
      <c r="E18" s="10"/>
      <c r="F18" s="11"/>
      <c r="G18" s="10">
        <v>1.03</v>
      </c>
      <c r="H18" s="10"/>
      <c r="I18" s="10"/>
      <c r="J18" s="10"/>
      <c r="K18" s="10"/>
      <c r="L18" s="14">
        <f t="shared" si="1"/>
        <v>5</v>
      </c>
      <c r="M18" s="13">
        <v>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VLOOKUP($B20,'2910'!$B20:$N39,12,0)</f>
        <v>13.7</v>
      </c>
      <c r="E20" s="12"/>
      <c r="F20" s="12"/>
      <c r="G20" s="12">
        <v>1.7</v>
      </c>
      <c r="H20" s="11"/>
      <c r="I20" s="12"/>
      <c r="J20" s="12"/>
      <c r="K20" s="12"/>
      <c r="L20" s="14">
        <f t="shared" si="1"/>
        <v>12</v>
      </c>
      <c r="M20" s="13">
        <v>12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VLOOKUP($B21,'2910'!$B21:$N40,12,0)</f>
        <v>8.4</v>
      </c>
      <c r="E21" s="12"/>
      <c r="F21" s="12"/>
      <c r="G21" s="12">
        <v>0.9</v>
      </c>
      <c r="H21" s="11">
        <v>3</v>
      </c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50.120000000000005</v>
      </c>
      <c r="F27" s="13">
        <f t="shared" si="3"/>
        <v>8.5</v>
      </c>
      <c r="G27" s="13">
        <f>SUM(G7:G26)</f>
        <v>63.480000000000004</v>
      </c>
      <c r="H27" s="13">
        <f>SUM(H7:H26)</f>
        <v>16.100000000000001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159.07</v>
      </c>
      <c r="M27" s="13">
        <f t="shared" si="3"/>
        <v>159.06999999999996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DATE(2015,10,30)</f>
        <v>42307</v>
      </c>
      <c r="E4" s="36">
        <f>D4+1</f>
        <v>42308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VLOOKUP($B7,'3010'!$B7:$N26,12,0)</f>
        <v>20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36</v>
      </c>
      <c r="M7" s="13">
        <f>16+20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VLOOKUP($B8,'3010'!$B8:$N27,12,0)</f>
        <v>11.899999999999999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9.7999999999999989</v>
      </c>
      <c r="M8" s="13">
        <f>8.7+1.2</f>
        <v>9.8999999999999986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VLOOKUP($B9,'3010'!$B9:$N28,12,0)</f>
        <v>14.5</v>
      </c>
      <c r="E9" s="10">
        <v>16.399999999999999</v>
      </c>
      <c r="F9" s="11"/>
      <c r="G9" s="10">
        <v>2</v>
      </c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VLOOKUP($B10,'3010'!$B10:$N29,12,0)</f>
        <v>6.3</v>
      </c>
      <c r="F10" s="11"/>
      <c r="G10" s="10">
        <v>2.4</v>
      </c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VLOOKUP($B11,'3010'!$B11:$N30,12,0)</f>
        <v>24.8</v>
      </c>
      <c r="E11" s="10"/>
      <c r="F11" s="11">
        <v>5</v>
      </c>
      <c r="G11" s="10">
        <v>4</v>
      </c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VLOOKUP($B12,'3010'!$B12:$N31,12,0)</f>
        <v>23.35</v>
      </c>
      <c r="E12" s="10"/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VLOOKUP($B18,'3010'!$B18:$N37,12,0)</f>
        <v>5</v>
      </c>
      <c r="E18" s="10">
        <v>11</v>
      </c>
      <c r="F18" s="11"/>
      <c r="G18" s="10"/>
      <c r="H18" s="10">
        <v>1.2</v>
      </c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VLOOKUP($B20,'3010'!$B20:$N39,12,0)</f>
        <v>12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47.4</v>
      </c>
      <c r="F27" s="13">
        <f t="shared" si="3"/>
        <v>9</v>
      </c>
      <c r="G27" s="13">
        <f>SUM(G7:G26)</f>
        <v>12.5</v>
      </c>
      <c r="H27" s="13">
        <f>SUM(H7:H26)</f>
        <v>6.2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178.76999999999998</v>
      </c>
      <c r="M27" s="13">
        <f t="shared" si="3"/>
        <v>178.86999999999998</v>
      </c>
      <c r="N27" s="13">
        <f t="shared" si="3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DATE(2015,10,31)</f>
        <v>42308</v>
      </c>
      <c r="E4" s="36">
        <f>D4+1</f>
        <v>42309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VLOOKUP($B7,'3110'!$B7:$N26,12,0)</f>
        <v>36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VLOOKUP($B8,'3110'!$B8:$N27,12,0)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f>8.7+1.2</f>
        <v>9.8999999999999986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VLOOKUP($B9,'3110'!$B9:$N28,12,0)</f>
        <v>28.9</v>
      </c>
      <c r="E9" s="10"/>
      <c r="F9" s="11"/>
      <c r="G9" s="10"/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VLOOKUP($B10,'3110'!$B10:$N29,12,0)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VLOOKUP($B11,'3110'!$B11:$N30,12,0)</f>
        <v>15.8</v>
      </c>
      <c r="E11" s="10"/>
      <c r="F11" s="11"/>
      <c r="G11" s="10"/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VLOOKUP($B12,'3110'!$B12:$N31,12,0)</f>
        <v>18.350000000000001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VLOOKUP($B18,'3110'!$B18:$N37,12,0)</f>
        <v>14.8</v>
      </c>
      <c r="E18" s="10"/>
      <c r="F18" s="11"/>
      <c r="G18" s="10"/>
      <c r="H18" s="10"/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VLOOKUP($B20,'3110'!$B20:$N39,12,0)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174.86999999999998</v>
      </c>
      <c r="M27" s="13">
        <f t="shared" si="3"/>
        <v>174.86999999999998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DATE(2015,11,1)</f>
        <v>42309</v>
      </c>
      <c r="E4" s="36">
        <f>D4+1</f>
        <v>42310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VLOOKUP($B7,'0111'!$B7:$N26,12,0)</f>
        <v>32</v>
      </c>
      <c r="E7" s="10">
        <v>30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48</v>
      </c>
      <c r="M7" s="13">
        <f>18+30</f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VLOOKUP($B8,'0111'!$B8:$N27,12,0)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VLOOKUP($B9,'0111'!$B9:$N28,12,0)</f>
        <v>28.9</v>
      </c>
      <c r="E9" s="10"/>
      <c r="F9" s="11">
        <v>7</v>
      </c>
      <c r="G9" s="10">
        <v>5</v>
      </c>
      <c r="H9" s="10"/>
      <c r="I9" s="10"/>
      <c r="J9" s="10"/>
      <c r="K9" s="10"/>
      <c r="L9" s="14">
        <f>D9+E9-SUM(F9:K9)</f>
        <v>16.899999999999999</v>
      </c>
      <c r="M9" s="13">
        <f>16.4+0.65</f>
        <v>17.049999999999997</v>
      </c>
      <c r="N9" s="15">
        <f t="shared" si="0"/>
        <v>0.14999999999999858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VLOOKUP($B10,'0111'!$B10:$N29,12,0)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VLOOKUP($B11,'0111'!$B11:$N30,12,0)</f>
        <v>15.8</v>
      </c>
      <c r="E11" s="10">
        <v>23.75</v>
      </c>
      <c r="F11" s="11">
        <v>5</v>
      </c>
      <c r="G11" s="10">
        <v>3</v>
      </c>
      <c r="H11" s="10"/>
      <c r="I11" s="11"/>
      <c r="J11" s="10"/>
      <c r="K11" s="10"/>
      <c r="L11" s="21">
        <f>D11+E11-SUM(F11:K11)</f>
        <v>31.549999999999997</v>
      </c>
      <c r="M11" s="13">
        <f>7.8+23.75</f>
        <v>31.55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VLOOKUP($B12,'0111'!$B12:$N31,12,0)</f>
        <v>18.350000000000001</v>
      </c>
      <c r="E12" s="10">
        <v>13.9</v>
      </c>
      <c r="F12" s="11">
        <v>5.85</v>
      </c>
      <c r="G12" s="10">
        <v>1</v>
      </c>
      <c r="H12" s="10"/>
      <c r="I12" s="11"/>
      <c r="J12" s="10"/>
      <c r="K12" s="10"/>
      <c r="L12" s="14">
        <f t="shared" ref="L12:L22" si="1">D12+E12-SUM(F12:K12)</f>
        <v>25.4</v>
      </c>
      <c r="M12" s="13">
        <f>11.5+13.9</f>
        <v>25.4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VLOOKUP($B14,'0111'!$B14:$N33,12,0)</f>
        <v>7.35</v>
      </c>
      <c r="E14" s="10"/>
      <c r="F14" s="11">
        <v>3.85</v>
      </c>
      <c r="G14" s="10">
        <v>1</v>
      </c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VLOOKUP($B15,'0111'!$B15:$N34,12,0)</f>
        <v>12.25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VLOOKUP($B16,'0111'!$B16:$N35,12,0)</f>
        <v>13.67</v>
      </c>
      <c r="E16" s="10"/>
      <c r="F16" s="11">
        <v>3.67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VLOOKUP($B18,'0111'!$B18:$N37,12,0)</f>
        <v>14.8</v>
      </c>
      <c r="E18" s="10"/>
      <c r="F18" s="11">
        <v>2.6</v>
      </c>
      <c r="G18" s="10">
        <v>1.2</v>
      </c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VLOOKUP($B20,'0111'!$B20:$N39,12,0)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VLOOKUP($B21,'0111'!$B21:$N40,12,0)</f>
        <v>4.5</v>
      </c>
      <c r="E21" s="12">
        <v>10.45</v>
      </c>
      <c r="F21" s="12">
        <v>2.4</v>
      </c>
      <c r="G21" s="12"/>
      <c r="H21" s="11"/>
      <c r="I21" s="12"/>
      <c r="J21" s="12"/>
      <c r="K21" s="12"/>
      <c r="L21" s="14">
        <f t="shared" si="1"/>
        <v>12.549999999999999</v>
      </c>
      <c r="M21" s="13">
        <f>2.1+10.45</f>
        <v>12.549999999999999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VLOOKUP($B22,'0111'!$B22:$N41,12,0)</f>
        <v>3.45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78.100000000000009</v>
      </c>
      <c r="F27" s="13">
        <f t="shared" si="3"/>
        <v>35.370000000000005</v>
      </c>
      <c r="G27" s="13">
        <f>SUM(G7:G26)</f>
        <v>28.9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188.70000000000002</v>
      </c>
      <c r="M27" s="13">
        <f t="shared" si="3"/>
        <v>188.85</v>
      </c>
      <c r="N27" s="13">
        <f t="shared" si="3"/>
        <v>0.14999999999999858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DATE(2015,11,2)</f>
        <v>42310</v>
      </c>
      <c r="E4" s="36">
        <f>D4+1</f>
        <v>42311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VLOOKUP($B7,'0211'!$B7:$N26,12,0)</f>
        <v>48</v>
      </c>
      <c r="E7" s="10">
        <v>30</v>
      </c>
      <c r="F7" s="10">
        <v>6</v>
      </c>
      <c r="G7" s="10">
        <v>14</v>
      </c>
      <c r="H7" s="11">
        <v>6</v>
      </c>
      <c r="I7" s="10"/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VLOOKUP($B8,'0211'!$B8:$N27,12,0)</f>
        <v>9.9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9</v>
      </c>
      <c r="M8" s="13">
        <v>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VLOOKUP($B9,'0211'!$B9:$N28,12,0)</f>
        <v>17.049999999999997</v>
      </c>
      <c r="E9" s="10">
        <v>16.850000000000001</v>
      </c>
      <c r="F9" s="11"/>
      <c r="G9" s="10">
        <v>1</v>
      </c>
      <c r="H9" s="10">
        <v>2.15</v>
      </c>
      <c r="I9" s="10">
        <v>1</v>
      </c>
      <c r="J9" s="10"/>
      <c r="K9" s="10"/>
      <c r="L9" s="14">
        <f>D9+E9-SUM(F9:K9)</f>
        <v>29.75</v>
      </c>
      <c r="M9" s="13">
        <f>12.9+16.85</f>
        <v>29.75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VLOOKUP($B10,'0211'!$B10:$N29,12,0)</f>
        <v>3.9</v>
      </c>
      <c r="E10">
        <v>10.95</v>
      </c>
      <c r="F10" s="11"/>
      <c r="G10" s="10"/>
      <c r="H10" s="10">
        <v>0.9</v>
      </c>
      <c r="I10" s="11"/>
      <c r="J10" s="10"/>
      <c r="K10" s="10"/>
      <c r="L10" s="14">
        <f>D10+E10-SUM(F10:K10)</f>
        <v>13.95</v>
      </c>
      <c r="M10" s="13">
        <f>3+10.95</f>
        <v>13.95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VLOOKUP($B11,'0211'!$B11:$N30,12,0)</f>
        <v>31.55</v>
      </c>
      <c r="E11" s="10"/>
      <c r="F11" s="11"/>
      <c r="G11" s="10">
        <v>2</v>
      </c>
      <c r="H11" s="10">
        <v>3.8</v>
      </c>
      <c r="I11" s="11"/>
      <c r="J11" s="10"/>
      <c r="K11" s="10"/>
      <c r="L11" s="21">
        <f>D11+E11-SUM(F11:K11)</f>
        <v>25.75</v>
      </c>
      <c r="M11" s="13">
        <f>23.75+2</f>
        <v>25.75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VLOOKUP($B12,'0211'!$B12:$N31,12,0)</f>
        <v>25.4</v>
      </c>
      <c r="E12" s="10">
        <v>13.9</v>
      </c>
      <c r="F12" s="11"/>
      <c r="G12" s="10"/>
      <c r="H12" s="10"/>
      <c r="I12" s="11"/>
      <c r="J12" s="10"/>
      <c r="K12" s="10"/>
      <c r="L12" s="14">
        <f t="shared" ref="L12:L22" si="1">D12+E12-SUM(F12:K12)</f>
        <v>39.299999999999997</v>
      </c>
      <c r="M12" s="13">
        <f>11+13.9+14.4</f>
        <v>39.299999999999997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VLOOKUP($B14,'0211'!$B14:$N33,12,0)</f>
        <v>2.5</v>
      </c>
      <c r="E14" s="10"/>
      <c r="F14" s="11"/>
      <c r="G14" s="10"/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VLOOKUP($B15,'0211'!$B15:$N34,12,0)</f>
        <v>9.75</v>
      </c>
      <c r="E15" s="10"/>
      <c r="F15" s="11"/>
      <c r="G15" s="10"/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VLOOKUP($B16,'0211'!$B16:$N35,12,0)</f>
        <v>5</v>
      </c>
      <c r="E16" s="10"/>
      <c r="F16" s="11"/>
      <c r="G16" s="10">
        <v>1.5</v>
      </c>
      <c r="H16" s="10">
        <v>1</v>
      </c>
      <c r="I16" s="10"/>
      <c r="J16" s="10"/>
      <c r="K16" s="10"/>
      <c r="L16" s="14">
        <f t="shared" si="1"/>
        <v>2.5</v>
      </c>
      <c r="M16" s="13">
        <v>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VLOOKUP($B18,'0211'!$B18:$N37,12,0)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VLOOKUP($B20,'0211'!$B20:$N39,12,0)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VLOOKUP($B21,'0211'!$B21:$N40,12,0)</f>
        <v>12.549999999999999</v>
      </c>
      <c r="E21" s="12"/>
      <c r="F21" s="12"/>
      <c r="G21" s="12">
        <v>1.2</v>
      </c>
      <c r="H21" s="11">
        <v>0.9</v>
      </c>
      <c r="I21" s="12"/>
      <c r="J21" s="12"/>
      <c r="K21" s="12"/>
      <c r="L21" s="14">
        <f t="shared" si="1"/>
        <v>10.45</v>
      </c>
      <c r="M21" s="13">
        <v>10.45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71.7</v>
      </c>
      <c r="F27" s="13">
        <f t="shared" si="3"/>
        <v>6</v>
      </c>
      <c r="G27" s="13">
        <f>SUM(G7:G26)</f>
        <v>21.599999999999998</v>
      </c>
      <c r="H27" s="13">
        <f>SUM(H7:H26)</f>
        <v>14.750000000000002</v>
      </c>
      <c r="I27" s="13">
        <f t="shared" si="3"/>
        <v>1</v>
      </c>
      <c r="J27" s="13">
        <f t="shared" si="3"/>
        <v>0</v>
      </c>
      <c r="K27" s="13">
        <f t="shared" si="3"/>
        <v>0</v>
      </c>
      <c r="L27" s="13">
        <f t="shared" si="3"/>
        <v>217.2</v>
      </c>
      <c r="M27" s="13">
        <f t="shared" si="3"/>
        <v>217.2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DATE(2015,11,3)</f>
        <v>42311</v>
      </c>
      <c r="E4" s="36">
        <f>D4+1</f>
        <v>42312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VLOOKUP($B7,'0311'!$B7:$N26,12,0)</f>
        <v>52</v>
      </c>
      <c r="E7" s="10">
        <v>40</v>
      </c>
      <c r="F7" s="10">
        <v>6</v>
      </c>
      <c r="G7" s="10">
        <v>24</v>
      </c>
      <c r="H7" s="11">
        <v>6</v>
      </c>
      <c r="I7" s="10">
        <v>12</v>
      </c>
      <c r="J7" s="10">
        <v>2</v>
      </c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VLOOKUP($B8,'0311'!$B8:$N27,12,0)</f>
        <v>9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7.8</v>
      </c>
      <c r="M8" s="13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VLOOKUP($B9,'0311'!$B9:$N28,12,0)</f>
        <v>29.75</v>
      </c>
      <c r="E9" s="10"/>
      <c r="F9" s="11"/>
      <c r="G9" s="10">
        <v>3</v>
      </c>
      <c r="H9" s="10">
        <v>2</v>
      </c>
      <c r="I9" s="10">
        <v>4</v>
      </c>
      <c r="J9" s="10"/>
      <c r="K9" s="10"/>
      <c r="L9" s="14">
        <f>D9+E9-SUM(F9:K9)</f>
        <v>20.75</v>
      </c>
      <c r="M9" s="13">
        <f>15+5.85</f>
        <v>20.85</v>
      </c>
      <c r="N9" s="15">
        <f t="shared" si="0"/>
        <v>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VLOOKUP($B10,'0311'!$B10:$N29,12,0)</f>
        <v>13.95</v>
      </c>
      <c r="F10" s="11"/>
      <c r="G10" s="10"/>
      <c r="H10" s="10">
        <v>1.2</v>
      </c>
      <c r="I10" s="11"/>
      <c r="J10" s="10"/>
      <c r="K10" s="10"/>
      <c r="L10" s="14">
        <f>D10+E10-SUM(F10:K10)</f>
        <v>12.75</v>
      </c>
      <c r="M10" s="13">
        <f>1.8+10.95</f>
        <v>12.75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VLOOKUP($B11,'0311'!$B11:$N30,12,0)</f>
        <v>25.75</v>
      </c>
      <c r="E11" s="10">
        <v>24.8</v>
      </c>
      <c r="F11" s="11">
        <v>1</v>
      </c>
      <c r="G11" s="10">
        <v>2.5</v>
      </c>
      <c r="H11" s="10">
        <v>3</v>
      </c>
      <c r="I11" s="11">
        <v>2</v>
      </c>
      <c r="J11" s="10"/>
      <c r="K11" s="10"/>
      <c r="L11" s="21">
        <f>D11+E11-SUM(F11:K11)</f>
        <v>42.05</v>
      </c>
      <c r="M11" s="13">
        <f>18.25+23.8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VLOOKUP($B12,'0311'!$B12:$N31,12,0)</f>
        <v>39.299999999999997</v>
      </c>
      <c r="E12" s="10"/>
      <c r="F12" s="11"/>
      <c r="G12" s="10">
        <v>28</v>
      </c>
      <c r="H12" s="10">
        <v>1</v>
      </c>
      <c r="I12" s="11">
        <v>1</v>
      </c>
      <c r="J12" s="10"/>
      <c r="K12" s="10"/>
      <c r="L12" s="14">
        <f t="shared" ref="L12:L22" si="1">D12+E12-SUM(F12:K12)</f>
        <v>9.2999999999999972</v>
      </c>
      <c r="M12" s="13">
        <f>8.9+0.4</f>
        <v>9.3000000000000007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VLOOKUP($B14,'0311'!$B14:$N33,12,0)</f>
        <v>2.5</v>
      </c>
      <c r="E14" s="10">
        <v>8.5</v>
      </c>
      <c r="F14" s="11"/>
      <c r="G14" s="10">
        <v>1</v>
      </c>
      <c r="H14" s="10"/>
      <c r="I14" s="11"/>
      <c r="J14" s="10"/>
      <c r="K14" s="10"/>
      <c r="L14" s="14">
        <f t="shared" si="1"/>
        <v>10</v>
      </c>
      <c r="M14" s="13">
        <f>1.5+8.5</f>
        <v>10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VLOOKUP($B15,'0311'!$B15:$N34,12,0)</f>
        <v>9.75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VLOOKUP($B16,'0311'!$B16:$N35,12,0)</f>
        <v>2.5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17.3</v>
      </c>
      <c r="M16" s="13">
        <v>17.3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VLOOKUP($B18,'0311'!$B18:$N37,12,0)</f>
        <v>11</v>
      </c>
      <c r="E18" s="10"/>
      <c r="F18" s="11"/>
      <c r="G18" s="10">
        <v>1.5</v>
      </c>
      <c r="H18" s="10"/>
      <c r="I18" s="10">
        <v>1.1000000000000001</v>
      </c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VLOOKUP($B20,'0311'!$B20:$N39,12,0)</f>
        <v>9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</v>
      </c>
      <c r="M20" s="13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VLOOKUP($B21,'0311'!$B21:$N40,12,0)</f>
        <v>10.45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8.6499999999999986</v>
      </c>
      <c r="M21" s="13">
        <v>8.65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88.1</v>
      </c>
      <c r="F27" s="13">
        <f t="shared" si="3"/>
        <v>7</v>
      </c>
      <c r="G27" s="13">
        <f>SUM(G7:G26)</f>
        <v>60.5</v>
      </c>
      <c r="H27" s="13">
        <f>SUM(H7:H26)</f>
        <v>16.299999999999997</v>
      </c>
      <c r="I27" s="13">
        <f t="shared" si="3"/>
        <v>21</v>
      </c>
      <c r="J27" s="13">
        <f t="shared" si="3"/>
        <v>2</v>
      </c>
      <c r="K27" s="13">
        <f t="shared" si="3"/>
        <v>0</v>
      </c>
      <c r="L27" s="13">
        <f t="shared" si="3"/>
        <v>198.5</v>
      </c>
      <c r="M27" s="13">
        <f t="shared" si="3"/>
        <v>198.60000000000002</v>
      </c>
      <c r="N27" s="13">
        <f t="shared" si="3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DATE(2015,11,4)</f>
        <v>42312</v>
      </c>
      <c r="E4" s="36">
        <f>D4+1</f>
        <v>42313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VLOOKUP($B7,'0411'!$B7:$N26,12,0)</f>
        <v>42</v>
      </c>
      <c r="E7" s="10">
        <v>50</v>
      </c>
      <c r="F7" s="10">
        <v>6</v>
      </c>
      <c r="G7" s="10">
        <v>30</v>
      </c>
      <c r="H7" s="11">
        <v>20</v>
      </c>
      <c r="I7" s="10">
        <v>2</v>
      </c>
      <c r="J7" s="10"/>
      <c r="K7" s="10"/>
      <c r="L7" s="14">
        <f>D7+E7-SUM(F7:K7)</f>
        <v>34</v>
      </c>
      <c r="M7" s="13">
        <f>4+30</f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VLOOKUP($B8,'0411'!$B8:$N27,12,0)</f>
        <v>7.8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VLOOKUP($B9,'0411'!$B9:$N28,12,0)</f>
        <v>20.85</v>
      </c>
      <c r="E9" s="10">
        <v>16.399999999999999</v>
      </c>
      <c r="F9" s="11"/>
      <c r="G9" s="10">
        <v>7.85</v>
      </c>
      <c r="H9" s="10">
        <v>6</v>
      </c>
      <c r="I9" s="10"/>
      <c r="J9" s="10"/>
      <c r="K9" s="10"/>
      <c r="L9" s="14">
        <f>D9+E9-SUM(F9:K9)</f>
        <v>23.4</v>
      </c>
      <c r="M9" s="13">
        <f>7+16.4</f>
        <v>23.4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VLOOKUP($B10,'0411'!$B10:$N29,12,0)</f>
        <v>12.75</v>
      </c>
      <c r="F10" s="11"/>
      <c r="G10" s="10">
        <v>2.1</v>
      </c>
      <c r="H10" s="10"/>
      <c r="I10" s="11"/>
      <c r="J10" s="10"/>
      <c r="K10" s="10"/>
      <c r="L10" s="14">
        <f>D10+E10-SUM(F10:K10)</f>
        <v>10.65</v>
      </c>
      <c r="M10" s="13">
        <f>9+1.65</f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VLOOKUP($B11,'0411'!$B11:$N30,12,0)</f>
        <v>42.05</v>
      </c>
      <c r="E11" s="10"/>
      <c r="F11" s="11"/>
      <c r="G11" s="10">
        <v>10</v>
      </c>
      <c r="H11" s="10">
        <v>5</v>
      </c>
      <c r="I11" s="11"/>
      <c r="J11" s="10"/>
      <c r="K11" s="10"/>
      <c r="L11" s="21">
        <f>D11+E11-SUM(F11:K11)</f>
        <v>27.049999999999997</v>
      </c>
      <c r="M11" s="13">
        <f>23.8+3.25</f>
        <v>27.05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VLOOKUP($B12,'0411'!$B12:$N31,12,0)</f>
        <v>9.3000000000000007</v>
      </c>
      <c r="E12" s="10">
        <v>13.8</v>
      </c>
      <c r="F12" s="11"/>
      <c r="G12" s="10">
        <v>5</v>
      </c>
      <c r="H12" s="10">
        <v>1.9</v>
      </c>
      <c r="I12" s="11"/>
      <c r="J12" s="10"/>
      <c r="K12" s="10"/>
      <c r="L12" s="14">
        <f t="shared" ref="L12:L22" si="1">D12+E12-SUM(F12:K12)</f>
        <v>16.200000000000003</v>
      </c>
      <c r="M12" s="13">
        <f>2.4+13.8</f>
        <v>16.2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VLOOKUP($B14,'0411'!$B14:$N33,12,0)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VLOOKUP($B15,'0411'!$B15:$N34,12,0)</f>
        <v>9.25</v>
      </c>
      <c r="E15" s="10"/>
      <c r="F15" s="11"/>
      <c r="G15" s="10"/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VLOOKUP($B16,'0411'!$B16:$N35,12,0)</f>
        <v>17.3</v>
      </c>
      <c r="E16" s="10"/>
      <c r="F16" s="11"/>
      <c r="G16" s="10">
        <v>4.8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VLOOKUP($B18,'0411'!$B18:$N37,12,0)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VLOOKUP($B20,'0411'!$B20:$N39,12,0)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3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VLOOKUP($B21,'0411'!$B21:$N40,12,0)</f>
        <v>8.65</v>
      </c>
      <c r="E21" s="12"/>
      <c r="F21" s="12"/>
      <c r="G21" s="12">
        <v>1.5</v>
      </c>
      <c r="H21" s="11">
        <v>1.5</v>
      </c>
      <c r="I21" s="12"/>
      <c r="J21" s="12"/>
      <c r="K21" s="12"/>
      <c r="L21" s="14">
        <f t="shared" si="1"/>
        <v>5.65</v>
      </c>
      <c r="M21" s="13">
        <v>5.65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VLOOKUP($B22,'0411'!$B22:$N41,12,0)</f>
        <v>2.25</v>
      </c>
      <c r="E22" s="10"/>
      <c r="F22" s="10"/>
      <c r="G22" s="12">
        <v>1.05</v>
      </c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80.2</v>
      </c>
      <c r="F27" s="13">
        <f t="shared" si="3"/>
        <v>6</v>
      </c>
      <c r="G27" s="13">
        <f>SUM(G7:G26)</f>
        <v>66.499999999999986</v>
      </c>
      <c r="H27" s="13">
        <f>SUM(H7:H26)</f>
        <v>37.4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166.9</v>
      </c>
      <c r="M27" s="13">
        <f t="shared" si="3"/>
        <v>166.9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DATE(2015,4,21)</f>
        <v>42115</v>
      </c>
      <c r="E4" s="36">
        <f>D4+1</f>
        <v>42116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VLOOKUP($B7,'2104'!$B7:$N26,12,0)</f>
        <v>38</v>
      </c>
      <c r="E7" s="10">
        <v>40</v>
      </c>
      <c r="F7" s="10"/>
      <c r="G7" s="10">
        <v>10</v>
      </c>
      <c r="H7" s="11">
        <v>12</v>
      </c>
      <c r="I7" s="10">
        <v>10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VLOOKUP($B9,'2104'!$B9:$N28,12,0)</f>
        <v>18</v>
      </c>
      <c r="E9" s="10"/>
      <c r="F9" s="11"/>
      <c r="G9" s="10">
        <v>2</v>
      </c>
      <c r="H9" s="10">
        <v>1.5</v>
      </c>
      <c r="I9" s="10">
        <v>1.4</v>
      </c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VLOOKUP($B10,'2104'!$B10:$N29,12,0)</f>
        <v>12</v>
      </c>
      <c r="F10" s="11"/>
      <c r="G10" s="10"/>
      <c r="H10" s="10"/>
      <c r="I10" s="11">
        <v>0.6</v>
      </c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VLOOKUP($B11,'2104'!$B11:$N30,12,0)</f>
        <v>4</v>
      </c>
      <c r="E11" s="10">
        <v>24</v>
      </c>
      <c r="F11" s="11"/>
      <c r="G11" s="10">
        <v>4</v>
      </c>
      <c r="H11" s="10">
        <v>0.5</v>
      </c>
      <c r="I11" s="11">
        <v>3</v>
      </c>
      <c r="J11" s="10"/>
      <c r="K11" s="10"/>
      <c r="L11" s="14">
        <f t="shared" si="1"/>
        <v>20.5</v>
      </c>
      <c r="M11" s="10">
        <v>20.5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VLOOKUP($B12,'2104'!$B12:$N31,12,0)</f>
        <v>11.35</v>
      </c>
      <c r="E12" s="10">
        <v>14</v>
      </c>
      <c r="F12" s="11">
        <v>1.5</v>
      </c>
      <c r="G12" s="10">
        <v>1</v>
      </c>
      <c r="H12" s="10">
        <v>0.5</v>
      </c>
      <c r="I12" s="11">
        <v>3</v>
      </c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VLOOKUP($B14,'2104'!$B14:$N33,12,0)</f>
        <v>17.100000000000001</v>
      </c>
      <c r="E14" s="10"/>
      <c r="F14" s="11"/>
      <c r="G14" s="10"/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VLOOKUP($B15,'2104'!$B15:$N34,12,0)</f>
        <v>13.9</v>
      </c>
      <c r="E15" s="10"/>
      <c r="F15" s="11"/>
      <c r="G15" s="10"/>
      <c r="H15" s="10"/>
      <c r="I15" s="10"/>
      <c r="J15" s="10"/>
      <c r="K15" s="10"/>
      <c r="L15" s="14">
        <f t="shared" si="1"/>
        <v>13.9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VLOOKUP($B16,'2104'!$B16:$N35,12,0)</f>
        <v>18.5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VLOOKUP($B18,'2104'!$B18:$N37,12,0)</f>
        <v>12.8</v>
      </c>
      <c r="E18" s="10"/>
      <c r="F18" s="11"/>
      <c r="G18" s="10">
        <v>5</v>
      </c>
      <c r="H18" s="10">
        <v>1.2</v>
      </c>
      <c r="I18" s="10">
        <v>1.2</v>
      </c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VLOOKUP($B21,'2104'!$B21:$N40,12,0)</f>
        <v>9.3000000000000007</v>
      </c>
      <c r="E21" s="12"/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5.7000000000000011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VLOOKUP($B22,'2104'!$B22:$N41,12,0)</f>
        <v>4.5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181.15000000000003</v>
      </c>
      <c r="E27" s="13">
        <f t="shared" si="2"/>
        <v>78</v>
      </c>
      <c r="F27" s="13">
        <f t="shared" si="2"/>
        <v>1.5</v>
      </c>
      <c r="G27" s="13">
        <f t="shared" si="2"/>
        <v>23.2</v>
      </c>
      <c r="H27" s="13">
        <f t="shared" si="2"/>
        <v>19.099999999999998</v>
      </c>
      <c r="I27" s="13">
        <f t="shared" si="2"/>
        <v>20.399999999999999</v>
      </c>
      <c r="J27" s="13">
        <f t="shared" si="2"/>
        <v>10</v>
      </c>
      <c r="K27" s="13">
        <f t="shared" si="2"/>
        <v>0</v>
      </c>
      <c r="L27" s="13">
        <f t="shared" si="2"/>
        <v>184.95000000000002</v>
      </c>
      <c r="M27" s="13">
        <f t="shared" si="2"/>
        <v>184.95000000000002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2" priority="1" stopIfTrue="1" operator="lessThan">
      <formula>0</formula>
    </cfRule>
  </conditionalFormatting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DATE(2015,11,5)</f>
        <v>42313</v>
      </c>
      <c r="E4" s="36">
        <f>D4+1</f>
        <v>42314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VLOOKUP($B7,'0511'!$B7:$N26,12,0)</f>
        <v>34</v>
      </c>
      <c r="E7" s="10">
        <v>20</v>
      </c>
      <c r="F7" s="10">
        <v>6</v>
      </c>
      <c r="G7" s="10">
        <v>24</v>
      </c>
      <c r="H7" s="11"/>
      <c r="I7" s="10"/>
      <c r="J7" s="10"/>
      <c r="K7" s="10"/>
      <c r="L7" s="14">
        <f>D7+E7-SUM(F7:K7)</f>
        <v>24</v>
      </c>
      <c r="M7" s="13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VLOOKUP($B8,'0511'!$B8:$N27,12,0)</f>
        <v>6.6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VLOOKUP($B9,'0511'!$B9:$N28,12,0)</f>
        <v>23.4</v>
      </c>
      <c r="E9" s="10">
        <v>17.850000000000001</v>
      </c>
      <c r="F9" s="11"/>
      <c r="G9" s="10">
        <v>10</v>
      </c>
      <c r="H9" s="10">
        <v>1</v>
      </c>
      <c r="I9" s="10"/>
      <c r="J9" s="10"/>
      <c r="K9" s="10"/>
      <c r="L9" s="14">
        <f>D9+E9-SUM(F9:K9)</f>
        <v>30.25</v>
      </c>
      <c r="M9" s="13">
        <f>12.4+17.85</f>
        <v>30.25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VLOOKUP($B10,'0511'!$B10:$N29,12,0)</f>
        <v>10.65</v>
      </c>
      <c r="F10" s="11"/>
      <c r="G10" s="10">
        <v>2.1</v>
      </c>
      <c r="H10" s="10">
        <v>1.05</v>
      </c>
      <c r="I10" s="11"/>
      <c r="J10" s="10"/>
      <c r="K10" s="10"/>
      <c r="L10" s="14">
        <f>D10+E10-SUM(F10:K10)</f>
        <v>7.5</v>
      </c>
      <c r="M10" s="13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VLOOKUP($B11,'0511'!$B11:$N30,12,0)</f>
        <v>27.05</v>
      </c>
      <c r="E11" s="10"/>
      <c r="F11" s="11"/>
      <c r="G11" s="10">
        <v>6.8</v>
      </c>
      <c r="H11" s="10">
        <v>3.25</v>
      </c>
      <c r="I11" s="11"/>
      <c r="J11" s="10"/>
      <c r="K11" s="10"/>
      <c r="L11" s="21">
        <f>D11+E11-SUM(F11:K11)</f>
        <v>17</v>
      </c>
      <c r="M11" s="13">
        <v>17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VLOOKUP($B12,'0511'!$B12:$N31,12,0)</f>
        <v>16.2</v>
      </c>
      <c r="E12" s="10">
        <v>14.4</v>
      </c>
      <c r="F12" s="11"/>
      <c r="G12" s="10">
        <v>2.9</v>
      </c>
      <c r="H12" s="10">
        <v>1</v>
      </c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VLOOKUP($B14,'0511'!$B14:$N33,12,0)</f>
        <v>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VLOOKUP($B15,'0511'!$B15:$N34,12,0)</f>
        <v>9.25</v>
      </c>
      <c r="E15" s="10"/>
      <c r="F15" s="11"/>
      <c r="G15" s="10">
        <v>1.75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VLOOKUP($B16,'0511'!$B16:$N35,12,0)</f>
        <v>12.5</v>
      </c>
      <c r="E16" s="10">
        <v>13</v>
      </c>
      <c r="F16" s="11"/>
      <c r="G16" s="10">
        <v>3</v>
      </c>
      <c r="H16" s="10"/>
      <c r="I16" s="10"/>
      <c r="J16" s="10"/>
      <c r="K16" s="10"/>
      <c r="L16" s="14">
        <f t="shared" si="1"/>
        <v>22.5</v>
      </c>
      <c r="M16" s="13">
        <f>9.5+13</f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VLOOKUP($B18,'0511'!$B18:$N37,12,0)</f>
        <v>8.4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6.3000000000000007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VLOOKUP($B20,'0511'!$B20:$N39,12,0)</f>
        <v>5</v>
      </c>
      <c r="E20" s="12">
        <v>12.85</v>
      </c>
      <c r="F20" s="12"/>
      <c r="G20" s="12">
        <v>3</v>
      </c>
      <c r="H20" s="11"/>
      <c r="I20" s="12"/>
      <c r="J20" s="12"/>
      <c r="K20" s="12"/>
      <c r="L20" s="14">
        <f t="shared" si="1"/>
        <v>14.850000000000001</v>
      </c>
      <c r="M20" s="13">
        <f>2+12.85</f>
        <v>14.85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VLOOKUP($B21,'0511'!$B21:$N40,12,0)</f>
        <v>5.65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3.5500000000000003</v>
      </c>
      <c r="M21" s="13">
        <v>3.6</v>
      </c>
      <c r="N21" s="15">
        <f t="shared" si="0"/>
        <v>4.9999999999999822E-2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78.099999999999994</v>
      </c>
      <c r="F27" s="13">
        <f t="shared" si="3"/>
        <v>6</v>
      </c>
      <c r="G27" s="13">
        <f>SUM(G7:G26)</f>
        <v>61.85</v>
      </c>
      <c r="H27" s="13">
        <f>SUM(H7:H26)</f>
        <v>6.3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170.85</v>
      </c>
      <c r="M27" s="13">
        <f t="shared" si="3"/>
        <v>170.89999999999998</v>
      </c>
      <c r="N27" s="13">
        <f t="shared" si="3"/>
        <v>4.9999999999999822E-2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DATE(2015,11,6)</f>
        <v>42314</v>
      </c>
      <c r="E4" s="36">
        <f>D4+1</f>
        <v>42315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VLOOKUP($B7,'0611'!$B7:$N26,12,0)</f>
        <v>24</v>
      </c>
      <c r="E7" s="10">
        <v>20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VLOOKUP($B8,'0611'!$B8:$N27,12,0)</f>
        <v>4.5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VLOOKUP($B9,'0611'!$B9:$N28,12,0)</f>
        <v>30.25</v>
      </c>
      <c r="E9" s="10"/>
      <c r="F9" s="11"/>
      <c r="G9" s="10">
        <v>1</v>
      </c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VLOOKUP($B10,'0611'!$B10:$N29,12,0)</f>
        <v>7.5</v>
      </c>
      <c r="F10" s="11"/>
      <c r="G10" s="10">
        <v>1.2</v>
      </c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VLOOKUP($B11,'0611'!$B11:$N30,12,0)</f>
        <v>17</v>
      </c>
      <c r="E11" s="10">
        <f>11+13.3</f>
        <v>24.3</v>
      </c>
      <c r="F11" s="11">
        <v>11</v>
      </c>
      <c r="G11" s="10">
        <v>2</v>
      </c>
      <c r="H11" s="10"/>
      <c r="I11" s="11"/>
      <c r="J11" s="10"/>
      <c r="K11" s="10"/>
      <c r="L11" s="21">
        <f>D11+E11-SUM(F11:K11)</f>
        <v>28.299999999999997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VLOOKUP($B20,'0611'!$B20:$N39,12,0)</f>
        <v>14.85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VLOOKUP($B21,'0611'!$B21:$N40,12,0)</f>
        <v>3.6</v>
      </c>
      <c r="E21" s="12">
        <v>10.3</v>
      </c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54.599999999999994</v>
      </c>
      <c r="F27" s="13">
        <f t="shared" si="3"/>
        <v>15</v>
      </c>
      <c r="G27" s="13">
        <f>SUM(G7:G26)</f>
        <v>8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200.5</v>
      </c>
      <c r="M27" s="13">
        <f t="shared" si="3"/>
        <v>200.5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DATE(2015,11,7)</f>
        <v>42315</v>
      </c>
      <c r="E4" s="36">
        <f>D4+1</f>
        <v>42316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VLOOKUP($B7,'0711'!$B7:$N26,12,0)</f>
        <v>38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VLOOKUP($B9,'0711'!$B9:$N28,12,0)</f>
        <v>29.25</v>
      </c>
      <c r="E9" s="10"/>
      <c r="F9" s="11"/>
      <c r="G9" s="10"/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VLOOKUP($B11,'0711'!$B11:$N30,12,0)</f>
        <v>28.3</v>
      </c>
      <c r="E11" s="10"/>
      <c r="F11" s="11"/>
      <c r="G11" s="10"/>
      <c r="H11" s="10"/>
      <c r="I11" s="11"/>
      <c r="J11" s="10"/>
      <c r="K11" s="10"/>
      <c r="L11" s="21">
        <f>D11+E11-SUM(F11:K11)</f>
        <v>28.3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VLOOKUP($B21,'0711'!$B21:$N40,12,0)</f>
        <v>13.9</v>
      </c>
      <c r="E21" s="12"/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196.5</v>
      </c>
      <c r="M27" s="13">
        <f t="shared" si="3"/>
        <v>196.5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DATE(2015,11,8)</f>
        <v>42316</v>
      </c>
      <c r="E4" s="36">
        <f>D4+1</f>
        <v>42317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VLOOKUP($B7,'0811'!$B7:$N26,12,0)</f>
        <v>34</v>
      </c>
      <c r="E7" s="10">
        <v>30</v>
      </c>
      <c r="F7" s="10">
        <v>2</v>
      </c>
      <c r="G7" s="10">
        <v>8</v>
      </c>
      <c r="H7" s="11"/>
      <c r="I7" s="10">
        <v>2</v>
      </c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VLOOKUP($B9,'0811'!$B9:$N28,12,0)</f>
        <v>29.25</v>
      </c>
      <c r="E9" s="10"/>
      <c r="F9" s="11"/>
      <c r="G9" s="10">
        <v>2.4</v>
      </c>
      <c r="H9" s="10"/>
      <c r="I9" s="10"/>
      <c r="J9" s="10"/>
      <c r="K9" s="10"/>
      <c r="L9" s="14">
        <f>D9+E9-SUM(F9:K9)</f>
        <v>26.85</v>
      </c>
      <c r="M9" s="13">
        <f>9+17.85</f>
        <v>26.85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VLOOKUP($B11,'0811'!$B11:$N30,12,0)</f>
        <v>28.3</v>
      </c>
      <c r="E11" s="10"/>
      <c r="F11" s="11">
        <v>0.5</v>
      </c>
      <c r="G11" s="10">
        <v>3</v>
      </c>
      <c r="H11" s="10"/>
      <c r="I11" s="11"/>
      <c r="J11" s="10"/>
      <c r="K11" s="10"/>
      <c r="L11" s="21">
        <f>D11+E11-SUM(F11:K11)</f>
        <v>24.8</v>
      </c>
      <c r="M11" s="13">
        <f>11.5+13.3</f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VLOOKUP($B12,'0811'!$B12:$N31,12,0)</f>
        <v>26.700000000000003</v>
      </c>
      <c r="E12" s="10">
        <v>13.3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VLOOKUP($B14,'0811'!$B14:$N33,12,0)</f>
        <v>5</v>
      </c>
      <c r="E14" s="10">
        <v>9.85</v>
      </c>
      <c r="F14" s="11"/>
      <c r="G14" s="10">
        <v>1</v>
      </c>
      <c r="H14" s="10"/>
      <c r="I14" s="11"/>
      <c r="J14" s="10"/>
      <c r="K14" s="10"/>
      <c r="L14" s="14">
        <f t="shared" si="1"/>
        <v>13.85</v>
      </c>
      <c r="M14" s="13">
        <f>4+9.85</f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VLOOKUP($B15,'0811'!$B15:$N34,12,0)</f>
        <v>7.5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VLOOKUP($B16,'0811'!$B16:$N35,12,0)</f>
        <v>22.5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19</v>
      </c>
      <c r="M16" s="13">
        <v>19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VLOOKUP($B18,'0811'!$B18:$N37,12,0)</f>
        <v>6.3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VLOOKUP($B21,'0811'!$B21:$N40,12,0)</f>
        <v>13.9</v>
      </c>
      <c r="E21" s="12"/>
      <c r="F21" s="12"/>
      <c r="G21" s="12"/>
      <c r="H21" s="11">
        <v>0.6</v>
      </c>
      <c r="I21" s="12"/>
      <c r="J21" s="12"/>
      <c r="K21" s="12"/>
      <c r="L21" s="14">
        <f t="shared" si="1"/>
        <v>13.3</v>
      </c>
      <c r="M21" s="13">
        <v>13.3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VLOOKUP($B22,'0811'!$B22:$N41,12,0)</f>
        <v>1.2</v>
      </c>
      <c r="E22" s="10">
        <v>11</v>
      </c>
      <c r="F22" s="10"/>
      <c r="G22" s="12">
        <v>0.3</v>
      </c>
      <c r="H22" s="11"/>
      <c r="I22" s="12"/>
      <c r="J22" s="12"/>
      <c r="K22" s="12"/>
      <c r="L22" s="14">
        <f t="shared" si="1"/>
        <v>11.899999999999999</v>
      </c>
      <c r="M22" s="13">
        <f>0.9+11</f>
        <v>11.9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64.150000000000006</v>
      </c>
      <c r="F27" s="13">
        <f t="shared" si="3"/>
        <v>2.5</v>
      </c>
      <c r="G27" s="13">
        <f>SUM(G7:G26)</f>
        <v>20.8</v>
      </c>
      <c r="H27" s="13">
        <f>SUM(H7:H26)</f>
        <v>0.6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234.75</v>
      </c>
      <c r="M27" s="13">
        <f t="shared" si="3"/>
        <v>234.75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DATE(2015,11,9)</f>
        <v>42317</v>
      </c>
      <c r="E4" s="36">
        <f>D4+1</f>
        <v>42318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VLOOKUP($B7,'0911'!$B7:$N26,12,0)</f>
        <v>52</v>
      </c>
      <c r="E7" s="10">
        <v>30</v>
      </c>
      <c r="F7" s="10">
        <v>4</v>
      </c>
      <c r="G7" s="10">
        <v>8</v>
      </c>
      <c r="H7" s="11">
        <v>8</v>
      </c>
      <c r="I7" s="10"/>
      <c r="J7" s="10"/>
      <c r="K7" s="10"/>
      <c r="L7" s="14">
        <f>D7+E7-SUM(F7:K7)</f>
        <v>62</v>
      </c>
      <c r="M7" s="13">
        <f>32+30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VLOOKUP($B8,'0911'!$B8:$N27,12,0)</f>
        <v>2.7</v>
      </c>
      <c r="E8" s="10">
        <v>7.05</v>
      </c>
      <c r="F8" s="11"/>
      <c r="G8" s="10"/>
      <c r="H8" s="10">
        <v>1.5</v>
      </c>
      <c r="I8" s="10"/>
      <c r="J8" s="10"/>
      <c r="K8" s="10"/>
      <c r="L8" s="14">
        <f>D8+E8-SUM(F8:K8)</f>
        <v>8.25</v>
      </c>
      <c r="M8" s="13">
        <f>1.2+7.05</f>
        <v>8.25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VLOOKUP($B9,'0911'!$B9:$N28,12,0)</f>
        <v>26.85</v>
      </c>
      <c r="E9" s="10"/>
      <c r="F9" s="11"/>
      <c r="G9" s="10">
        <v>2</v>
      </c>
      <c r="H9" s="10">
        <v>4</v>
      </c>
      <c r="I9" s="10"/>
      <c r="J9" s="10"/>
      <c r="K9" s="10"/>
      <c r="L9" s="14">
        <f>D9+E9-SUM(F9:K9)</f>
        <v>20.85</v>
      </c>
      <c r="M9" s="13">
        <f>17.85+3</f>
        <v>20.85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VLOOKUP($B11,'0911'!$B11:$N30,12,0)</f>
        <v>24.8</v>
      </c>
      <c r="E11" s="10">
        <v>24.2</v>
      </c>
      <c r="F11" s="11"/>
      <c r="G11" s="10">
        <v>3</v>
      </c>
      <c r="H11" s="10">
        <v>4</v>
      </c>
      <c r="I11" s="11"/>
      <c r="J11" s="10"/>
      <c r="K11" s="10"/>
      <c r="L11" s="21">
        <f>D11+E11-SUM(F11:K11)</f>
        <v>42</v>
      </c>
      <c r="M11" s="13">
        <f>4.5+13.3+24.2</f>
        <v>42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VLOOKUP($B12,'0911'!$B12:$N31,12,0)</f>
        <v>39.5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VLOOKUP($B15,'0911'!$B15:$N34,12,0)</f>
        <v>6</v>
      </c>
      <c r="E15" s="10"/>
      <c r="F15" s="11"/>
      <c r="G15" s="10"/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VLOOKUP($B16,'0911'!$B16:$N35,12,0)</f>
        <v>19</v>
      </c>
      <c r="E16" s="10"/>
      <c r="F16" s="11"/>
      <c r="G16" s="10">
        <v>0.5</v>
      </c>
      <c r="H16" s="10">
        <v>0.5</v>
      </c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VLOOKUP($B18,'0911'!$B18:$N37,12,0)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VLOOKUP($B20,'0911'!$B20:$N39,12,0)</f>
        <v>12.85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11.35</v>
      </c>
      <c r="M20" s="13">
        <v>11.35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VLOOKUP($B21,'0911'!$B21:$N40,12,0)</f>
        <v>13.3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11.8</v>
      </c>
      <c r="M21" s="13">
        <v>11.8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VLOOKUP($B22,'0911'!$B22:$N41,12,0)</f>
        <v>11.9</v>
      </c>
      <c r="E22" s="10">
        <v>11</v>
      </c>
      <c r="F22" s="10">
        <v>18</v>
      </c>
      <c r="G22" s="12"/>
      <c r="H22" s="11"/>
      <c r="I22" s="12"/>
      <c r="J22" s="12"/>
      <c r="K22" s="12"/>
      <c r="L22" s="14">
        <f t="shared" si="1"/>
        <v>4.8999999999999986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72.25</v>
      </c>
      <c r="F27" s="13">
        <f t="shared" si="3"/>
        <v>22</v>
      </c>
      <c r="G27" s="13">
        <f>SUM(G7:G26)</f>
        <v>13.5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250.49999999999997</v>
      </c>
      <c r="M27" s="13">
        <f t="shared" si="3"/>
        <v>250.49999999999997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DATE(2015,11,10)</f>
        <v>42318</v>
      </c>
      <c r="E4" s="36">
        <f>D4+1</f>
        <v>42319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VLOOKUP($B7,'1011'!$B7:$N26,12,0)</f>
        <v>62</v>
      </c>
      <c r="E7" s="10">
        <v>40</v>
      </c>
      <c r="F7" s="10">
        <v>8</v>
      </c>
      <c r="G7" s="10">
        <v>20</v>
      </c>
      <c r="H7" s="11">
        <v>8</v>
      </c>
      <c r="I7" s="10">
        <v>12</v>
      </c>
      <c r="J7" s="10"/>
      <c r="K7" s="10"/>
      <c r="L7" s="14">
        <f>D7+E7-SUM(F7:K7)</f>
        <v>54</v>
      </c>
      <c r="M7" s="13">
        <f>14+40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VLOOKUP($B8,'1011'!$B8:$N27,12,0)</f>
        <v>8.25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VLOOKUP($B9,'1011'!$B9:$N28,12,0)</f>
        <v>20.85</v>
      </c>
      <c r="E9" s="10">
        <v>17.2</v>
      </c>
      <c r="F9" s="11">
        <v>0.5</v>
      </c>
      <c r="G9" s="10">
        <v>3</v>
      </c>
      <c r="H9" s="10">
        <v>2.5</v>
      </c>
      <c r="I9" s="10">
        <v>3</v>
      </c>
      <c r="J9" s="10"/>
      <c r="K9" s="10"/>
      <c r="L9" s="14">
        <f>D9+E9-SUM(F9:K9)</f>
        <v>29.049999999999997</v>
      </c>
      <c r="M9" s="13">
        <f>9+17.2+2.85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VLOOKUP($B10,'1011'!$B10:$N29,12,0)</f>
        <v>6.3</v>
      </c>
      <c r="E10">
        <v>9.9499999999999993</v>
      </c>
      <c r="F10" s="11"/>
      <c r="G10" s="10"/>
      <c r="H10" s="10">
        <v>0.6</v>
      </c>
      <c r="I10" s="11"/>
      <c r="J10" s="10"/>
      <c r="K10" s="10"/>
      <c r="L10" s="14">
        <f>D10+E10-SUM(F10:K10)</f>
        <v>15.65</v>
      </c>
      <c r="M10" s="13">
        <f>5.7+9.95</f>
        <v>15.649999999999999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VLOOKUP($B11,'1011'!$B11:$N30,12,0)</f>
        <v>42</v>
      </c>
      <c r="E11" s="10"/>
      <c r="F11" s="11">
        <v>4</v>
      </c>
      <c r="G11" s="10">
        <v>2.5</v>
      </c>
      <c r="H11" s="10">
        <v>2</v>
      </c>
      <c r="I11" s="11">
        <v>3</v>
      </c>
      <c r="J11" s="10"/>
      <c r="K11" s="10"/>
      <c r="L11" s="21">
        <f>D11+E11-SUM(F11:K11)</f>
        <v>30.5</v>
      </c>
      <c r="M11" s="13">
        <f>29.2+1.3</f>
        <v>30.5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VLOOKUP($B12,'1011'!$B12:$N31,12,0)</f>
        <v>39.5</v>
      </c>
      <c r="E12" s="10"/>
      <c r="F12" s="11">
        <v>2.8</v>
      </c>
      <c r="G12" s="10">
        <v>24.9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10.3</v>
      </c>
      <c r="M12" s="13">
        <v>10.3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VLOOKUP($B15,'1011'!$B15:$N34,12,0)</f>
        <v>6</v>
      </c>
      <c r="E15" s="10">
        <v>10.6</v>
      </c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13.600000000000001</v>
      </c>
      <c r="M15" s="13">
        <f>3+10.6</f>
        <v>13.6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VLOOKUP($B16,'1011'!$B16:$N35,12,0)</f>
        <v>18</v>
      </c>
      <c r="E16" s="10"/>
      <c r="F16" s="11">
        <v>3.5</v>
      </c>
      <c r="G16" s="10">
        <v>1.5</v>
      </c>
      <c r="H16" s="10"/>
      <c r="I16" s="10"/>
      <c r="J16" s="10"/>
      <c r="K16" s="10"/>
      <c r="L16" s="14">
        <f t="shared" si="1"/>
        <v>13</v>
      </c>
      <c r="M16" s="13">
        <v>13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VLOOKUP($B18,'1011'!$B18:$N37,12,0)</f>
        <v>5.7</v>
      </c>
      <c r="E18" s="10"/>
      <c r="F18" s="11">
        <v>1.2</v>
      </c>
      <c r="G18" s="10">
        <v>1.5</v>
      </c>
      <c r="H18" s="10"/>
      <c r="I18" s="10">
        <v>0.6</v>
      </c>
      <c r="J18" s="10"/>
      <c r="K18" s="10"/>
      <c r="L18" s="14">
        <f t="shared" si="1"/>
        <v>2.4</v>
      </c>
      <c r="M18" s="13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VLOOKUP($B20,'1011'!$B20:$N39,12,0)</f>
        <v>11.35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10.35</v>
      </c>
      <c r="M20" s="13">
        <f>6.85+3.5</f>
        <v>10.35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VLOOKUP($B21,'1011'!$B21:$N40,12,0)</f>
        <v>11.8</v>
      </c>
      <c r="E21" s="12"/>
      <c r="F21" s="12">
        <v>1</v>
      </c>
      <c r="G21" s="12"/>
      <c r="H21" s="11">
        <v>1.2</v>
      </c>
      <c r="I21" s="12">
        <v>0.6</v>
      </c>
      <c r="J21" s="12"/>
      <c r="K21" s="12"/>
      <c r="L21" s="14">
        <f t="shared" si="1"/>
        <v>9</v>
      </c>
      <c r="M21" s="13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VLOOKUP($B22,'1011'!$B22:$N41,12,0)</f>
        <v>4.9000000000000004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4.9000000000000004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77.75</v>
      </c>
      <c r="F27" s="13">
        <f t="shared" si="3"/>
        <v>23</v>
      </c>
      <c r="G27" s="13">
        <f>SUM(G7:G26)</f>
        <v>54.4</v>
      </c>
      <c r="H27" s="13">
        <f>SUM(H7:H26)</f>
        <v>17.2</v>
      </c>
      <c r="I27" s="13">
        <f t="shared" si="3"/>
        <v>19.700000000000003</v>
      </c>
      <c r="J27" s="13">
        <f t="shared" si="3"/>
        <v>0</v>
      </c>
      <c r="K27" s="13">
        <f t="shared" si="3"/>
        <v>0</v>
      </c>
      <c r="L27" s="13">
        <f t="shared" si="3"/>
        <v>213.95000000000002</v>
      </c>
      <c r="M27" s="13">
        <f t="shared" si="3"/>
        <v>213.95000000000002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DATE(2015,11,11)</f>
        <v>42319</v>
      </c>
      <c r="E4" s="36">
        <f>D4+1</f>
        <v>42320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VLOOKUP($B7,'1111'!$B7:$N26,12,0)</f>
        <v>54</v>
      </c>
      <c r="E7" s="10">
        <v>40</v>
      </c>
      <c r="F7" s="10">
        <v>4</v>
      </c>
      <c r="G7" s="10">
        <v>16</v>
      </c>
      <c r="H7" s="11">
        <v>36</v>
      </c>
      <c r="I7" s="10">
        <v>2</v>
      </c>
      <c r="J7" s="10"/>
      <c r="K7" s="10"/>
      <c r="L7" s="14">
        <f>D7+E7-SUM(F7:K7)</f>
        <v>36</v>
      </c>
      <c r="M7" s="13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VLOOKUP($B8,'1111'!$B8:$N27,12,0)</f>
        <v>7.35</v>
      </c>
      <c r="E8" s="10"/>
      <c r="F8" s="11"/>
      <c r="G8" s="10"/>
      <c r="H8" s="10"/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VLOOKUP($B9,'1111'!$B9:$N28,12,0)</f>
        <v>29.05</v>
      </c>
      <c r="E9" s="10">
        <v>17.55</v>
      </c>
      <c r="F9" s="11"/>
      <c r="G9" s="10">
        <v>5.05</v>
      </c>
      <c r="H9" s="10">
        <v>10</v>
      </c>
      <c r="I9" s="10"/>
      <c r="J9" s="10"/>
      <c r="K9" s="10"/>
      <c r="L9" s="14">
        <f>D9+E9-SUM(F9:K9)</f>
        <v>31.55</v>
      </c>
      <c r="M9" s="13">
        <f>14+17.55</f>
        <v>31.55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VLOOKUP($B10,'1111'!$B10:$N29,12,0)</f>
        <v>15.649999999999999</v>
      </c>
      <c r="F10" s="11"/>
      <c r="G10" s="10"/>
      <c r="H10" s="10">
        <v>0.9</v>
      </c>
      <c r="I10" s="11"/>
      <c r="J10" s="10"/>
      <c r="K10" s="10"/>
      <c r="L10" s="14">
        <f>D10+E10-SUM(F10:K10)</f>
        <v>14.749999999999998</v>
      </c>
      <c r="M10" s="13">
        <f>9.95+4.8</f>
        <v>14.75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VLOOKUP($B11,'1111'!$B11:$N30,12,0)</f>
        <v>30.5</v>
      </c>
      <c r="E11" s="10"/>
      <c r="F11" s="11"/>
      <c r="G11" s="10">
        <v>4</v>
      </c>
      <c r="H11" s="10">
        <v>2</v>
      </c>
      <c r="I11" s="11"/>
      <c r="J11" s="10"/>
      <c r="K11" s="10"/>
      <c r="L11" s="21">
        <f>D11+E11-SUM(F11:K11)</f>
        <v>24.5</v>
      </c>
      <c r="M11" s="13">
        <v>24.5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VLOOKUP($B12,'1111'!$B12:$N31,12,0)</f>
        <v>10.3</v>
      </c>
      <c r="E12" s="10"/>
      <c r="F12" s="11"/>
      <c r="G12" s="10"/>
      <c r="H12" s="10">
        <v>1.8</v>
      </c>
      <c r="I12" s="11"/>
      <c r="J12" s="10"/>
      <c r="K12" s="10"/>
      <c r="L12" s="14">
        <f t="shared" ref="L12:L22" si="1">D12+E12-SUM(F12:K12)</f>
        <v>8.5</v>
      </c>
      <c r="M12" s="13">
        <v>8.5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VLOOKUP($B15,'1111'!$B15:$N34,12,0)</f>
        <v>13.6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11.6</v>
      </c>
      <c r="M15" s="13"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VLOOKUP($B16,'1111'!$B16:$N35,12,0)</f>
        <v>13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</v>
      </c>
      <c r="M16" s="13">
        <v>11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VLOOKUP($B18,'1111'!$B18:$N37,12,0)</f>
        <v>2.4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VLOOKUP($B20,'1111'!$B20:$N39,12,0)</f>
        <v>10.35</v>
      </c>
      <c r="E20" s="12">
        <v>12.6</v>
      </c>
      <c r="F20" s="12"/>
      <c r="G20" s="12"/>
      <c r="H20" s="11">
        <v>5</v>
      </c>
      <c r="I20" s="12"/>
      <c r="J20" s="12"/>
      <c r="K20" s="12"/>
      <c r="L20" s="14">
        <f t="shared" si="1"/>
        <v>17.95</v>
      </c>
      <c r="M20" s="13">
        <f>5.35+12.6</f>
        <v>17.95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VLOOKUP($B21,'1111'!$B21:$N40,12,0)</f>
        <v>9</v>
      </c>
      <c r="E21" s="12"/>
      <c r="F21" s="12"/>
      <c r="G21" s="12">
        <v>2.1</v>
      </c>
      <c r="H21" s="11">
        <v>2.1</v>
      </c>
      <c r="I21" s="12"/>
      <c r="J21" s="12"/>
      <c r="K21" s="12"/>
      <c r="L21" s="14">
        <f t="shared" si="1"/>
        <v>4.8</v>
      </c>
      <c r="M21" s="13">
        <v>4.8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VLOOKUP($B22,'1111'!$B22:$N41,12,0)</f>
        <v>4.9000000000000004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1.9000000000000004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80.55</v>
      </c>
      <c r="F27" s="13">
        <f t="shared" si="3"/>
        <v>4</v>
      </c>
      <c r="G27" s="13">
        <f>SUM(G7:G26)</f>
        <v>34.150000000000006</v>
      </c>
      <c r="H27" s="13">
        <f>SUM(H7:H26)</f>
        <v>57.8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196.55</v>
      </c>
      <c r="M27" s="13">
        <f t="shared" si="3"/>
        <v>196.55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DATE(2015,11,12)</f>
        <v>42320</v>
      </c>
      <c r="E4" s="36">
        <f>D4+1</f>
        <v>42321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VLOOKUP($B7,'1211'!$B7:$N26,12,0)</f>
        <v>36</v>
      </c>
      <c r="E7" s="10">
        <v>20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22</v>
      </c>
      <c r="M7" s="13">
        <f>2+20</f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VLOOKUP($B8,'1211'!$B8:$N27,12,0)</f>
        <v>7.35</v>
      </c>
      <c r="E8" s="10"/>
      <c r="F8" s="11"/>
      <c r="G8" s="10">
        <v>0.9</v>
      </c>
      <c r="H8" s="10">
        <v>1.95</v>
      </c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VLOOKUP($B9,'1211'!$B9:$N28,12,0)</f>
        <v>31.55</v>
      </c>
      <c r="E9" s="10"/>
      <c r="F9" s="11"/>
      <c r="G9" s="10">
        <v>10</v>
      </c>
      <c r="H9" s="10">
        <v>3</v>
      </c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VLOOKUP($B10,'1211'!$B10:$N29,12,0)</f>
        <v>14.75</v>
      </c>
      <c r="F10" s="11"/>
      <c r="G10" s="10">
        <v>1.5</v>
      </c>
      <c r="H10" s="10">
        <v>2.1</v>
      </c>
      <c r="I10" s="11"/>
      <c r="J10" s="10"/>
      <c r="K10" s="10"/>
      <c r="L10" s="14">
        <f>D10+E10-SUM(F10:K10)</f>
        <v>11.15</v>
      </c>
      <c r="M10" s="13"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VLOOKUP($B11,'1211'!$B11:$N30,12,0)</f>
        <v>24.5</v>
      </c>
      <c r="E11" s="10">
        <v>24.35</v>
      </c>
      <c r="F11" s="11"/>
      <c r="G11" s="10">
        <v>8</v>
      </c>
      <c r="H11" s="10">
        <v>3</v>
      </c>
      <c r="I11" s="11"/>
      <c r="J11" s="10"/>
      <c r="K11" s="10"/>
      <c r="L11" s="21">
        <f>D11+E11-SUM(F11:K11)</f>
        <v>37.85</v>
      </c>
      <c r="M11" s="13">
        <f>13.5+24.35</f>
        <v>37.85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VLOOKUP($B12,'1211'!$B12:$N31,12,0)</f>
        <v>8.5</v>
      </c>
      <c r="E12" s="10">
        <v>13.45</v>
      </c>
      <c r="F12" s="11"/>
      <c r="G12" s="10">
        <v>1</v>
      </c>
      <c r="H12" s="10">
        <v>2</v>
      </c>
      <c r="I12" s="11"/>
      <c r="J12" s="10"/>
      <c r="K12" s="10"/>
      <c r="L12" s="14">
        <f t="shared" ref="L12:L22" si="1">D12+E12-SUM(F12:K12)</f>
        <v>18.95</v>
      </c>
      <c r="M12" s="13">
        <f>5.5+13.45</f>
        <v>18.95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VLOOKUP($B14,'1211'!$B14:$N33,12,0)</f>
        <v>13.85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VLOOKUP($B15,'1211'!$B15:$N34,12,0)</f>
        <v>11.6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VLOOKUP($B16,'1211'!$B16:$N35,12,0)</f>
        <v>11</v>
      </c>
      <c r="E16" s="10"/>
      <c r="F16" s="11">
        <v>0.5</v>
      </c>
      <c r="G16" s="10">
        <v>3</v>
      </c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VLOOKUP($B18,'1211'!$B18:$N37,12,0)</f>
        <v>12.8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VLOOKUP($B20,'1211'!$B20:$N39,12,0)</f>
        <v>17.95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15.95</v>
      </c>
      <c r="M20" s="13">
        <f>12.6+3.35</f>
        <v>15.95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VLOOKUP($B21,'1211'!$B21:$N40,12,0)</f>
        <v>4.8</v>
      </c>
      <c r="E21" s="12"/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1.7999999999999998</v>
      </c>
      <c r="M21" s="13">
        <v>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57.8</v>
      </c>
      <c r="F27" s="13">
        <f t="shared" si="3"/>
        <v>4.5</v>
      </c>
      <c r="G27" s="13">
        <f>SUM(G7:G26)</f>
        <v>62.199999999999996</v>
      </c>
      <c r="H27" s="13">
        <f>SUM(H7:H26)</f>
        <v>14.15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173.5</v>
      </c>
      <c r="M27" s="13">
        <f t="shared" si="3"/>
        <v>173.5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DATE(2015,11,13)</f>
        <v>42321</v>
      </c>
      <c r="E4" s="36">
        <f>D4+1</f>
        <v>42322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VLOOKUP($B7,'1311'!$B7:$N26,12,0)</f>
        <v>22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VLOOKUP($B8,'1311'!$B8:$N27,12,0)</f>
        <v>4.5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VLOOKUP($B10,'1311'!$B10:$N29,12,0)</f>
        <v>11.15</v>
      </c>
      <c r="F10" s="11"/>
      <c r="G10" s="10">
        <v>1.8</v>
      </c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VLOOKUP($B11,'1311'!$B11:$N30,12,0)</f>
        <v>37.85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34.85</v>
      </c>
      <c r="M11" s="13">
        <v>34.85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VLOOKUP($B12,'1311'!$B12:$N31,12,0)</f>
        <v>18.95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VLOOKUP($B20,'1311'!$B20:$N39,12,0)</f>
        <v>15.95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VLOOKUP($B21,'1311'!$B21:$N40,12,0)</f>
        <v>1.8</v>
      </c>
      <c r="E21" s="12">
        <v>10.6</v>
      </c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</v>
      </c>
      <c r="F27" s="13">
        <f t="shared" si="3"/>
        <v>6</v>
      </c>
      <c r="G27" s="13">
        <f>SUM(G7:G26)</f>
        <v>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213.49999999999997</v>
      </c>
      <c r="M27" s="13">
        <f t="shared" si="3"/>
        <v>213.49999999999997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DATE(2015,11,14)</f>
        <v>42322</v>
      </c>
      <c r="E4" s="36">
        <f>D4+1</f>
        <v>42323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VLOOKUP($B7,'1411'!$B7:$N26,12,0)</f>
        <v>46</v>
      </c>
      <c r="E7" s="10"/>
      <c r="F7" s="10">
        <v>8</v>
      </c>
      <c r="G7" s="10"/>
      <c r="H7" s="11"/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VLOOKUP($B8,'1411'!$B8:$N27,12,0)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VLOOKUP($B11,'1411'!$B11:$N30,12,0)</f>
        <v>34.85</v>
      </c>
      <c r="E11" s="10">
        <v>23.4</v>
      </c>
      <c r="F11" s="11"/>
      <c r="G11" s="10"/>
      <c r="H11" s="10"/>
      <c r="I11" s="11"/>
      <c r="J11" s="10"/>
      <c r="K11" s="10"/>
      <c r="L11" s="21">
        <f>D11+E11-SUM(F11:K11)</f>
        <v>58.25</v>
      </c>
      <c r="M11" s="13">
        <f>34.85+23.4</f>
        <v>58.25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VLOOKUP($B12,'1411'!$B12:$N31,12,0)</f>
        <v>32.35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23.4</v>
      </c>
      <c r="F27" s="13">
        <f t="shared" si="3"/>
        <v>8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228.89999999999998</v>
      </c>
      <c r="M27" s="13">
        <f t="shared" si="3"/>
        <v>228.89999999999998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DATE(2015,4,22)</f>
        <v>42116</v>
      </c>
      <c r="E4" s="36">
        <f>D4+1</f>
        <v>42117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38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VLOOKUP($B7,'2204'!$B7:$N26,12,0)</f>
        <v>36</v>
      </c>
      <c r="E7" s="10">
        <v>40</v>
      </c>
      <c r="F7" s="10">
        <v>6</v>
      </c>
      <c r="G7" s="10">
        <v>20</v>
      </c>
      <c r="H7" s="11">
        <v>2</v>
      </c>
      <c r="I7" s="10">
        <v>4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VLOOKUP($B8,'2204'!$B8:$N27,12,0)</f>
        <v>9.6999999999999993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8.5</v>
      </c>
      <c r="M8" s="10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VLOOKUP($B9,'2204'!$B9:$N28,12,0)</f>
        <v>13.1</v>
      </c>
      <c r="E9" s="10">
        <v>17.8</v>
      </c>
      <c r="F9" s="11"/>
      <c r="G9" s="10"/>
      <c r="H9" s="10"/>
      <c r="I9" s="10">
        <v>4</v>
      </c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VLOOKUP($B10,'2204'!$B10:$N29,12,0)</f>
        <v>11.4</v>
      </c>
      <c r="F10" s="11"/>
      <c r="G10" s="10"/>
      <c r="H10" s="10"/>
      <c r="I10" s="11"/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VLOOKUP($B11,'2204'!$B11:$N30,12,0)</f>
        <v>20.5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16.5</v>
      </c>
      <c r="M11" s="10">
        <v>16.5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VLOOKUP($B12,'2204'!$B12:$N31,12,0)</f>
        <v>19.350000000000001</v>
      </c>
      <c r="E12" s="10"/>
      <c r="F12" s="11"/>
      <c r="G12" s="10"/>
      <c r="H12" s="10"/>
      <c r="I12" s="11"/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VLOOKUP($B14,'2204'!$B14:$N33,12,0)</f>
        <v>17.100000000000001</v>
      </c>
      <c r="E14" s="10"/>
      <c r="F14" s="11">
        <v>1</v>
      </c>
      <c r="G14" s="10">
        <v>2</v>
      </c>
      <c r="H14" s="10"/>
      <c r="I14" s="11"/>
      <c r="J14" s="10"/>
      <c r="K14" s="10"/>
      <c r="L14" s="14">
        <f t="shared" si="1"/>
        <v>14.100000000000001</v>
      </c>
      <c r="M14" s="10">
        <v>14.1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VLOOKUP($B15,'2204'!$B15:$N34,12,0)</f>
        <v>13.9</v>
      </c>
      <c r="E15" s="10"/>
      <c r="F15" s="11">
        <v>0.5</v>
      </c>
      <c r="G15" s="10">
        <v>1.9</v>
      </c>
      <c r="H15" s="10"/>
      <c r="I15" s="10"/>
      <c r="J15" s="10"/>
      <c r="K15" s="10"/>
      <c r="L15" s="14">
        <f t="shared" si="1"/>
        <v>11.5</v>
      </c>
      <c r="M15" s="10">
        <v>11.5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VLOOKUP($B16,'2204'!$B16:$N35,12,0)</f>
        <v>17.5</v>
      </c>
      <c r="E16" s="10"/>
      <c r="F16" s="11"/>
      <c r="G16" s="10"/>
      <c r="H16" s="10"/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VLOOKUP($B18,'2204'!$B18:$N37,12,0)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VLOOKUP($B21,'2204'!$B21:$N40,12,0)</f>
        <v>5.7</v>
      </c>
      <c r="E21" s="12">
        <v>9.9</v>
      </c>
      <c r="F21" s="12"/>
      <c r="G21" s="12">
        <v>0.6</v>
      </c>
      <c r="H21" s="11"/>
      <c r="I21" s="12"/>
      <c r="J21" s="12"/>
      <c r="K21" s="12"/>
      <c r="L21" s="14">
        <f t="shared" si="1"/>
        <v>15.000000000000002</v>
      </c>
      <c r="M21" s="12">
        <v>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VLOOKUP($B22,'2204'!$B22:$N41,12,0)</f>
        <v>3.3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184.95000000000002</v>
      </c>
      <c r="E27" s="13">
        <f t="shared" si="2"/>
        <v>67.7</v>
      </c>
      <c r="F27" s="13">
        <f t="shared" si="2"/>
        <v>7.5</v>
      </c>
      <c r="G27" s="13">
        <f t="shared" si="2"/>
        <v>31.8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203.35</v>
      </c>
      <c r="M27" s="13">
        <f t="shared" si="2"/>
        <v>203.35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1" priority="1" stopIfTrue="1" operator="lessThan">
      <formula>0</formula>
    </cfRule>
  </conditionalFormatting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DATE(2015,11,15)</f>
        <v>42323</v>
      </c>
      <c r="E4" s="36">
        <f>D4+1</f>
        <v>42324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VLOOKUP($B7,'1511'!$B7:$N26,12,0)</f>
        <v>38</v>
      </c>
      <c r="E7" s="10">
        <v>30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52</v>
      </c>
      <c r="M7" s="13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VLOOKUP($B8,'1511'!$B8:$N27,12,0)</f>
        <v>3.3</v>
      </c>
      <c r="E8" s="10">
        <v>7</v>
      </c>
      <c r="F8" s="11"/>
      <c r="G8" s="10"/>
      <c r="H8" s="10"/>
      <c r="I8" s="10"/>
      <c r="J8" s="10"/>
      <c r="K8" s="10"/>
      <c r="L8" s="14">
        <f>D8+E8-SUM(F8:K8)</f>
        <v>10.3</v>
      </c>
      <c r="M8" s="13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VLOOKUP($B9,'1511'!$B9:$N28,12,0)</f>
        <v>18.55</v>
      </c>
      <c r="E9" s="10">
        <v>16.899999999999999</v>
      </c>
      <c r="F9" s="11"/>
      <c r="G9" s="10">
        <v>3.55</v>
      </c>
      <c r="H9" s="10"/>
      <c r="I9" s="10"/>
      <c r="J9" s="10"/>
      <c r="K9" s="10"/>
      <c r="L9" s="14">
        <f>D9+E9-SUM(F9:K9)</f>
        <v>31.900000000000002</v>
      </c>
      <c r="M9" s="13">
        <v>31.9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VLOOKUP($B11,'1511'!$B11:$N30,12,0)</f>
        <v>58.25</v>
      </c>
      <c r="E11" s="10"/>
      <c r="F11" s="11"/>
      <c r="G11" s="10">
        <v>2</v>
      </c>
      <c r="H11" s="10">
        <v>30.4</v>
      </c>
      <c r="I11" s="11"/>
      <c r="J11" s="10"/>
      <c r="K11" s="10"/>
      <c r="L11" s="21">
        <f>D11+E11-SUM(F11:K11)</f>
        <v>25.85</v>
      </c>
      <c r="M11" s="13">
        <v>25.85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VLOOKUP($B12,'1511'!$B12:$N31,12,0)</f>
        <v>32.35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31.35</v>
      </c>
      <c r="M12" s="13">
        <v>31.35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VLOOKUP($B13,'1511'!$B13:$N32,12,0)</f>
        <v>0</v>
      </c>
      <c r="E13" s="10">
        <v>3.2</v>
      </c>
      <c r="F13" s="11"/>
      <c r="G13" s="10"/>
      <c r="H13" s="10"/>
      <c r="I13" s="11"/>
      <c r="J13" s="10"/>
      <c r="K13" s="10"/>
      <c r="L13" s="14">
        <f t="shared" si="1"/>
        <v>3.2</v>
      </c>
      <c r="M13" s="13">
        <v>3.2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VLOOKUP($B14,'1511'!$B14:$N33,12,0)</f>
        <v>11.85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VLOOKUP($B15,'1511'!$B15:$N34,12,0)</f>
        <v>9.6</v>
      </c>
      <c r="E15" s="10"/>
      <c r="F15" s="11"/>
      <c r="G15" s="10">
        <v>1.6</v>
      </c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VLOOKUP($B16,'1511'!$B16:$N35,12,0)</f>
        <v>7.5</v>
      </c>
      <c r="E16" s="10">
        <v>13.3</v>
      </c>
      <c r="F16" s="11"/>
      <c r="G16" s="10">
        <v>4.5</v>
      </c>
      <c r="H16" s="10"/>
      <c r="I16" s="10"/>
      <c r="J16" s="10"/>
      <c r="K16" s="10"/>
      <c r="L16" s="14">
        <f t="shared" si="1"/>
        <v>16.3</v>
      </c>
      <c r="M16" s="13"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VLOOKUP($B18,'1511'!$B18:$N37,12,0)</f>
        <v>11.9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10.1</v>
      </c>
      <c r="M18" s="13">
        <v>10.1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VLOOKUP($B22,'1511'!$B22:$N41,12,0)</f>
        <v>1.9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0.39999999999999991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70.400000000000006</v>
      </c>
      <c r="F27" s="13">
        <f t="shared" si="3"/>
        <v>4</v>
      </c>
      <c r="G27" s="13">
        <f>SUM(G7:G26)</f>
        <v>29.450000000000003</v>
      </c>
      <c r="H27" s="13">
        <f>SUM(H7:H26)</f>
        <v>30.4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235.45</v>
      </c>
      <c r="M27" s="13">
        <f t="shared" si="3"/>
        <v>235.44999999999996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DATE(2015,11,16)</f>
        <v>42324</v>
      </c>
      <c r="E4" s="36">
        <f>D4+1</f>
        <v>42325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VLOOKUP($B7,'1611'!$B7:$N26,12,0)</f>
        <v>52</v>
      </c>
      <c r="E7" s="10">
        <v>40</v>
      </c>
      <c r="F7" s="10">
        <v>8</v>
      </c>
      <c r="G7" s="10">
        <v>8</v>
      </c>
      <c r="H7" s="11">
        <v>10</v>
      </c>
      <c r="I7" s="10"/>
      <c r="J7" s="10">
        <v>2</v>
      </c>
      <c r="K7" s="10"/>
      <c r="L7" s="14">
        <f>D7+E7-SUM(F7:K7)</f>
        <v>64</v>
      </c>
      <c r="M7" s="13">
        <f>24+40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VLOOKUP($B8,'1611'!$B8:$N27,12,0)</f>
        <v>10.3</v>
      </c>
      <c r="E8" s="10"/>
      <c r="F8" s="11"/>
      <c r="G8" s="10"/>
      <c r="H8" s="10">
        <v>1.8</v>
      </c>
      <c r="I8" s="10"/>
      <c r="J8" s="10"/>
      <c r="K8" s="10"/>
      <c r="L8" s="14">
        <f>D8+E8-SUM(F8:K8)</f>
        <v>8.5</v>
      </c>
      <c r="M8" s="13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VLOOKUP($B9,'1611'!$B9:$N28,12,0)</f>
        <v>31.9</v>
      </c>
      <c r="E9" s="10"/>
      <c r="F9" s="11">
        <v>6</v>
      </c>
      <c r="G9" s="10">
        <v>2</v>
      </c>
      <c r="H9" s="10">
        <v>5</v>
      </c>
      <c r="I9" s="10">
        <v>6</v>
      </c>
      <c r="J9" s="10"/>
      <c r="K9" s="10"/>
      <c r="L9" s="14">
        <f>D9+E9-SUM(F9:K9)</f>
        <v>12.899999999999999</v>
      </c>
      <c r="M9" s="13">
        <f>5.9+6+1</f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VLOOKUP($B10,'1611'!$B10:$N29,12,0)</f>
        <v>9.35</v>
      </c>
      <c r="F10" s="11"/>
      <c r="G10" s="10"/>
      <c r="H10" s="10">
        <v>0.9</v>
      </c>
      <c r="I10" s="11"/>
      <c r="J10" s="10"/>
      <c r="K10" s="10"/>
      <c r="L10" s="14">
        <f>D10+E10-SUM(F10:K10)</f>
        <v>8.4499999999999993</v>
      </c>
      <c r="M10" s="13">
        <f>6.95+1.5</f>
        <v>8.4499999999999993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VLOOKUP($B11,'1611'!$B11:$N30,12,0)</f>
        <v>25.85</v>
      </c>
      <c r="E11" s="10">
        <v>24.1</v>
      </c>
      <c r="F11" s="11">
        <f>6+12</f>
        <v>18</v>
      </c>
      <c r="G11" s="10">
        <v>3</v>
      </c>
      <c r="H11" s="10">
        <v>4.5</v>
      </c>
      <c r="I11" s="11"/>
      <c r="J11" s="10"/>
      <c r="K11" s="10"/>
      <c r="L11" s="14">
        <f t="shared" ref="L11:L22" si="1">D11+E11-SUM(F11:K11)</f>
        <v>24.450000000000003</v>
      </c>
      <c r="M11" s="13">
        <f>12.35+12.1</f>
        <v>24.45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VLOOKUP($B12,'1611'!$B12:$N31,12,0)</f>
        <v>31.35</v>
      </c>
      <c r="E12" s="10">
        <v>13.4</v>
      </c>
      <c r="F12" s="11">
        <v>3</v>
      </c>
      <c r="G12" s="10"/>
      <c r="H12" s="10"/>
      <c r="I12" s="11"/>
      <c r="J12" s="10"/>
      <c r="K12" s="10"/>
      <c r="L12" s="14">
        <f t="shared" si="1"/>
        <v>41.75</v>
      </c>
      <c r="M12" s="13">
        <v>41.75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VLOOKUP($B13,'1611'!$B13:$N32,12,0)</f>
        <v>3.2</v>
      </c>
      <c r="E13" s="10"/>
      <c r="F13" s="11">
        <v>3.2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VLOOKUP($B14,'1611'!$B14:$N33,12,0)</f>
        <v>10.35</v>
      </c>
      <c r="E14" s="10"/>
      <c r="F14" s="11">
        <v>4</v>
      </c>
      <c r="G14" s="10"/>
      <c r="H14" s="10"/>
      <c r="I14" s="11"/>
      <c r="J14" s="10"/>
      <c r="K14" s="10"/>
      <c r="L14" s="14">
        <f t="shared" si="1"/>
        <v>6.35</v>
      </c>
      <c r="M14" s="13">
        <f>4.85+1.5</f>
        <v>6.35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VLOOKUP($B15,'1611'!$B15:$N34,12,0)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VLOOKUP($B16,'1611'!$B16:$N35,12,0)</f>
        <v>16.3</v>
      </c>
      <c r="E16" s="10"/>
      <c r="F16" s="11"/>
      <c r="G16" s="10">
        <v>0.5</v>
      </c>
      <c r="H16" s="10">
        <v>3</v>
      </c>
      <c r="I16" s="10"/>
      <c r="J16" s="10"/>
      <c r="K16" s="10"/>
      <c r="L16" s="14">
        <f t="shared" si="1"/>
        <v>12.8</v>
      </c>
      <c r="M16" s="13">
        <v>12.8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VLOOKUP($B18,'1611'!$B18:$N37,12,0)</f>
        <v>10.1</v>
      </c>
      <c r="E18" s="10"/>
      <c r="F18" s="11">
        <v>1.1000000000000001</v>
      </c>
      <c r="G18" s="10"/>
      <c r="H18" s="10"/>
      <c r="I18" s="10"/>
      <c r="J18" s="10"/>
      <c r="K18" s="10"/>
      <c r="L18" s="14">
        <f t="shared" si="1"/>
        <v>9</v>
      </c>
      <c r="M18" s="13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f>12.6+1.35</f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VLOOKUP($B21,'1611'!$B21:$N40,12,0)</f>
        <v>12.4</v>
      </c>
      <c r="E21" s="12"/>
      <c r="F21" s="12">
        <v>1.8</v>
      </c>
      <c r="G21" s="12"/>
      <c r="H21" s="11">
        <v>2.4</v>
      </c>
      <c r="I21" s="12"/>
      <c r="J21" s="12"/>
      <c r="K21" s="12"/>
      <c r="L21" s="14">
        <f t="shared" si="1"/>
        <v>8.1999999999999993</v>
      </c>
      <c r="M21" s="13">
        <v>8.1999999999999993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77.5</v>
      </c>
      <c r="F27" s="13">
        <f t="shared" si="3"/>
        <v>45.1</v>
      </c>
      <c r="G27" s="13">
        <f>SUM(G7:G26)</f>
        <v>13.5</v>
      </c>
      <c r="H27" s="13">
        <f>SUM(H7:H26)</f>
        <v>27.599999999999998</v>
      </c>
      <c r="I27" s="13">
        <f t="shared" si="3"/>
        <v>6</v>
      </c>
      <c r="J27" s="13">
        <f t="shared" si="3"/>
        <v>2</v>
      </c>
      <c r="K27" s="13">
        <f t="shared" si="3"/>
        <v>0</v>
      </c>
      <c r="L27" s="13">
        <f t="shared" si="3"/>
        <v>218.75</v>
      </c>
      <c r="M27" s="13">
        <f t="shared" si="3"/>
        <v>218.75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DATE(2015,11,17)</f>
        <v>42325</v>
      </c>
      <c r="E4" s="36">
        <f>D4+1</f>
        <v>42326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VLOOKUP($B7,'1711'!$B7:$N26,12,0)</f>
        <v>64</v>
      </c>
      <c r="E7" s="10">
        <v>40</v>
      </c>
      <c r="F7" s="10">
        <v>4</v>
      </c>
      <c r="G7" s="10">
        <v>20</v>
      </c>
      <c r="H7" s="11">
        <v>6</v>
      </c>
      <c r="I7" s="10">
        <v>18</v>
      </c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VLOOKUP($B8,'1711'!$B8:$N27,12,0)</f>
        <v>8.5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VLOOKUP($B9,'1711'!$B9:$N28,12,0)</f>
        <v>12.9</v>
      </c>
      <c r="E9" s="10">
        <v>16.8</v>
      </c>
      <c r="F9" s="11"/>
      <c r="G9" s="10">
        <v>3</v>
      </c>
      <c r="H9" s="10">
        <v>2</v>
      </c>
      <c r="I9" s="10">
        <v>5.9</v>
      </c>
      <c r="J9" s="10"/>
      <c r="K9" s="10"/>
      <c r="L9" s="14">
        <f>D9+E9-SUM(F9:K9)</f>
        <v>18.800000000000004</v>
      </c>
      <c r="M9" s="13">
        <f>2+16.8</f>
        <v>18.8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VLOOKUP($B10,'1711'!$B10:$N29,12,0)</f>
        <v>8.4499999999999993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7.5499999999999989</v>
      </c>
      <c r="M10" s="13">
        <f>6.95+0.6</f>
        <v>7.55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VLOOKUP($B11,'1711'!$B11:$N30,12,0)</f>
        <v>24.45</v>
      </c>
      <c r="E11" s="10">
        <v>24.3</v>
      </c>
      <c r="F11" s="11"/>
      <c r="G11" s="10">
        <v>2</v>
      </c>
      <c r="H11" s="10">
        <v>2.5</v>
      </c>
      <c r="I11" s="11">
        <v>1.5</v>
      </c>
      <c r="J11" s="10"/>
      <c r="K11" s="10"/>
      <c r="L11" s="14">
        <f t="shared" ref="L11:L22" si="1">D11+E11-SUM(F11:K11)</f>
        <v>42.75</v>
      </c>
      <c r="M11" s="13">
        <f>12.1+4.35+2+24.3</f>
        <v>42.75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VLOOKUP($B12,'1711'!$B12:$N31,12,0)</f>
        <v>41.75</v>
      </c>
      <c r="E12" s="10"/>
      <c r="F12" s="11"/>
      <c r="G12" s="10">
        <v>29.85</v>
      </c>
      <c r="H12" s="10"/>
      <c r="I12" s="11">
        <v>0.5</v>
      </c>
      <c r="J12" s="10"/>
      <c r="K12" s="10"/>
      <c r="L12" s="14">
        <f t="shared" si="1"/>
        <v>11.399999999999999</v>
      </c>
      <c r="M12" s="13">
        <f>8.5+2.9</f>
        <v>11.4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VLOOKUP($B14,'1711'!$B14:$N33,12,0)</f>
        <v>6.35</v>
      </c>
      <c r="E14" s="10">
        <v>8.8699999999999992</v>
      </c>
      <c r="F14" s="11"/>
      <c r="G14" s="10"/>
      <c r="H14" s="10">
        <v>1.5</v>
      </c>
      <c r="I14" s="11"/>
      <c r="J14" s="10"/>
      <c r="K14" s="10"/>
      <c r="L14" s="14">
        <f t="shared" si="1"/>
        <v>13.719999999999999</v>
      </c>
      <c r="M14" s="13">
        <f>4.85+8.87</f>
        <v>13.719999999999999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VLOOKUP($B15,'1711'!$B15:$N34,12,0)</f>
        <v>8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VLOOKUP($B16,'1711'!$B16:$N35,12,0)</f>
        <v>12.8</v>
      </c>
      <c r="E16" s="10"/>
      <c r="F16" s="11"/>
      <c r="G16" s="10">
        <v>0.8</v>
      </c>
      <c r="H16" s="10">
        <v>1.5</v>
      </c>
      <c r="I16" s="10"/>
      <c r="J16" s="10"/>
      <c r="K16" s="10"/>
      <c r="L16" s="14">
        <f t="shared" si="1"/>
        <v>10.5</v>
      </c>
      <c r="M16" s="13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VLOOKUP($B18,'1711'!$B18:$N37,12,0)</f>
        <v>9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VLOOKUP($B20,'1711'!$B20:$N39,12,0)</f>
        <v>13.95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12.95</v>
      </c>
      <c r="M20" s="13">
        <f>12.6+0.35</f>
        <v>12.95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VLOOKUP($B21,'1711'!$B21:$N40,12,0)</f>
        <v>8.1999999999999993</v>
      </c>
      <c r="E21" s="12"/>
      <c r="F21" s="12"/>
      <c r="G21" s="12"/>
      <c r="H21" s="11">
        <v>0.9</v>
      </c>
      <c r="I21" s="12">
        <v>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89.97</v>
      </c>
      <c r="F27" s="13">
        <f t="shared" si="3"/>
        <v>4</v>
      </c>
      <c r="G27" s="13">
        <f>SUM(G7:G26)</f>
        <v>57.65</v>
      </c>
      <c r="H27" s="13">
        <f>SUM(H7:H26)</f>
        <v>16.899999999999999</v>
      </c>
      <c r="I27" s="13">
        <f t="shared" si="3"/>
        <v>27.799999999999997</v>
      </c>
      <c r="J27" s="13">
        <f t="shared" si="3"/>
        <v>0</v>
      </c>
      <c r="K27" s="13">
        <f t="shared" si="3"/>
        <v>0</v>
      </c>
      <c r="L27" s="13">
        <f t="shared" si="3"/>
        <v>202.37</v>
      </c>
      <c r="M27" s="13">
        <f t="shared" si="3"/>
        <v>202.37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DATE(2015,11,18)</f>
        <v>42326</v>
      </c>
      <c r="E4" s="36">
        <f>D4+1</f>
        <v>42327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VLOOKUP($B7,'1811'!$B7:$N26,12,0)</f>
        <v>56</v>
      </c>
      <c r="E7" s="10">
        <v>40</v>
      </c>
      <c r="F7" s="10">
        <v>6</v>
      </c>
      <c r="G7" s="10">
        <v>10</v>
      </c>
      <c r="H7" s="11">
        <v>30</v>
      </c>
      <c r="I7" s="10"/>
      <c r="J7" s="10"/>
      <c r="K7" s="10"/>
      <c r="L7" s="14">
        <f>D7+E7-SUM(F7:K7)</f>
        <v>50</v>
      </c>
      <c r="M7" s="13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VLOOKUP($B8,'1811'!$B8:$N27,12,0)</f>
        <v>7.9</v>
      </c>
      <c r="E8" s="10"/>
      <c r="F8" s="11"/>
      <c r="G8" s="10"/>
      <c r="H8" s="10"/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VLOOKUP($B9,'1811'!$B9:$N28,12,0)</f>
        <v>18.8</v>
      </c>
      <c r="E9" s="10">
        <v>16.5</v>
      </c>
      <c r="F9" s="11"/>
      <c r="G9" s="10"/>
      <c r="H9" s="10">
        <v>5</v>
      </c>
      <c r="I9" s="10"/>
      <c r="J9" s="10"/>
      <c r="K9" s="10"/>
      <c r="L9" s="14">
        <f>D9+E9-SUM(F9:K9)</f>
        <v>30.299999999999997</v>
      </c>
      <c r="M9" s="13">
        <f>13.8+16.5</f>
        <v>30.3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VLOOKUP($B10,'1811'!$B10:$N29,12,0)</f>
        <v>7.55</v>
      </c>
      <c r="E10">
        <f>9+1.27</f>
        <v>10.27</v>
      </c>
      <c r="F10" s="11"/>
      <c r="G10" s="10"/>
      <c r="H10" s="10">
        <v>0.9</v>
      </c>
      <c r="I10" s="11"/>
      <c r="J10" s="10"/>
      <c r="K10" s="10"/>
      <c r="L10" s="14">
        <f>D10+E10-SUM(F10:K10)</f>
        <v>16.920000000000002</v>
      </c>
      <c r="M10" s="13">
        <f>2.7+3.95+10.27</f>
        <v>16.920000000000002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VLOOKUP($B11,'1811'!$B11:$N30,12,0)</f>
        <v>42.75</v>
      </c>
      <c r="E11" s="10"/>
      <c r="F11" s="11"/>
      <c r="G11" s="10"/>
      <c r="H11" s="10">
        <v>5.35</v>
      </c>
      <c r="I11" s="11"/>
      <c r="J11" s="10"/>
      <c r="K11" s="10"/>
      <c r="L11" s="14">
        <f t="shared" ref="L11:L22" si="1">D11+E11-SUM(F11:K11)</f>
        <v>37.4</v>
      </c>
      <c r="M11" s="13">
        <f>24.3+12.1+1</f>
        <v>37.4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VLOOKUP($B12,'1811'!$B12:$N31,12,0)</f>
        <v>11.4</v>
      </c>
      <c r="E12" s="10">
        <v>13.5</v>
      </c>
      <c r="F12" s="11"/>
      <c r="G12" s="10"/>
      <c r="H12" s="10">
        <v>2.9</v>
      </c>
      <c r="I12" s="11"/>
      <c r="J12" s="10"/>
      <c r="K12" s="10"/>
      <c r="L12" s="14">
        <f t="shared" si="1"/>
        <v>22</v>
      </c>
      <c r="M12" s="13">
        <f>8.5+13.5</f>
        <v>22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VLOOKUP($B14,'1811'!$B14:$N33,12,0)</f>
        <v>13.719999999999999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11.719999999999999</v>
      </c>
      <c r="M14" s="13">
        <f>8.87+2.85</f>
        <v>11.719999999999999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VLOOKUP($B15,'1811'!$B15:$N34,12,0)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VLOOKUP($B16,'1811'!$B16:$N35,12,0)</f>
        <v>10.5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VLOOKUP($B18,'1811'!$B18:$N37,12,0)</f>
        <v>6.6</v>
      </c>
      <c r="E18" s="10"/>
      <c r="F18" s="11"/>
      <c r="G18" s="10"/>
      <c r="H18" s="10"/>
      <c r="I18" s="10"/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VLOOKUP($B20,'1811'!$B20:$N39,12,0)</f>
        <v>12.95</v>
      </c>
      <c r="E20" s="12"/>
      <c r="F20" s="12"/>
      <c r="G20" s="12"/>
      <c r="H20" s="11">
        <v>2.35</v>
      </c>
      <c r="I20" s="12"/>
      <c r="J20" s="12"/>
      <c r="K20" s="12"/>
      <c r="L20" s="14">
        <f t="shared" si="1"/>
        <v>10.6</v>
      </c>
      <c r="M20" s="13">
        <v>10.6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VLOOKUP($B21,'1811'!$B21:$N40,12,0)</f>
        <v>6.3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4.1999999999999993</v>
      </c>
      <c r="M21" s="13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VLOOKUP($B22,'1811'!$B22:$N41,12,0)</f>
        <v>0.4</v>
      </c>
      <c r="E22" s="10">
        <v>3.3</v>
      </c>
      <c r="F22" s="10"/>
      <c r="G22" s="12">
        <v>0.4</v>
      </c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83.57</v>
      </c>
      <c r="F27" s="13">
        <f t="shared" si="3"/>
        <v>6</v>
      </c>
      <c r="G27" s="13">
        <f>SUM(G7:G26)</f>
        <v>17</v>
      </c>
      <c r="H27" s="13">
        <f>SUM(H7:H26)</f>
        <v>48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214.93999999999997</v>
      </c>
      <c r="M27" s="13">
        <f t="shared" si="3"/>
        <v>214.94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DATE(2015,11,19)</f>
        <v>42327</v>
      </c>
      <c r="E4" s="36">
        <f>D4+1</f>
        <v>42328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'1911'!M7</f>
        <v>50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'1911'!M8</f>
        <v>7.9</v>
      </c>
      <c r="E8" s="10"/>
      <c r="F8" s="11"/>
      <c r="G8" s="10">
        <v>2.1</v>
      </c>
      <c r="H8" s="10">
        <v>1.5</v>
      </c>
      <c r="I8" s="10"/>
      <c r="J8" s="10"/>
      <c r="K8" s="10"/>
      <c r="L8" s="14">
        <f>D8+E8-SUM(F8:K8)</f>
        <v>4.3000000000000007</v>
      </c>
      <c r="M8" s="13">
        <v>4.3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'1911'!M9</f>
        <v>30.3</v>
      </c>
      <c r="E9" s="10">
        <v>16.55</v>
      </c>
      <c r="F9" s="11">
        <v>0.45</v>
      </c>
      <c r="G9" s="10">
        <v>11.8</v>
      </c>
      <c r="H9" s="10">
        <v>7</v>
      </c>
      <c r="I9" s="10"/>
      <c r="J9" s="10"/>
      <c r="K9" s="10"/>
      <c r="L9" s="14">
        <f>D9+E9-SUM(F9:K9)</f>
        <v>27.6</v>
      </c>
      <c r="M9" s="13">
        <f>6.05+5+16.55</f>
        <v>27.6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'1911'!M10</f>
        <v>16.920000000000002</v>
      </c>
      <c r="F10" s="11"/>
      <c r="G10" s="10">
        <v>2.15</v>
      </c>
      <c r="H10" s="10">
        <v>2.1</v>
      </c>
      <c r="I10" s="11"/>
      <c r="J10" s="10"/>
      <c r="K10" s="10"/>
      <c r="L10" s="14">
        <f>D10+E10-SUM(F10:K10)</f>
        <v>12.670000000000002</v>
      </c>
      <c r="M10" s="13">
        <f>2.4+10.27</f>
        <v>12.67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'1911'!M11</f>
        <v>37.4</v>
      </c>
      <c r="E11" s="10"/>
      <c r="F11" s="11"/>
      <c r="G11" s="10">
        <v>8</v>
      </c>
      <c r="H11" s="10">
        <v>2</v>
      </c>
      <c r="I11" s="11"/>
      <c r="J11" s="10"/>
      <c r="K11" s="10"/>
      <c r="L11" s="14">
        <f t="shared" ref="L11:L22" si="1">D11+E11-SUM(F11:K11)</f>
        <v>27.4</v>
      </c>
      <c r="M11" s="13">
        <f>24.3+3.1</f>
        <v>27.400000000000002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'1911'!M12</f>
        <v>22</v>
      </c>
      <c r="E12" s="10"/>
      <c r="F12" s="11"/>
      <c r="G12" s="10">
        <v>1</v>
      </c>
      <c r="H12" s="10">
        <v>2</v>
      </c>
      <c r="I12" s="11"/>
      <c r="J12" s="10"/>
      <c r="K12" s="10"/>
      <c r="L12" s="14">
        <f t="shared" si="1"/>
        <v>19</v>
      </c>
      <c r="M12" s="13">
        <f>13.5+5.5</f>
        <v>19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'1911'!M13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'1911'!M14</f>
        <v>11.719999999999999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10.719999999999999</v>
      </c>
      <c r="M14" s="13">
        <f>8.87+1.85</f>
        <v>10.719999999999999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'1911'!M15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3">
        <v>4.5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'1911'!M16</f>
        <v>8.5</v>
      </c>
      <c r="E16" s="10">
        <v>13.4</v>
      </c>
      <c r="F16" s="11"/>
      <c r="G16" s="10">
        <v>2</v>
      </c>
      <c r="H16" s="10"/>
      <c r="I16" s="10"/>
      <c r="J16" s="10"/>
      <c r="K16" s="10"/>
      <c r="L16" s="14">
        <f t="shared" si="1"/>
        <v>19.899999999999999</v>
      </c>
      <c r="M16" s="13">
        <f>6.5+13.4</f>
        <v>19.899999999999999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'1911'!M17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'1911'!M18</f>
        <v>6.6</v>
      </c>
      <c r="E18" s="10">
        <v>10.4</v>
      </c>
      <c r="F18" s="11"/>
      <c r="G18" s="10">
        <v>2.1</v>
      </c>
      <c r="H18" s="10">
        <v>2.1</v>
      </c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'1911'!M19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'1911'!M20</f>
        <v>10.6</v>
      </c>
      <c r="E20" s="12"/>
      <c r="F20" s="12"/>
      <c r="G20" s="12">
        <v>1.1000000000000001</v>
      </c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'1911'!M21</f>
        <v>4.2</v>
      </c>
      <c r="E21" s="12">
        <v>11.1</v>
      </c>
      <c r="F21" s="12"/>
      <c r="G21" s="12">
        <v>2.1</v>
      </c>
      <c r="H21" s="11">
        <v>1.8</v>
      </c>
      <c r="I21" s="12"/>
      <c r="J21" s="12"/>
      <c r="K21" s="12"/>
      <c r="L21" s="14">
        <f t="shared" si="1"/>
        <v>11.4</v>
      </c>
      <c r="M21" s="13">
        <f>0.3+11.1</f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'1911'!M22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'1911'!M23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'1911'!M24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'1911'!M25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'1911'!M26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91.45</v>
      </c>
      <c r="F27" s="13">
        <f t="shared" si="3"/>
        <v>4.45</v>
      </c>
      <c r="G27" s="13">
        <f>SUM(G7:G26)</f>
        <v>64.350000000000009</v>
      </c>
      <c r="H27" s="13">
        <f>SUM(H7:H26)</f>
        <v>18.5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219.09000000000003</v>
      </c>
      <c r="M27" s="13">
        <f t="shared" si="3"/>
        <v>219.09000000000006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DATE(2015,11,20)</f>
        <v>42328</v>
      </c>
      <c r="E4" s="36">
        <f>D4+1</f>
        <v>42329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62</v>
      </c>
      <c r="J6" s="5" t="s">
        <v>38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'2011'!M7</f>
        <v>56</v>
      </c>
      <c r="E7" s="10"/>
      <c r="F7" s="10">
        <f>32+14</f>
        <v>46</v>
      </c>
      <c r="G7" s="10"/>
      <c r="H7" s="11"/>
      <c r="I7" s="10">
        <v>8</v>
      </c>
      <c r="J7" s="10">
        <v>2</v>
      </c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'2011'!M8</f>
        <v>4.3</v>
      </c>
      <c r="E8" s="10">
        <v>0.92</v>
      </c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'2011'!M9</f>
        <v>27.6</v>
      </c>
      <c r="E9" s="10">
        <v>16.25</v>
      </c>
      <c r="F9" s="11">
        <v>5</v>
      </c>
      <c r="G9" s="10">
        <v>1</v>
      </c>
      <c r="H9" s="10"/>
      <c r="I9" s="10">
        <v>3.5</v>
      </c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'2011'!M10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'2011'!M11</f>
        <v>27.400000000000002</v>
      </c>
      <c r="E11" s="10">
        <v>24.9</v>
      </c>
      <c r="F11" s="11">
        <v>6</v>
      </c>
      <c r="G11" s="10"/>
      <c r="H11" s="10"/>
      <c r="I11" s="11">
        <v>2.6</v>
      </c>
      <c r="J11" s="10"/>
      <c r="K11" s="10"/>
      <c r="L11" s="14">
        <f t="shared" ref="L11:L22" si="1">D11+E11-SUM(F11:K11)</f>
        <v>43.699999999999996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'2011'!M12</f>
        <v>19</v>
      </c>
      <c r="E12" s="10">
        <v>14.47</v>
      </c>
      <c r="F12" s="11">
        <v>5</v>
      </c>
      <c r="G12" s="10"/>
      <c r="H12" s="10">
        <v>4.5</v>
      </c>
      <c r="I12" s="11">
        <v>1</v>
      </c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'2011'!M13</f>
        <v>0</v>
      </c>
      <c r="E13" s="10">
        <v>3.15</v>
      </c>
      <c r="F13" s="11">
        <v>3.15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'2011'!M14</f>
        <v>10.719999999999999</v>
      </c>
      <c r="E14" s="10"/>
      <c r="F14" s="11">
        <v>1.85</v>
      </c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'2011'!M15</f>
        <v>4.5</v>
      </c>
      <c r="E15" s="10">
        <v>6.1</v>
      </c>
      <c r="F15" s="11">
        <v>2</v>
      </c>
      <c r="G15" s="10"/>
      <c r="H15" s="10"/>
      <c r="I15" s="10">
        <v>1.5</v>
      </c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'2011'!M16</f>
        <v>19.899999999999999</v>
      </c>
      <c r="E16" s="10"/>
      <c r="F16" s="11">
        <v>3</v>
      </c>
      <c r="G16" s="10"/>
      <c r="H16" s="10"/>
      <c r="I16" s="10">
        <v>4</v>
      </c>
      <c r="J16" s="10"/>
      <c r="K16" s="10"/>
      <c r="L16" s="14">
        <f t="shared" si="1"/>
        <v>12.899999999999999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'2011'!M17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'2011'!M18</f>
        <v>12.8</v>
      </c>
      <c r="E18" s="10"/>
      <c r="F18" s="11">
        <v>1.2</v>
      </c>
      <c r="G18" s="10"/>
      <c r="H18" s="10"/>
      <c r="I18" s="10">
        <v>0.6</v>
      </c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'2011'!M19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'2011'!M20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'2011'!M21</f>
        <v>11.4</v>
      </c>
      <c r="E21" s="12">
        <v>5.4</v>
      </c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'2011'!M22</f>
        <v>3.3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2.0999999999999996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'2011'!M23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'2011'!M24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'2011'!M25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'2011'!M26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71.19</v>
      </c>
      <c r="F27" s="13">
        <f t="shared" si="3"/>
        <v>73.2</v>
      </c>
      <c r="G27" s="13">
        <f>SUM(G7:G26)</f>
        <v>1</v>
      </c>
      <c r="H27" s="13">
        <f>SUM(H7:H26)</f>
        <v>4.5</v>
      </c>
      <c r="I27" s="13">
        <f t="shared" si="3"/>
        <v>22.400000000000002</v>
      </c>
      <c r="J27" s="13">
        <f t="shared" si="3"/>
        <v>2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DATE(2015,11,21)</f>
        <v>42329</v>
      </c>
      <c r="E4" s="36">
        <f>D4+1</f>
        <v>42330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'2111'!M7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'2111'!M8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'2111'!M9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'2111'!M10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'2111'!M11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'2111'!M12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'2111'!M13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'2111'!M14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'2111'!M15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'2111'!M16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'2111'!M17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'2111'!M18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'2111'!M19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'2111'!M20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'2111'!M21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'2111'!M22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'2111'!M23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'2111'!M24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'2111'!M25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'2111'!M26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>
        <v>70</v>
      </c>
      <c r="F7" s="10"/>
      <c r="G7" s="10">
        <v>14</v>
      </c>
      <c r="H7" s="11">
        <v>6</v>
      </c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>
        <v>1.8</v>
      </c>
      <c r="H8" s="10">
        <v>1</v>
      </c>
      <c r="I8" s="10"/>
      <c r="J8" s="10"/>
      <c r="K8" s="10"/>
      <c r="L8" s="14">
        <f>D8+E8-SUM(F8:K8)</f>
        <v>2.42</v>
      </c>
      <c r="M8" s="13">
        <v>2.42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>
        <v>4</v>
      </c>
      <c r="H9" s="10">
        <v>3</v>
      </c>
      <c r="I9" s="10"/>
      <c r="J9" s="10"/>
      <c r="K9" s="10"/>
      <c r="L9" s="14">
        <f>D9+E9-SUM(F9:K9)</f>
        <v>27.35</v>
      </c>
      <c r="M9" s="13">
        <v>27.35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>
        <v>0.67</v>
      </c>
      <c r="H10" s="10"/>
      <c r="I10" s="11"/>
      <c r="J10" s="10"/>
      <c r="K10" s="10"/>
      <c r="L10" s="14">
        <f>D10+E10-SUM(F10:K10)</f>
        <v>12</v>
      </c>
      <c r="M10" s="13">
        <v>12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>
        <v>24.3</v>
      </c>
      <c r="F11" s="11"/>
      <c r="G11" s="10">
        <v>4</v>
      </c>
      <c r="H11" s="10">
        <v>5</v>
      </c>
      <c r="I11" s="11"/>
      <c r="J11" s="10"/>
      <c r="K11" s="10"/>
      <c r="L11" s="14">
        <f t="shared" ref="L11:L22" si="1">D11+E11-SUM(F11:K11)</f>
        <v>59</v>
      </c>
      <c r="M11" s="13">
        <v>59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>
        <v>13.4</v>
      </c>
      <c r="F12" s="11"/>
      <c r="G12" s="10"/>
      <c r="H12" s="10"/>
      <c r="I12" s="11"/>
      <c r="J12" s="10"/>
      <c r="K12" s="10"/>
      <c r="L12" s="14">
        <f t="shared" si="1"/>
        <v>36.369999999999997</v>
      </c>
      <c r="M12" s="13">
        <v>36.369999999999997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>
        <v>1.9</v>
      </c>
      <c r="H16" s="10">
        <v>1</v>
      </c>
      <c r="I16" s="10"/>
      <c r="J16" s="10"/>
      <c r="K16" s="10"/>
      <c r="L16" s="14">
        <f t="shared" si="1"/>
        <v>10</v>
      </c>
      <c r="M16" s="13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>
        <v>2.4</v>
      </c>
      <c r="H21" s="11">
        <v>3</v>
      </c>
      <c r="I21" s="12"/>
      <c r="J21" s="12"/>
      <c r="K21" s="12"/>
      <c r="L21" s="14">
        <f t="shared" si="1"/>
        <v>11.4</v>
      </c>
      <c r="M21" s="13"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107.7</v>
      </c>
      <c r="F27" s="13">
        <f t="shared" si="3"/>
        <v>0</v>
      </c>
      <c r="G27" s="13">
        <f>SUM(G7:G26)</f>
        <v>28.77</v>
      </c>
      <c r="H27" s="13">
        <f>SUM(H7:H26)</f>
        <v>19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247.11</v>
      </c>
      <c r="M27" s="13">
        <f t="shared" si="3"/>
        <v>247.11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DATE(2015,11,24)</f>
        <v>42332</v>
      </c>
      <c r="E4" s="36">
        <f>D4+1</f>
        <v>42333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'2411'!M7</f>
        <v>50</v>
      </c>
      <c r="E7" s="10">
        <v>60</v>
      </c>
      <c r="F7" s="10"/>
      <c r="G7" s="10">
        <v>30</v>
      </c>
      <c r="H7" s="11">
        <v>8</v>
      </c>
      <c r="I7" s="10">
        <v>12</v>
      </c>
      <c r="J7" s="10"/>
      <c r="K7" s="10"/>
      <c r="L7" s="14">
        <f>D7+E7-SUM(F7:K7)</f>
        <v>60</v>
      </c>
      <c r="M7" s="13">
        <v>60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'2411'!M8</f>
        <v>2.42</v>
      </c>
      <c r="E8" s="10">
        <v>5.05</v>
      </c>
      <c r="F8" s="11"/>
      <c r="G8" s="10"/>
      <c r="H8" s="10">
        <v>0.3</v>
      </c>
      <c r="I8" s="10"/>
      <c r="J8" s="10"/>
      <c r="K8" s="10"/>
      <c r="L8" s="14">
        <f>D8+E8-SUM(F8:K8)</f>
        <v>7.17</v>
      </c>
      <c r="M8" s="13">
        <f>2.12+5.05</f>
        <v>7.17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'2411'!M9</f>
        <v>27.35</v>
      </c>
      <c r="E9" s="10">
        <v>15.35</v>
      </c>
      <c r="F9" s="11"/>
      <c r="G9" s="10">
        <v>4</v>
      </c>
      <c r="H9" s="10">
        <v>2.5</v>
      </c>
      <c r="I9" s="10"/>
      <c r="J9" s="10"/>
      <c r="K9" s="10"/>
      <c r="L9" s="14">
        <f>D9+E9-SUM(F9:K9)</f>
        <v>36.200000000000003</v>
      </c>
      <c r="M9" s="13">
        <f>20.85+15.35</f>
        <v>36.200000000000003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'2411'!M10</f>
        <v>12</v>
      </c>
      <c r="F10" s="11"/>
      <c r="G10" s="10"/>
      <c r="H10" s="10">
        <v>0.6</v>
      </c>
      <c r="I10" s="11"/>
      <c r="J10" s="10"/>
      <c r="K10" s="10"/>
      <c r="L10" s="14">
        <f>D10+E10-SUM(F10:K10)</f>
        <v>11.4</v>
      </c>
      <c r="M10" s="13">
        <v>11.4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'2411'!M11</f>
        <v>59</v>
      </c>
      <c r="E11" s="10"/>
      <c r="F11" s="11"/>
      <c r="G11" s="10"/>
      <c r="H11" s="10">
        <v>3</v>
      </c>
      <c r="I11" s="11">
        <v>2.8</v>
      </c>
      <c r="J11" s="10"/>
      <c r="K11" s="10"/>
      <c r="L11" s="14">
        <f t="shared" ref="L11:L22" si="1">D11+E11-SUM(F11:K11)</f>
        <v>53.2</v>
      </c>
      <c r="M11" s="13">
        <v>53.2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'2411'!M12</f>
        <v>36.369999999999997</v>
      </c>
      <c r="E12" s="10"/>
      <c r="F12" s="11"/>
      <c r="G12" s="10">
        <v>27.87</v>
      </c>
      <c r="H12" s="10">
        <v>1</v>
      </c>
      <c r="I12" s="11">
        <v>0.5</v>
      </c>
      <c r="J12" s="10"/>
      <c r="K12" s="10"/>
      <c r="L12" s="14">
        <f t="shared" si="1"/>
        <v>6.9999999999999964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'2411'!M13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'2411'!M14</f>
        <v>8.8699999999999992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7.3699999999999992</v>
      </c>
      <c r="M14" s="13">
        <v>7.37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'2411'!M15</f>
        <v>7.1</v>
      </c>
      <c r="E15" s="10"/>
      <c r="F15" s="11"/>
      <c r="G15" s="10">
        <v>1.1000000000000001</v>
      </c>
      <c r="H15" s="10">
        <v>1</v>
      </c>
      <c r="I15" s="10"/>
      <c r="J15" s="10"/>
      <c r="K15" s="10"/>
      <c r="L15" s="14">
        <f t="shared" si="1"/>
        <v>5</v>
      </c>
      <c r="M15" s="13">
        <v>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'2411'!M16</f>
        <v>10</v>
      </c>
      <c r="E16" s="10"/>
      <c r="F16" s="11"/>
      <c r="G16" s="10">
        <v>1</v>
      </c>
      <c r="H16" s="10">
        <v>0.5</v>
      </c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'2411'!M17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'2411'!M18</f>
        <v>11</v>
      </c>
      <c r="E18" s="10"/>
      <c r="F18" s="11"/>
      <c r="G18" s="10">
        <v>1.5</v>
      </c>
      <c r="H18" s="10"/>
      <c r="I18" s="10">
        <v>1.5</v>
      </c>
      <c r="J18" s="10"/>
      <c r="K18" s="10"/>
      <c r="L18" s="14">
        <f t="shared" si="1"/>
        <v>8</v>
      </c>
      <c r="M18" s="13">
        <v>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'2411'!M19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'2411'!M20</f>
        <v>9.5</v>
      </c>
      <c r="E20" s="12"/>
      <c r="F20" s="12"/>
      <c r="G20" s="12"/>
      <c r="H20" s="11">
        <v>0.5</v>
      </c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'2411'!M21</f>
        <v>11.4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9.6</v>
      </c>
      <c r="M21" s="13"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'2411'!M22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'2411'!M23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'2411'!M24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'2411'!M25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'2411'!M26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80.399999999999991</v>
      </c>
      <c r="F27" s="13">
        <f t="shared" si="3"/>
        <v>0</v>
      </c>
      <c r="G27" s="13">
        <f>SUM(G7:G26)</f>
        <v>66.47</v>
      </c>
      <c r="H27" s="13">
        <f>SUM(H7:H26)</f>
        <v>18.799999999999997</v>
      </c>
      <c r="I27" s="13">
        <f t="shared" si="3"/>
        <v>17.7</v>
      </c>
      <c r="J27" s="13">
        <f t="shared" si="3"/>
        <v>0</v>
      </c>
      <c r="K27" s="13">
        <f t="shared" si="3"/>
        <v>0</v>
      </c>
      <c r="L27" s="13">
        <f t="shared" si="3"/>
        <v>224.54000000000002</v>
      </c>
      <c r="M27" s="13">
        <f t="shared" si="3"/>
        <v>224.54000000000002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DATE(2015,4,23)</f>
        <v>42117</v>
      </c>
      <c r="E4" s="36">
        <f>D4+1</f>
        <v>42118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VLOOKUP($B7,'2304'!$B7:$N26,12,0)</f>
        <v>44</v>
      </c>
      <c r="E7" s="10">
        <v>40</v>
      </c>
      <c r="F7" s="10">
        <v>4</v>
      </c>
      <c r="G7" s="10">
        <v>38</v>
      </c>
      <c r="H7" s="11"/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VLOOKUP($B8,'2304'!$B8:$N27,12,0)</f>
        <v>8.5</v>
      </c>
      <c r="E8" s="10"/>
      <c r="F8" s="11"/>
      <c r="G8" s="10">
        <v>5.0999999999999996</v>
      </c>
      <c r="H8" s="10">
        <v>1.3</v>
      </c>
      <c r="I8" s="10"/>
      <c r="J8" s="10"/>
      <c r="K8" s="10"/>
      <c r="L8" s="14">
        <f t="shared" ref="L8:L22" si="1">D8+E8-SUM(F8:K8)</f>
        <v>2.1000000000000005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VLOOKUP($B9,'2304'!$B9:$N28,12,0)</f>
        <v>26.9</v>
      </c>
      <c r="E9" s="10"/>
      <c r="F9" s="11"/>
      <c r="G9" s="10">
        <v>12</v>
      </c>
      <c r="H9" s="10"/>
      <c r="I9" s="10"/>
      <c r="J9" s="10"/>
      <c r="K9" s="10"/>
      <c r="L9" s="14">
        <f t="shared" si="1"/>
        <v>14.899999999999999</v>
      </c>
      <c r="M9" s="10">
        <v>14.9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VLOOKUP($B10,'2304'!$B10:$N29,12,0)</f>
        <v>11.4</v>
      </c>
      <c r="E10">
        <v>11.1</v>
      </c>
      <c r="F10" s="11"/>
      <c r="G10" s="10">
        <v>9.9</v>
      </c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VLOOKUP($B11,'2304'!$B11:$N30,12,0)</f>
        <v>16.5</v>
      </c>
      <c r="E11" s="10">
        <v>22.5</v>
      </c>
      <c r="F11" s="11"/>
      <c r="G11" s="10">
        <v>12</v>
      </c>
      <c r="H11" s="10"/>
      <c r="I11" s="11"/>
      <c r="J11" s="10"/>
      <c r="K11" s="10"/>
      <c r="L11" s="14">
        <f t="shared" si="1"/>
        <v>27</v>
      </c>
      <c r="M11" s="10">
        <v>27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VLOOKUP($B12,'2304'!$B12:$N31,12,0)</f>
        <v>19.350000000000001</v>
      </c>
      <c r="E12" s="10"/>
      <c r="F12" s="11"/>
      <c r="G12" s="10">
        <v>8</v>
      </c>
      <c r="H12" s="10"/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VLOOKUP($B14,'2304'!$B14:$N33,12,0)</f>
        <v>14.1</v>
      </c>
      <c r="E14" s="10"/>
      <c r="F14" s="11"/>
      <c r="G14" s="10">
        <v>5.0999999999999996</v>
      </c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VLOOKUP($B15,'2304'!$B15:$N34,12,0)</f>
        <v>11.5</v>
      </c>
      <c r="E15" s="10"/>
      <c r="F15" s="11"/>
      <c r="G15" s="10">
        <v>8</v>
      </c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VLOOKUP($B16,'2304'!$B16:$N35,12,0)</f>
        <v>17.5</v>
      </c>
      <c r="E16" s="10">
        <f>11.5+0.65</f>
        <v>12.15</v>
      </c>
      <c r="F16" s="11"/>
      <c r="G16" s="10">
        <v>8</v>
      </c>
      <c r="H16" s="10"/>
      <c r="I16" s="10"/>
      <c r="J16" s="10"/>
      <c r="K16" s="10"/>
      <c r="L16" s="14">
        <f t="shared" si="1"/>
        <v>21.65</v>
      </c>
      <c r="M16" s="10">
        <v>21.65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VLOOKUP($B18,'2304'!$B18:$N37,12,0)</f>
        <v>5.4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3.0000000000000004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VLOOKUP($B20,'2304'!$B20:$N39,12,0)</f>
        <v>11</v>
      </c>
      <c r="E20" s="12"/>
      <c r="F20" s="12"/>
      <c r="G20" s="12">
        <v>5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VLOOKUP($B21,'2304'!$B21:$N40,12,0)</f>
        <v>15</v>
      </c>
      <c r="E21" s="12"/>
      <c r="F21" s="12"/>
      <c r="G21" s="12">
        <v>5</v>
      </c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VLOOKUP($B22,'2304'!$B22:$N41,12,0)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203.35</v>
      </c>
      <c r="E27" s="13">
        <f t="shared" si="2"/>
        <v>85.75</v>
      </c>
      <c r="F27" s="13">
        <f t="shared" si="2"/>
        <v>4</v>
      </c>
      <c r="G27" s="13">
        <f t="shared" si="2"/>
        <v>118.5</v>
      </c>
      <c r="H27" s="13">
        <f t="shared" si="2"/>
        <v>1.3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163.29999999999998</v>
      </c>
      <c r="M27" s="13">
        <f t="shared" si="2"/>
        <v>163.29999999999998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0" priority="1" stopIfTrue="1" operator="lessThan">
      <formula>0</formula>
    </cfRule>
  </conditionalFormatting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DATE(2015,11,25)</f>
        <v>42333</v>
      </c>
      <c r="E4" s="36">
        <f>D4+1</f>
        <v>42334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59</v>
      </c>
      <c r="J6" s="5" t="s">
        <v>43</v>
      </c>
      <c r="K6" s="5" t="s">
        <v>58</v>
      </c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'2511'!M7</f>
        <v>60</v>
      </c>
      <c r="E7" s="10">
        <v>50</v>
      </c>
      <c r="F7" s="10"/>
      <c r="G7" s="10">
        <v>34</v>
      </c>
      <c r="H7" s="11">
        <v>40</v>
      </c>
      <c r="I7" s="10"/>
      <c r="J7" s="10">
        <v>34</v>
      </c>
      <c r="K7" s="10"/>
      <c r="L7" s="14">
        <f>D7+E7-SUM(F7:K7)</f>
        <v>2</v>
      </c>
      <c r="M7" s="13">
        <v>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'2511'!M8</f>
        <v>7.17</v>
      </c>
      <c r="E8" s="10"/>
      <c r="F8" s="11"/>
      <c r="G8" s="10">
        <v>2.12</v>
      </c>
      <c r="H8" s="10"/>
      <c r="I8" s="10">
        <v>1.5</v>
      </c>
      <c r="J8" s="10">
        <v>0.9</v>
      </c>
      <c r="K8" s="10">
        <v>1.2</v>
      </c>
      <c r="L8" s="14">
        <f>D8+E8-SUM(F8:K8)</f>
        <v>1.4499999999999993</v>
      </c>
      <c r="M8" s="13">
        <v>1.5</v>
      </c>
      <c r="N8" s="15">
        <f t="shared" si="0"/>
        <v>5.0000000000000711E-2</v>
      </c>
    </row>
    <row r="9" spans="1:16" ht="18.75">
      <c r="A9" s="6">
        <v>3</v>
      </c>
      <c r="B9" s="7" t="s">
        <v>14</v>
      </c>
      <c r="C9" s="8" t="s">
        <v>12</v>
      </c>
      <c r="D9" s="9">
        <f>'2511'!M9</f>
        <v>36.200000000000003</v>
      </c>
      <c r="E9" s="10">
        <v>21.1</v>
      </c>
      <c r="F9" s="11"/>
      <c r="G9" s="10">
        <v>10</v>
      </c>
      <c r="H9" s="10">
        <v>12</v>
      </c>
      <c r="I9" s="10">
        <v>4.8</v>
      </c>
      <c r="J9" s="10">
        <v>14</v>
      </c>
      <c r="K9" s="10">
        <v>2</v>
      </c>
      <c r="L9" s="14">
        <f>D9+E9-SUM(F9:K9)</f>
        <v>14.500000000000007</v>
      </c>
      <c r="M9" s="13">
        <f>11.5+3</f>
        <v>14.5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'2511'!M10</f>
        <v>11.4</v>
      </c>
      <c r="F10" s="11"/>
      <c r="G10" s="10"/>
      <c r="H10" s="10">
        <v>0.9</v>
      </c>
      <c r="I10" s="11">
        <v>2.1</v>
      </c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'2511'!M11</f>
        <v>53.2</v>
      </c>
      <c r="E11" s="10"/>
      <c r="F11" s="11">
        <v>12</v>
      </c>
      <c r="G11" s="10">
        <v>7.9</v>
      </c>
      <c r="H11" s="10">
        <v>15</v>
      </c>
      <c r="I11" s="11">
        <v>5</v>
      </c>
      <c r="J11" s="10">
        <v>7.8</v>
      </c>
      <c r="K11" s="10">
        <v>2</v>
      </c>
      <c r="L11" s="14">
        <f t="shared" ref="L11:L22" si="1">D11+E11-SUM(F11:K11)</f>
        <v>3.5000000000000071</v>
      </c>
      <c r="M11" s="13">
        <v>3.5</v>
      </c>
      <c r="N11" s="15">
        <f t="shared" si="0"/>
        <v>-7.1054273576010019E-15</v>
      </c>
    </row>
    <row r="12" spans="1:16" ht="18.75">
      <c r="A12" s="6">
        <v>6</v>
      </c>
      <c r="B12" s="7" t="s">
        <v>17</v>
      </c>
      <c r="C12" s="8" t="s">
        <v>12</v>
      </c>
      <c r="D12" s="9">
        <f>'2511'!M12</f>
        <v>7</v>
      </c>
      <c r="E12" s="10">
        <v>14.8</v>
      </c>
      <c r="F12" s="11"/>
      <c r="G12" s="10">
        <v>5</v>
      </c>
      <c r="H12" s="10">
        <v>1</v>
      </c>
      <c r="I12" s="11">
        <v>2</v>
      </c>
      <c r="J12" s="10">
        <v>1.8</v>
      </c>
      <c r="K12" s="10"/>
      <c r="L12" s="14">
        <f t="shared" si="1"/>
        <v>12</v>
      </c>
      <c r="M12" s="13"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'2511'!M13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'2511'!M14</f>
        <v>7.37</v>
      </c>
      <c r="E14" s="10"/>
      <c r="F14" s="11"/>
      <c r="G14" s="10">
        <v>3</v>
      </c>
      <c r="H14" s="10"/>
      <c r="I14" s="11"/>
      <c r="J14" s="10">
        <v>1</v>
      </c>
      <c r="K14" s="10"/>
      <c r="L14" s="14">
        <f t="shared" si="1"/>
        <v>3.37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'2511'!M15</f>
        <v>5</v>
      </c>
      <c r="E15" s="10">
        <v>10.65</v>
      </c>
      <c r="F15" s="11">
        <v>1</v>
      </c>
      <c r="G15" s="10">
        <v>3</v>
      </c>
      <c r="H15" s="10"/>
      <c r="I15" s="10"/>
      <c r="J15" s="10">
        <v>2</v>
      </c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'2511'!M16</f>
        <v>8.5</v>
      </c>
      <c r="E16" s="10"/>
      <c r="F16" s="11"/>
      <c r="G16" s="10">
        <v>5</v>
      </c>
      <c r="H16" s="10"/>
      <c r="I16" s="10"/>
      <c r="J16" s="10">
        <v>3</v>
      </c>
      <c r="K16" s="10"/>
      <c r="L16" s="14">
        <f t="shared" si="1"/>
        <v>0.5</v>
      </c>
      <c r="M16" s="13">
        <v>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'2511'!M17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'2511'!M18</f>
        <v>8</v>
      </c>
      <c r="E18" s="10"/>
      <c r="F18" s="11"/>
      <c r="G18" s="10"/>
      <c r="H18" s="10"/>
      <c r="I18" s="10">
        <v>2.1</v>
      </c>
      <c r="J18" s="10">
        <v>1.5</v>
      </c>
      <c r="K18" s="10"/>
      <c r="L18" s="14">
        <f t="shared" si="1"/>
        <v>4.4000000000000004</v>
      </c>
      <c r="M18" s="13">
        <v>4.4000000000000004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'2511'!M19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'2511'!M20</f>
        <v>9</v>
      </c>
      <c r="E20" s="12"/>
      <c r="F20" s="12"/>
      <c r="G20" s="12"/>
      <c r="H20" s="11">
        <v>2</v>
      </c>
      <c r="I20" s="12"/>
      <c r="J20" s="12">
        <v>2</v>
      </c>
      <c r="K20" s="12">
        <v>1</v>
      </c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'2511'!M21</f>
        <v>9.6</v>
      </c>
      <c r="E21" s="12"/>
      <c r="F21" s="12"/>
      <c r="G21" s="12">
        <v>3</v>
      </c>
      <c r="H21" s="11">
        <v>2.1</v>
      </c>
      <c r="I21" s="12">
        <v>1.8</v>
      </c>
      <c r="J21" s="12">
        <v>1.5</v>
      </c>
      <c r="K21" s="12"/>
      <c r="L21" s="14">
        <f t="shared" si="1"/>
        <v>1.2000000000000011</v>
      </c>
      <c r="M21" s="13"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'2511'!M22</f>
        <v>2.1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'2511'!M23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'2511'!M24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'2511'!M25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'2511'!M26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96.55</v>
      </c>
      <c r="F27" s="13">
        <f t="shared" si="3"/>
        <v>13</v>
      </c>
      <c r="G27" s="13">
        <f>SUM(G7:G26)</f>
        <v>75.11999999999999</v>
      </c>
      <c r="H27" s="13">
        <f>SUM(H7:H26)</f>
        <v>73</v>
      </c>
      <c r="I27" s="13">
        <f t="shared" si="3"/>
        <v>19.3</v>
      </c>
      <c r="J27" s="13">
        <f t="shared" si="3"/>
        <v>69.5</v>
      </c>
      <c r="K27" s="13">
        <f t="shared" si="3"/>
        <v>6.2</v>
      </c>
      <c r="L27" s="13">
        <f t="shared" si="3"/>
        <v>64.970000000000013</v>
      </c>
      <c r="M27" s="13">
        <f t="shared" si="3"/>
        <v>65.02</v>
      </c>
      <c r="N27" s="13">
        <f t="shared" si="3"/>
        <v>4.9999999999993605E-2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DATE(2015,11,26)</f>
        <v>42334</v>
      </c>
      <c r="E4" s="36">
        <f>D4+1</f>
        <v>42335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'2611'!M7</f>
        <v>2</v>
      </c>
      <c r="E7" s="10">
        <v>30</v>
      </c>
      <c r="F7" s="10"/>
      <c r="G7" s="10"/>
      <c r="H7" s="11"/>
      <c r="I7" s="10"/>
      <c r="J7" s="10"/>
      <c r="K7" s="10"/>
      <c r="L7" s="14">
        <f>D7+E7-SUM(F7:K7)</f>
        <v>32</v>
      </c>
      <c r="M7" s="13">
        <f>2+30</f>
        <v>32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'2611'!M8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f t="shared" ref="M8:M25" si="1">D8</f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'2611'!M9</f>
        <v>14.5</v>
      </c>
      <c r="E9" s="10">
        <v>16.399999999999999</v>
      </c>
      <c r="F9" s="11"/>
      <c r="G9" s="10"/>
      <c r="H9" s="10"/>
      <c r="I9" s="10"/>
      <c r="J9" s="10"/>
      <c r="K9" s="10"/>
      <c r="L9" s="14">
        <f>D9+E9-SUM(F9:K9)</f>
        <v>30.9</v>
      </c>
      <c r="M9" s="13">
        <f>14.5+16.4</f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'2611'!M10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 t="shared" si="1"/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'2611'!M11</f>
        <v>3.5</v>
      </c>
      <c r="E11" s="10">
        <v>24.1</v>
      </c>
      <c r="F11" s="11"/>
      <c r="G11" s="10"/>
      <c r="H11" s="10"/>
      <c r="I11" s="11"/>
      <c r="J11" s="10"/>
      <c r="K11" s="10"/>
      <c r="L11" s="14">
        <f t="shared" ref="L11:L22" si="2">D11+E11-SUM(F11:K11)</f>
        <v>27.6</v>
      </c>
      <c r="M11" s="13">
        <f>3.5+24.1</f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'2611'!M12</f>
        <v>12</v>
      </c>
      <c r="E12" s="10"/>
      <c r="F12" s="11"/>
      <c r="G12" s="10"/>
      <c r="H12" s="10"/>
      <c r="I12" s="11"/>
      <c r="J12" s="10"/>
      <c r="K12" s="10"/>
      <c r="L12" s="14">
        <f t="shared" si="2"/>
        <v>12</v>
      </c>
      <c r="M12" s="13">
        <f t="shared" si="1"/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'2611'!M13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'2611'!M14</f>
        <v>3.37</v>
      </c>
      <c r="E14" s="10"/>
      <c r="F14" s="11"/>
      <c r="G14" s="10"/>
      <c r="H14" s="10"/>
      <c r="I14" s="11"/>
      <c r="J14" s="10"/>
      <c r="K14" s="10"/>
      <c r="L14" s="14">
        <f t="shared" si="2"/>
        <v>3.37</v>
      </c>
      <c r="M14" s="13">
        <f t="shared" si="1"/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'2611'!M15</f>
        <v>9.65</v>
      </c>
      <c r="E15" s="10"/>
      <c r="F15" s="11"/>
      <c r="G15" s="10"/>
      <c r="H15" s="10"/>
      <c r="I15" s="10"/>
      <c r="J15" s="10"/>
      <c r="K15" s="10"/>
      <c r="L15" s="14">
        <f t="shared" si="2"/>
        <v>9.65</v>
      </c>
      <c r="M15" s="13">
        <f t="shared" si="1"/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'2611'!M16</f>
        <v>0.5</v>
      </c>
      <c r="E16" s="10">
        <v>13</v>
      </c>
      <c r="F16" s="11"/>
      <c r="G16" s="10"/>
      <c r="H16" s="10"/>
      <c r="I16" s="10"/>
      <c r="J16" s="10"/>
      <c r="K16" s="10"/>
      <c r="L16" s="14">
        <f t="shared" si="2"/>
        <v>13.5</v>
      </c>
      <c r="M16" s="13">
        <f>0.5+13</f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'2611'!M17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'2611'!M18</f>
        <v>4.4000000000000004</v>
      </c>
      <c r="E18" s="10">
        <v>10.8</v>
      </c>
      <c r="F18" s="11"/>
      <c r="G18" s="10"/>
      <c r="H18" s="10"/>
      <c r="I18" s="10"/>
      <c r="J18" s="10"/>
      <c r="K18" s="10"/>
      <c r="L18" s="14">
        <f t="shared" si="2"/>
        <v>15.200000000000001</v>
      </c>
      <c r="M18" s="13">
        <f>4.4+10.8</f>
        <v>15.200000000000001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'2611'!M19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'2611'!M20</f>
        <v>4</v>
      </c>
      <c r="E20" s="12"/>
      <c r="F20" s="12"/>
      <c r="G20" s="12"/>
      <c r="H20" s="11"/>
      <c r="I20" s="12"/>
      <c r="J20" s="12"/>
      <c r="K20" s="12"/>
      <c r="L20" s="14">
        <f t="shared" si="2"/>
        <v>4</v>
      </c>
      <c r="M20" s="13">
        <f t="shared" si="1"/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'2611'!M21</f>
        <v>1.2</v>
      </c>
      <c r="E21" s="12"/>
      <c r="F21" s="12"/>
      <c r="G21" s="12"/>
      <c r="H21" s="11"/>
      <c r="I21" s="12"/>
      <c r="J21" s="12"/>
      <c r="K21" s="12"/>
      <c r="L21" s="14">
        <f t="shared" si="2"/>
        <v>1.2</v>
      </c>
      <c r="M21" s="13">
        <f t="shared" si="1"/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'2611'!M22</f>
        <v>0</v>
      </c>
      <c r="E22" s="10"/>
      <c r="F22" s="10"/>
      <c r="G22" s="12"/>
      <c r="H22" s="11"/>
      <c r="I22" s="12"/>
      <c r="J22" s="12"/>
      <c r="K22" s="12"/>
      <c r="L22" s="14">
        <f t="shared" si="2"/>
        <v>0</v>
      </c>
      <c r="M22" s="13">
        <f t="shared" si="1"/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'2611'!M23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'2611'!M24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'2611'!M25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'2611'!M26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94.3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159.32</v>
      </c>
      <c r="M27" s="13">
        <f t="shared" si="4"/>
        <v>159.32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DATE(2015,11,27)</f>
        <v>42335</v>
      </c>
      <c r="E4" s="36">
        <f>D4+1</f>
        <v>42336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'2711'!M7</f>
        <v>32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'2711'!M8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'2711'!M9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'2711'!M10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'2711'!M11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'2711'!M12</f>
        <v>12</v>
      </c>
      <c r="E12" s="10">
        <v>14.7</v>
      </c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'2711'!M13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'2711'!M14</f>
        <v>3.37</v>
      </c>
      <c r="E14" s="10">
        <v>6.4</v>
      </c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'2711'!M15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'2711'!M16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'2711'!M17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'2711'!M18</f>
        <v>15.200000000000001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15.200000000000001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'2711'!M19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'2711'!M20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'2711'!M21</f>
        <v>1.2</v>
      </c>
      <c r="E21" s="12">
        <v>11.5</v>
      </c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'2711'!M22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>
        <f t="shared" ref="M22:M26" si="2">D22</f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'2711'!M23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2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'2711'!M24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'2711'!M25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'2711'!M26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65.099999999999994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220.42</v>
      </c>
      <c r="M27" s="13">
        <f t="shared" si="3"/>
        <v>220.42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DATE(2015,11,28)</f>
        <v>42336</v>
      </c>
      <c r="E4" s="36">
        <f>D4+1</f>
        <v>42337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'2811'!M7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'2811'!M8</f>
        <v>1.5</v>
      </c>
      <c r="E8" s="10">
        <v>8</v>
      </c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'2811'!M9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'2811'!M10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'2811'!M11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'2811'!M12</f>
        <v>26.7</v>
      </c>
      <c r="E12" s="10"/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'2811'!M13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'2811'!M14</f>
        <v>9.77</v>
      </c>
      <c r="E14" s="10"/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'2811'!M15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'2811'!M16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'2811'!M17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'2811'!M18</f>
        <v>15.2</v>
      </c>
      <c r="E18" s="10"/>
      <c r="F18" s="11"/>
      <c r="G18" s="10"/>
      <c r="H18" s="10"/>
      <c r="I18" s="10"/>
      <c r="J18" s="10"/>
      <c r="K18" s="10"/>
      <c r="L18" s="14">
        <f t="shared" si="1"/>
        <v>15.2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'2811'!M19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'2811'!M20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'2811'!M21</f>
        <v>12.7</v>
      </c>
      <c r="E21" s="12"/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'2811'!M22</f>
        <v>0</v>
      </c>
      <c r="E22" s="10">
        <v>17.399999999999999</v>
      </c>
      <c r="F22" s="10"/>
      <c r="G22" s="12"/>
      <c r="H22" s="11"/>
      <c r="I22" s="12"/>
      <c r="J22" s="12"/>
      <c r="K22" s="12"/>
      <c r="L22" s="14">
        <f t="shared" si="1"/>
        <v>17.399999999999999</v>
      </c>
      <c r="M22" s="13">
        <v>17.399999999999999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'2811'!M23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'2811'!M24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'2811'!M25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'2811'!M26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25.4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245.82</v>
      </c>
      <c r="M27" s="13">
        <f t="shared" si="3"/>
        <v>245.82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DATE(2015,11,29)</f>
        <v>42337</v>
      </c>
      <c r="E4" s="36">
        <f>D4+1</f>
        <v>42338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'2911'!M7</f>
        <v>58</v>
      </c>
      <c r="E7" s="10">
        <v>40</v>
      </c>
      <c r="F7" s="10">
        <v>40</v>
      </c>
      <c r="G7" s="10">
        <v>12</v>
      </c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'2911'!M8</f>
        <v>9.5</v>
      </c>
      <c r="E8" s="10"/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'2911'!M9</f>
        <v>30.9</v>
      </c>
      <c r="E9" s="10"/>
      <c r="F9" s="11"/>
      <c r="G9" s="10">
        <v>6</v>
      </c>
      <c r="H9" s="10"/>
      <c r="I9" s="10"/>
      <c r="J9" s="10"/>
      <c r="K9" s="10"/>
      <c r="L9" s="14">
        <f>D9+E9-SUM(F9:K9)</f>
        <v>24.9</v>
      </c>
      <c r="M9" s="13">
        <f>15.9+5+3+1</f>
        <v>24.9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'2911'!M10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>7.2+1.2</f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'2911'!M11</f>
        <v>27.6</v>
      </c>
      <c r="E11" s="10"/>
      <c r="F11" s="11">
        <v>10</v>
      </c>
      <c r="G11" s="10">
        <v>3.5</v>
      </c>
      <c r="H11" s="10"/>
      <c r="I11" s="11"/>
      <c r="J11" s="10"/>
      <c r="K11" s="10"/>
      <c r="L11" s="14">
        <f t="shared" ref="L11:L22" si="1">D11+E11-SUM(F11:K11)</f>
        <v>14.100000000000001</v>
      </c>
      <c r="M11" s="13">
        <f>6.1+4+4</f>
        <v>14.1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'2911'!M12</f>
        <v>26.7</v>
      </c>
      <c r="E12" s="10">
        <v>13.1</v>
      </c>
      <c r="F12" s="11">
        <v>5</v>
      </c>
      <c r="G12" s="10">
        <v>0.5</v>
      </c>
      <c r="H12" s="10"/>
      <c r="I12" s="11"/>
      <c r="J12" s="10"/>
      <c r="K12" s="10"/>
      <c r="L12" s="14">
        <f t="shared" si="1"/>
        <v>34.299999999999997</v>
      </c>
      <c r="M12" s="13">
        <f>11.5+9.7+13.1</f>
        <v>34.299999999999997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'2911'!M13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'2911'!M14</f>
        <v>9.77</v>
      </c>
      <c r="E14" s="10"/>
      <c r="F14" s="11">
        <v>5</v>
      </c>
      <c r="G14" s="10">
        <v>1.4</v>
      </c>
      <c r="H14" s="10"/>
      <c r="I14" s="11"/>
      <c r="J14" s="10"/>
      <c r="K14" s="10"/>
      <c r="L14" s="14">
        <f t="shared" si="1"/>
        <v>3.3699999999999992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'2911'!M15</f>
        <v>9.65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7.15</v>
      </c>
      <c r="M15" s="13">
        <f>6.5+0.65</f>
        <v>7.15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'2911'!M16</f>
        <v>13.5</v>
      </c>
      <c r="E16" s="10"/>
      <c r="F16" s="11">
        <v>4</v>
      </c>
      <c r="G16" s="10">
        <v>4</v>
      </c>
      <c r="H16" s="10"/>
      <c r="I16" s="10"/>
      <c r="J16" s="10"/>
      <c r="K16" s="10"/>
      <c r="L16" s="14">
        <f t="shared" si="1"/>
        <v>5.5</v>
      </c>
      <c r="M16" s="13">
        <f>1.5+2.5+1.5</f>
        <v>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'2911'!M18</f>
        <v>15.2</v>
      </c>
      <c r="E18" s="10"/>
      <c r="F18" s="11">
        <v>3.2</v>
      </c>
      <c r="G18" s="10">
        <v>0.9</v>
      </c>
      <c r="H18" s="10"/>
      <c r="I18" s="10"/>
      <c r="J18" s="10"/>
      <c r="K18" s="10"/>
      <c r="L18" s="14">
        <f t="shared" si="1"/>
        <v>11.099999999999998</v>
      </c>
      <c r="M18" s="13">
        <v>11.1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'2911'!M20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'2911'!M21</f>
        <v>12.7</v>
      </c>
      <c r="E21" s="12">
        <v>9.9</v>
      </c>
      <c r="F21" s="12">
        <v>3</v>
      </c>
      <c r="G21" s="12"/>
      <c r="H21" s="11"/>
      <c r="I21" s="12"/>
      <c r="J21" s="12"/>
      <c r="K21" s="12"/>
      <c r="L21" s="14">
        <f t="shared" si="1"/>
        <v>19.600000000000001</v>
      </c>
      <c r="M21" s="13">
        <v>19.600000000000001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'2911'!M22</f>
        <v>17.399999999999999</v>
      </c>
      <c r="E22" s="10"/>
      <c r="F22" s="10">
        <v>15</v>
      </c>
      <c r="G22" s="12">
        <v>1.2</v>
      </c>
      <c r="H22" s="11"/>
      <c r="I22" s="12"/>
      <c r="J22" s="12"/>
      <c r="K22" s="12"/>
      <c r="L22" s="14">
        <f t="shared" si="1"/>
        <v>1.1999999999999993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'2911'!M23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'2911'!M24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'2911'!M25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63</v>
      </c>
      <c r="F27" s="13">
        <f t="shared" si="3"/>
        <v>88.7</v>
      </c>
      <c r="G27" s="13">
        <f>SUM(G7:G26)</f>
        <v>30.999999999999996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189.11999999999998</v>
      </c>
      <c r="M27" s="13">
        <f t="shared" si="3"/>
        <v>189.11999999999998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13" activePane="bottomRight" state="frozen"/>
      <selection activeCell="A4" sqref="A4"/>
      <selection pane="topRight" activeCell="E4" sqref="E4"/>
      <selection pane="bottomLeft" activeCell="A7" sqref="A7"/>
      <selection pane="bottomRight" activeCell="N27" sqref="N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DATE(2017,5,31)</f>
        <v>42886</v>
      </c>
      <c r="E4" s="36">
        <f>D4+1</f>
        <v>42887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v>76</v>
      </c>
      <c r="E7">
        <v>30</v>
      </c>
      <c r="F7" s="10"/>
      <c r="G7" s="11"/>
      <c r="H7" s="10">
        <v>12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12</v>
      </c>
      <c r="U7" s="14">
        <f>D7+E7-SUM(F7:S7)</f>
        <v>94</v>
      </c>
      <c r="V7" s="13">
        <v>94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v>23.7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23.7</v>
      </c>
      <c r="V8" s="13">
        <v>23.7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v>31</v>
      </c>
      <c r="E9" s="10"/>
      <c r="F9" s="10"/>
      <c r="G9" s="10"/>
      <c r="H9" s="10">
        <v>2</v>
      </c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3">
        <f t="shared" si="0"/>
        <v>5</v>
      </c>
      <c r="U9" s="14">
        <f t="shared" si="1"/>
        <v>26</v>
      </c>
      <c r="V9" s="13">
        <v>26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/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v>35.549999999999997</v>
      </c>
      <c r="F11" s="11"/>
      <c r="G11" s="10"/>
      <c r="H11" s="11">
        <v>2</v>
      </c>
      <c r="I11" s="11"/>
      <c r="J11" s="11"/>
      <c r="K11" s="11"/>
      <c r="L11" s="11"/>
      <c r="M11" s="11"/>
      <c r="N11" s="11">
        <v>2</v>
      </c>
      <c r="O11" s="10"/>
      <c r="P11" s="10"/>
      <c r="Q11" s="10"/>
      <c r="R11" s="10"/>
      <c r="S11" s="10"/>
      <c r="T11" s="13">
        <f t="shared" si="0"/>
        <v>4</v>
      </c>
      <c r="U11" s="14">
        <f t="shared" si="1"/>
        <v>31.549999999999997</v>
      </c>
      <c r="V11" s="13">
        <v>31.55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v>10.5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2</v>
      </c>
      <c r="O12" s="10"/>
      <c r="P12" s="10"/>
      <c r="Q12" s="10"/>
      <c r="R12" s="10"/>
      <c r="S12" s="10"/>
      <c r="T12" s="13">
        <f t="shared" si="0"/>
        <v>2</v>
      </c>
      <c r="U12" s="14">
        <f t="shared" si="1"/>
        <v>8.5</v>
      </c>
      <c r="V12" s="13">
        <v>8.5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/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/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8">
        <v>2</v>
      </c>
      <c r="O18" s="10"/>
      <c r="P18" s="10"/>
      <c r="Q18" s="10"/>
      <c r="R18" s="10"/>
      <c r="S18" s="10"/>
      <c r="T18" s="13">
        <f t="shared" si="0"/>
        <v>2</v>
      </c>
      <c r="U18" s="14">
        <f t="shared" si="1"/>
        <v>-1</v>
      </c>
      <c r="V18" s="13"/>
      <c r="W18" s="15">
        <f t="shared" si="2"/>
        <v>1</v>
      </c>
    </row>
    <row r="19" spans="1:23" ht="18.75">
      <c r="A19" s="6">
        <v>13</v>
      </c>
      <c r="B19" s="7" t="s">
        <v>69</v>
      </c>
      <c r="C19" s="8" t="s">
        <v>12</v>
      </c>
      <c r="D19" s="13"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/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v>25.55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1</v>
      </c>
      <c r="O21" s="12"/>
      <c r="P21" s="12"/>
      <c r="Q21" s="12"/>
      <c r="R21" s="12"/>
      <c r="S21" s="12"/>
      <c r="T21" s="13">
        <f t="shared" si="0"/>
        <v>1</v>
      </c>
      <c r="U21" s="14">
        <f t="shared" si="1"/>
        <v>24.55</v>
      </c>
      <c r="V21" s="13">
        <v>24.55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/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v>87</v>
      </c>
      <c r="E24" s="10">
        <v>66</v>
      </c>
      <c r="F24" s="10">
        <v>2</v>
      </c>
      <c r="G24" s="10">
        <v>2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>
        <v>10</v>
      </c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43.5</v>
      </c>
      <c r="U24" s="14">
        <f t="shared" si="1"/>
        <v>109.5</v>
      </c>
      <c r="V24" s="13">
        <v>109.5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 t="e">
        <f>#REF!</f>
        <v>#REF!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 t="e">
        <f>#REF!</f>
        <v>#REF!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351.9</v>
      </c>
      <c r="E27" s="24">
        <f>SUM(E7:E26)</f>
        <v>96</v>
      </c>
      <c r="F27" s="13">
        <f t="shared" ref="F27:W27" si="3">SUM(F7:F26)</f>
        <v>2</v>
      </c>
      <c r="G27" s="13">
        <f t="shared" si="3"/>
        <v>2</v>
      </c>
      <c r="H27" s="13">
        <f t="shared" si="3"/>
        <v>18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20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378.4</v>
      </c>
      <c r="V27" s="13"/>
      <c r="W27" s="13">
        <f t="shared" si="3"/>
        <v>1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DATE(2017,6,1)</f>
        <v>42887</v>
      </c>
      <c r="E4" s="36">
        <f>D4+1</f>
        <v>42888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'1.6'!V7</f>
        <v>94</v>
      </c>
      <c r="E7">
        <v>40</v>
      </c>
      <c r="F7" s="10">
        <v>20</v>
      </c>
      <c r="G7" s="11"/>
      <c r="H7" s="10"/>
      <c r="I7" s="10"/>
      <c r="J7" s="10"/>
      <c r="K7" s="10"/>
      <c r="L7" s="10"/>
      <c r="M7" s="10"/>
      <c r="N7" s="10"/>
      <c r="O7" s="10"/>
      <c r="P7" s="10">
        <v>30</v>
      </c>
      <c r="Q7" s="10"/>
      <c r="R7" s="10"/>
      <c r="S7" s="10"/>
      <c r="T7" s="13">
        <f>SUM(F7:S7)</f>
        <v>50</v>
      </c>
      <c r="U7" s="14">
        <f>D7+E7-SUM(F7:S7)</f>
        <v>84</v>
      </c>
      <c r="V7" s="13">
        <v>84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'1.6'!V8</f>
        <v>23.7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23.7</v>
      </c>
      <c r="V8" s="13">
        <v>23.7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'1.6'!V9</f>
        <v>26</v>
      </c>
      <c r="E9" s="10">
        <v>8.6</v>
      </c>
      <c r="F9" s="10">
        <v>4</v>
      </c>
      <c r="G9" s="10"/>
      <c r="H9" s="10"/>
      <c r="I9" s="10"/>
      <c r="J9" s="10"/>
      <c r="K9" s="10"/>
      <c r="L9" s="10"/>
      <c r="M9" s="10"/>
      <c r="N9" s="10"/>
      <c r="O9" s="10"/>
      <c r="P9" s="10">
        <v>4</v>
      </c>
      <c r="Q9" s="10"/>
      <c r="R9" s="10"/>
      <c r="S9" s="10"/>
      <c r="T9" s="13">
        <f t="shared" si="0"/>
        <v>8</v>
      </c>
      <c r="U9" s="14">
        <f t="shared" si="1"/>
        <v>26.6</v>
      </c>
      <c r="V9" s="13">
        <v>26.6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'1.6'!V11</f>
        <v>31.55</v>
      </c>
      <c r="E11">
        <v>24.7</v>
      </c>
      <c r="F11" s="11">
        <v>12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13">
        <f t="shared" si="0"/>
        <v>17</v>
      </c>
      <c r="U11" s="14">
        <f t="shared" si="1"/>
        <v>39.25</v>
      </c>
      <c r="V11" s="13">
        <v>39.25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'1.6'!V12</f>
        <v>8.5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8.5</v>
      </c>
      <c r="V12" s="13">
        <v>8.5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'1.6'!V14</f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'1.6'!V15</f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'1.6'!V16</f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'1.6'!V18</f>
        <v>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0</v>
      </c>
      <c r="V18" s="13"/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'1.6'!V19</f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/>
      <c r="R19" s="10"/>
      <c r="S19" s="10"/>
      <c r="T19" s="13">
        <f t="shared" si="0"/>
        <v>1</v>
      </c>
      <c r="U19" s="14">
        <f t="shared" si="1"/>
        <v>7.3000000000000007</v>
      </c>
      <c r="V19" s="13">
        <v>7.3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'1.6'!V21</f>
        <v>24.55</v>
      </c>
      <c r="E21" s="12"/>
      <c r="F21" s="12">
        <v>3</v>
      </c>
      <c r="G21" s="11"/>
      <c r="H21" s="12"/>
      <c r="I21" s="12"/>
      <c r="J21" s="12"/>
      <c r="K21" s="12"/>
      <c r="L21" s="12"/>
      <c r="M21" s="12"/>
      <c r="N21" s="12"/>
      <c r="O21" s="12"/>
      <c r="P21" s="12">
        <v>2</v>
      </c>
      <c r="Q21" s="12"/>
      <c r="R21" s="12"/>
      <c r="S21" s="12"/>
      <c r="T21" s="13">
        <f t="shared" si="0"/>
        <v>5</v>
      </c>
      <c r="U21" s="14">
        <f t="shared" si="1"/>
        <v>19.55</v>
      </c>
      <c r="V21" s="13">
        <v>19.55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'1.6'!V24</f>
        <v>109.5</v>
      </c>
      <c r="E24" s="10">
        <v>46</v>
      </c>
      <c r="F24" s="10">
        <v>2</v>
      </c>
      <c r="G24" s="10"/>
      <c r="H24" s="10"/>
      <c r="I24" s="10">
        <v>14</v>
      </c>
      <c r="J24" s="10"/>
      <c r="K24" s="10">
        <v>2</v>
      </c>
      <c r="L24" s="10">
        <v>4</v>
      </c>
      <c r="M24" s="10"/>
      <c r="N24" s="10"/>
      <c r="O24" s="10">
        <v>2</v>
      </c>
      <c r="P24" s="10">
        <v>14</v>
      </c>
      <c r="Q24" s="10">
        <v>4</v>
      </c>
      <c r="R24" s="10">
        <v>1.5</v>
      </c>
      <c r="S24" s="10">
        <v>4</v>
      </c>
      <c r="T24" s="13">
        <f t="shared" si="0"/>
        <v>47.5</v>
      </c>
      <c r="U24" s="14">
        <f t="shared" si="1"/>
        <v>108</v>
      </c>
      <c r="V24" s="13">
        <v>108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379.4</v>
      </c>
      <c r="E27" s="24">
        <f>SUM(E7:E26)</f>
        <v>119.3</v>
      </c>
      <c r="F27" s="13">
        <f t="shared" ref="F27:W27" si="3">SUM(F7:F26)</f>
        <v>41</v>
      </c>
      <c r="G27" s="13">
        <f t="shared" si="3"/>
        <v>0</v>
      </c>
      <c r="H27" s="13">
        <f t="shared" si="3"/>
        <v>0</v>
      </c>
      <c r="I27" s="13">
        <f t="shared" si="3"/>
        <v>14</v>
      </c>
      <c r="J27" s="13">
        <f t="shared" si="3"/>
        <v>0</v>
      </c>
      <c r="K27" s="13">
        <f t="shared" si="3"/>
        <v>2</v>
      </c>
      <c r="L27" s="13">
        <f t="shared" si="3"/>
        <v>4</v>
      </c>
      <c r="M27" s="13">
        <f t="shared" si="3"/>
        <v>0</v>
      </c>
      <c r="N27" s="13">
        <f t="shared" si="3"/>
        <v>0</v>
      </c>
      <c r="O27" s="13">
        <f t="shared" si="3"/>
        <v>2</v>
      </c>
      <c r="P27" s="13">
        <f t="shared" si="3"/>
        <v>56</v>
      </c>
      <c r="Q27" s="13">
        <f t="shared" si="3"/>
        <v>4</v>
      </c>
      <c r="R27" s="13">
        <f t="shared" si="3"/>
        <v>1.5</v>
      </c>
      <c r="S27" s="13">
        <f t="shared" si="3"/>
        <v>4</v>
      </c>
      <c r="T27" s="13"/>
      <c r="U27" s="13">
        <f t="shared" si="3"/>
        <v>370.2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DATE(2017,6,2)</f>
        <v>42888</v>
      </c>
      <c r="E4" s="36">
        <f>D4+1</f>
        <v>42889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'2.6'!V7</f>
        <v>84</v>
      </c>
      <c r="E7">
        <v>40</v>
      </c>
      <c r="F7" s="10"/>
      <c r="G7" s="11"/>
      <c r="H7" s="10"/>
      <c r="I7" s="10">
        <v>10</v>
      </c>
      <c r="J7" s="10"/>
      <c r="K7" s="10"/>
      <c r="L7" s="10"/>
      <c r="M7" s="10"/>
      <c r="N7" s="10"/>
      <c r="O7" s="10">
        <v>12</v>
      </c>
      <c r="P7" s="10"/>
      <c r="Q7" s="10">
        <v>8</v>
      </c>
      <c r="R7" s="10"/>
      <c r="S7" s="10"/>
      <c r="T7" s="13">
        <f>SUM(F7:S7)</f>
        <v>30</v>
      </c>
      <c r="U7" s="14">
        <f>D7+E7-SUM(F7:S7)</f>
        <v>94</v>
      </c>
      <c r="V7" s="13">
        <v>94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'2.6'!V8</f>
        <v>23.7</v>
      </c>
      <c r="E8" s="10"/>
      <c r="F8" s="10"/>
      <c r="G8" s="10"/>
      <c r="H8" s="10"/>
      <c r="I8" s="10"/>
      <c r="J8" s="10"/>
      <c r="K8" s="10"/>
      <c r="L8" s="10"/>
      <c r="M8" s="10">
        <v>1.8</v>
      </c>
      <c r="N8" s="10"/>
      <c r="O8" s="10"/>
      <c r="P8" s="10"/>
      <c r="Q8" s="10"/>
      <c r="R8" s="10"/>
      <c r="S8" s="10"/>
      <c r="T8" s="13">
        <f t="shared" ref="T8:T26" si="0">SUM(F8:S8)</f>
        <v>1.8</v>
      </c>
      <c r="U8" s="14">
        <f t="shared" ref="U8:U24" si="1">D8+E8-SUM(F8:S8)</f>
        <v>21.9</v>
      </c>
      <c r="V8" s="13">
        <v>21.9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'2.6'!V9</f>
        <v>26.6</v>
      </c>
      <c r="E9" s="10"/>
      <c r="F9" s="10"/>
      <c r="G9" s="10"/>
      <c r="H9" s="10"/>
      <c r="I9" s="10"/>
      <c r="J9" s="10"/>
      <c r="K9" s="10"/>
      <c r="L9" s="10"/>
      <c r="M9" s="10">
        <v>5</v>
      </c>
      <c r="N9" s="10"/>
      <c r="O9" s="10">
        <v>2</v>
      </c>
      <c r="P9" s="10"/>
      <c r="Q9" s="10"/>
      <c r="R9" s="10"/>
      <c r="S9" s="10"/>
      <c r="T9" s="13">
        <f t="shared" si="0"/>
        <v>7</v>
      </c>
      <c r="U9" s="14">
        <f t="shared" si="1"/>
        <v>19.600000000000001</v>
      </c>
      <c r="V9" s="13">
        <v>19.600000000000001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'2.6'!V11</f>
        <v>39.25</v>
      </c>
      <c r="E11">
        <v>24.7</v>
      </c>
      <c r="F11" s="11"/>
      <c r="G11" s="10"/>
      <c r="H11" s="11"/>
      <c r="I11" s="11">
        <v>5</v>
      </c>
      <c r="J11" s="11"/>
      <c r="K11" s="11"/>
      <c r="L11" s="11"/>
      <c r="M11" s="11">
        <v>4.7</v>
      </c>
      <c r="N11" s="11"/>
      <c r="O11" s="10">
        <v>5</v>
      </c>
      <c r="P11" s="10"/>
      <c r="Q11" s="10"/>
      <c r="R11" s="10"/>
      <c r="S11" s="10"/>
      <c r="T11" s="13">
        <f t="shared" si="0"/>
        <v>14.7</v>
      </c>
      <c r="U11" s="14">
        <f t="shared" si="1"/>
        <v>49.25</v>
      </c>
      <c r="V11" s="13">
        <v>49.25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'2.6'!V12</f>
        <v>8.5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8.5</v>
      </c>
      <c r="V12" s="13">
        <v>8.5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'2.6'!V14</f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'2.6'!V15</f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'2.6'!V16</f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'2.6'!V18</f>
        <v>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0</v>
      </c>
      <c r="V18" s="13"/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'2.6'!V19</f>
        <v>7.3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7.3</v>
      </c>
      <c r="V19" s="13">
        <v>7.3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'2.6'!V21</f>
        <v>19.55</v>
      </c>
      <c r="E21" s="12">
        <v>11.3</v>
      </c>
      <c r="F21" s="12"/>
      <c r="G21" s="11"/>
      <c r="H21" s="12"/>
      <c r="I21" s="12"/>
      <c r="J21" s="12"/>
      <c r="K21" s="12"/>
      <c r="L21" s="12"/>
      <c r="M21" s="12"/>
      <c r="N21" s="12"/>
      <c r="O21" s="12">
        <v>2</v>
      </c>
      <c r="P21" s="12"/>
      <c r="Q21" s="12"/>
      <c r="R21" s="12"/>
      <c r="S21" s="12"/>
      <c r="T21" s="13">
        <f t="shared" si="0"/>
        <v>2</v>
      </c>
      <c r="U21" s="14">
        <f t="shared" si="1"/>
        <v>28.85</v>
      </c>
      <c r="V21" s="13">
        <v>28.85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'2.6'!V24</f>
        <v>108</v>
      </c>
      <c r="E24" s="10"/>
      <c r="F24" s="10">
        <v>2</v>
      </c>
      <c r="G24" s="10"/>
      <c r="H24" s="10">
        <v>2</v>
      </c>
      <c r="I24" s="10">
        <v>14</v>
      </c>
      <c r="J24" s="10"/>
      <c r="K24" s="10">
        <v>3</v>
      </c>
      <c r="L24" s="10">
        <v>5</v>
      </c>
      <c r="M24" s="10">
        <v>10</v>
      </c>
      <c r="N24" s="10"/>
      <c r="O24" s="10">
        <v>2</v>
      </c>
      <c r="P24" s="10">
        <v>14</v>
      </c>
      <c r="Q24" s="10">
        <v>4</v>
      </c>
      <c r="R24" s="10">
        <v>1</v>
      </c>
      <c r="S24" s="10"/>
      <c r="T24" s="13">
        <f t="shared" si="0"/>
        <v>57</v>
      </c>
      <c r="U24" s="14">
        <f t="shared" si="1"/>
        <v>51</v>
      </c>
      <c r="V24" s="13">
        <v>51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370.2</v>
      </c>
      <c r="E27" s="24">
        <f>SUM(E7:E26)</f>
        <v>76</v>
      </c>
      <c r="F27" s="13">
        <f t="shared" ref="F27:W27" si="3">SUM(F7:F26)</f>
        <v>2</v>
      </c>
      <c r="G27" s="13">
        <f t="shared" si="3"/>
        <v>0</v>
      </c>
      <c r="H27" s="13">
        <f t="shared" si="3"/>
        <v>2</v>
      </c>
      <c r="I27" s="13">
        <f t="shared" si="3"/>
        <v>29</v>
      </c>
      <c r="J27" s="13">
        <f t="shared" si="3"/>
        <v>0</v>
      </c>
      <c r="K27" s="13">
        <f t="shared" si="3"/>
        <v>3</v>
      </c>
      <c r="L27" s="13">
        <f t="shared" si="3"/>
        <v>5</v>
      </c>
      <c r="M27" s="13">
        <f t="shared" si="3"/>
        <v>21.5</v>
      </c>
      <c r="N27" s="13">
        <f t="shared" si="3"/>
        <v>0</v>
      </c>
      <c r="O27" s="13">
        <f t="shared" si="3"/>
        <v>23</v>
      </c>
      <c r="P27" s="13">
        <f t="shared" si="3"/>
        <v>14</v>
      </c>
      <c r="Q27" s="13">
        <f t="shared" si="3"/>
        <v>12</v>
      </c>
      <c r="R27" s="13">
        <f t="shared" si="3"/>
        <v>1</v>
      </c>
      <c r="S27" s="13">
        <f t="shared" si="3"/>
        <v>0</v>
      </c>
      <c r="T27" s="13"/>
      <c r="U27" s="13">
        <f t="shared" si="3"/>
        <v>333.7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="90" zoomScaleNormal="9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V8" sqref="V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DATE(2017,6,3)</f>
        <v>42889</v>
      </c>
      <c r="E4" s="36">
        <f>D4+1</f>
        <v>42890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'3.6'!V7</f>
        <v>94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2</v>
      </c>
      <c r="S7" s="10"/>
      <c r="T7" s="13">
        <f>SUM(F7:S7)</f>
        <v>2</v>
      </c>
      <c r="U7" s="14">
        <f>D7+E7-SUM(F7:S7)</f>
        <v>92</v>
      </c>
      <c r="V7" s="13">
        <v>92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'3.6'!V8</f>
        <v>21.9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21.9</v>
      </c>
      <c r="V8" s="13">
        <v>21.9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'3.6'!V9</f>
        <v>19.600000000000001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19.600000000000001</v>
      </c>
      <c r="V9" s="13">
        <v>19.600000000000001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'3.6'!V10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'3.6'!V11</f>
        <v>49.25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49.25</v>
      </c>
      <c r="V11" s="13">
        <v>49.25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'3.6'!V12</f>
        <v>8.5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8.5</v>
      </c>
      <c r="V12" s="13">
        <v>8.5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'3.6'!V13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'3.6'!V14</f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'3.6'!V15</f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'3.6'!V16</f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'3.6'!V17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'3.6'!V18</f>
        <v>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0</v>
      </c>
      <c r="V18" s="13"/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'3.6'!V19</f>
        <v>7.3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7.3</v>
      </c>
      <c r="V19" s="13">
        <v>7.3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'3.6'!V20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'3.6'!V21</f>
        <v>28.85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28.85</v>
      </c>
      <c r="V21" s="13">
        <v>28.85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'3.6'!V22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'3.6'!V23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'3.6'!V24</f>
        <v>51</v>
      </c>
      <c r="E24" s="10"/>
      <c r="F24" s="10">
        <v>2</v>
      </c>
      <c r="G24" s="10">
        <v>4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1.5</v>
      </c>
      <c r="S24" s="10">
        <v>4</v>
      </c>
      <c r="T24" s="13">
        <f t="shared" si="0"/>
        <v>40</v>
      </c>
      <c r="U24" s="14">
        <f t="shared" si="1"/>
        <v>11</v>
      </c>
      <c r="V24" s="13">
        <v>11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'3.6'!V25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'3.6'!V26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333.7</v>
      </c>
      <c r="E27" s="24">
        <f>SUM(E7:E26)</f>
        <v>0</v>
      </c>
      <c r="F27" s="13">
        <f t="shared" ref="F27:W27" si="3">SUM(F7:F26)</f>
        <v>2</v>
      </c>
      <c r="G27" s="13">
        <f t="shared" si="3"/>
        <v>4</v>
      </c>
      <c r="H27" s="13">
        <f t="shared" si="3"/>
        <v>2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3.5</v>
      </c>
      <c r="S27" s="13">
        <f t="shared" si="3"/>
        <v>4</v>
      </c>
      <c r="T27" s="13"/>
      <c r="U27" s="13">
        <f t="shared" si="3"/>
        <v>291.7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K12" sqref="K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DATE(2017,6,4)</f>
        <v>42890</v>
      </c>
      <c r="E4" s="36">
        <f>D4+1</f>
        <v>42891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'4.6'!V7</f>
        <v>92</v>
      </c>
      <c r="E7">
        <v>40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/>
      <c r="P7" s="10"/>
      <c r="Q7" s="10"/>
      <c r="R7" s="10"/>
      <c r="S7" s="10"/>
      <c r="T7" s="13">
        <f>SUM(F7:S7)</f>
        <v>12</v>
      </c>
      <c r="U7" s="14">
        <f>D7+E7-SUM(F7:S7)</f>
        <v>120</v>
      </c>
      <c r="V7" s="13">
        <v>120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'4.6'!V8</f>
        <v>21.9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21.9</v>
      </c>
      <c r="V8" s="13">
        <v>21.9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'4.6'!V9</f>
        <v>19.600000000000001</v>
      </c>
      <c r="E9" s="10">
        <v>8.9</v>
      </c>
      <c r="F9" s="10"/>
      <c r="G9" s="10"/>
      <c r="H9" s="10"/>
      <c r="I9" s="10"/>
      <c r="J9" s="10"/>
      <c r="K9" s="10">
        <v>4</v>
      </c>
      <c r="L9" s="10"/>
      <c r="M9" s="10"/>
      <c r="N9" s="10"/>
      <c r="O9" s="10"/>
      <c r="P9" s="10"/>
      <c r="Q9" s="10"/>
      <c r="R9" s="10"/>
      <c r="S9" s="10"/>
      <c r="T9" s="13">
        <f t="shared" si="0"/>
        <v>4</v>
      </c>
      <c r="U9" s="14">
        <f t="shared" si="1"/>
        <v>24.5</v>
      </c>
      <c r="V9" s="13">
        <v>24.5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'4.6'!V10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'4.6'!V11</f>
        <v>49.25</v>
      </c>
      <c r="F11" s="11"/>
      <c r="G11" s="10"/>
      <c r="H11" s="11"/>
      <c r="I11" s="11"/>
      <c r="J11" s="11"/>
      <c r="K11" s="11">
        <v>3</v>
      </c>
      <c r="L11" s="11"/>
      <c r="M11" s="11"/>
      <c r="N11" s="11"/>
      <c r="O11" s="10"/>
      <c r="P11" s="10"/>
      <c r="Q11" s="10"/>
      <c r="R11" s="10"/>
      <c r="S11" s="10"/>
      <c r="T11" s="13">
        <f t="shared" si="0"/>
        <v>3</v>
      </c>
      <c r="U11" s="14">
        <f t="shared" si="1"/>
        <v>46.25</v>
      </c>
      <c r="V11" s="13">
        <v>46.25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'4.6'!V12</f>
        <v>8.5</v>
      </c>
      <c r="E12" s="10"/>
      <c r="F12" s="11"/>
      <c r="G12" s="10"/>
      <c r="H12" s="11"/>
      <c r="I12" s="11"/>
      <c r="J12" s="11"/>
      <c r="K12" s="11">
        <v>1.5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1.5</v>
      </c>
      <c r="U12" s="14">
        <f t="shared" si="1"/>
        <v>7</v>
      </c>
      <c r="V12" s="13">
        <v>7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'4.6'!V13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'4.6'!V14</f>
        <v>14.1</v>
      </c>
      <c r="E14" s="10"/>
      <c r="F14" s="11"/>
      <c r="G14" s="10"/>
      <c r="H14" s="11"/>
      <c r="I14" s="11"/>
      <c r="J14" s="11"/>
      <c r="K14" s="11">
        <v>3</v>
      </c>
      <c r="L14" s="11"/>
      <c r="M14" s="11"/>
      <c r="N14" s="11"/>
      <c r="O14" s="10"/>
      <c r="P14" s="10"/>
      <c r="Q14" s="10"/>
      <c r="R14" s="10"/>
      <c r="S14" s="10"/>
      <c r="T14" s="13">
        <f t="shared" si="0"/>
        <v>3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'4.6'!V15</f>
        <v>18.95</v>
      </c>
      <c r="E15" s="10"/>
      <c r="F15" s="11"/>
      <c r="G15" s="10"/>
      <c r="H15" s="10"/>
      <c r="I15" s="10"/>
      <c r="J15" s="10"/>
      <c r="K15" s="10">
        <v>2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2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'4.6'!V16</f>
        <v>18.25</v>
      </c>
      <c r="E16" s="10">
        <v>12.1</v>
      </c>
      <c r="F16" s="11"/>
      <c r="G16" s="10"/>
      <c r="H16" s="10"/>
      <c r="I16" s="10"/>
      <c r="J16" s="10"/>
      <c r="K16" s="10">
        <v>5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5</v>
      </c>
      <c r="U16" s="14">
        <f t="shared" si="1"/>
        <v>25.35</v>
      </c>
      <c r="V16" s="13">
        <v>25.35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'4.6'!V17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'4.6'!V18</f>
        <v>0</v>
      </c>
      <c r="E18" s="10">
        <v>11.15</v>
      </c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11.15</v>
      </c>
      <c r="V18" s="13">
        <v>11.15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'4.6'!V19</f>
        <v>7.3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7.3</v>
      </c>
      <c r="V19" s="13">
        <v>7.3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'4.6'!V20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'4.6'!V21</f>
        <v>28.85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28.85</v>
      </c>
      <c r="V21" s="13">
        <v>28.85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'4.6'!V22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'4.6'!V23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'4.6'!V24</f>
        <v>11</v>
      </c>
      <c r="E24" s="10">
        <v>58</v>
      </c>
      <c r="F24" s="10">
        <v>2</v>
      </c>
      <c r="G24" s="10"/>
      <c r="H24" s="10">
        <v>2</v>
      </c>
      <c r="I24" s="10">
        <v>8</v>
      </c>
      <c r="J24" s="10">
        <v>1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32.5</v>
      </c>
      <c r="U24" s="14">
        <f t="shared" si="1"/>
        <v>36.5</v>
      </c>
      <c r="V24" s="13">
        <v>36.5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'4.6'!V25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'4.6'!V26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291.7</v>
      </c>
      <c r="E27" s="24">
        <f>SUM(E7:E26)</f>
        <v>130.15</v>
      </c>
      <c r="F27" s="13">
        <f t="shared" ref="F27:W27" si="3">SUM(F7:F26)</f>
        <v>2</v>
      </c>
      <c r="G27" s="13">
        <f t="shared" si="3"/>
        <v>0</v>
      </c>
      <c r="H27" s="13">
        <f t="shared" si="3"/>
        <v>2</v>
      </c>
      <c r="I27" s="13">
        <f t="shared" si="3"/>
        <v>8</v>
      </c>
      <c r="J27" s="13">
        <f t="shared" si="3"/>
        <v>1</v>
      </c>
      <c r="K27" s="13">
        <f t="shared" si="3"/>
        <v>32.5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358.85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DATE(2015,4,24)</f>
        <v>42118</v>
      </c>
      <c r="E4" s="36">
        <f>D4+1</f>
        <v>42119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48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VLOOKUP($B7,'2404'!$B7:$N26,12,0)</f>
        <v>40</v>
      </c>
      <c r="E7" s="10">
        <v>20</v>
      </c>
      <c r="F7" s="10">
        <v>6</v>
      </c>
      <c r="G7" s="10"/>
      <c r="H7" s="11"/>
      <c r="I7" s="10">
        <v>30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VLOOKUP($B8,'2404'!$B8:$N27,12,0)</f>
        <v>2.1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VLOOKUP($B9,'2404'!$B9:$N28,12,0)</f>
        <v>14.9</v>
      </c>
      <c r="E9" s="10">
        <v>17.7</v>
      </c>
      <c r="F9" s="11"/>
      <c r="G9" s="10">
        <v>3</v>
      </c>
      <c r="H9" s="10"/>
      <c r="I9" s="10">
        <v>6</v>
      </c>
      <c r="J9" s="10"/>
      <c r="K9" s="10"/>
      <c r="L9" s="14">
        <f t="shared" si="1"/>
        <v>23.6</v>
      </c>
      <c r="M9" s="10">
        <f>17.7+5.8</f>
        <v>23.5</v>
      </c>
      <c r="N9" s="15">
        <f t="shared" si="0"/>
        <v>-0.10000000000000142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VLOOKUP($B10,'2404'!$B10:$N29,12,0)</f>
        <v>12.6</v>
      </c>
      <c r="F10" s="11"/>
      <c r="G10" s="10">
        <v>3.3</v>
      </c>
      <c r="H10" s="10"/>
      <c r="I10" s="11">
        <v>1.8</v>
      </c>
      <c r="J10" s="10"/>
      <c r="K10" s="10"/>
      <c r="L10" s="14">
        <f t="shared" si="1"/>
        <v>7.5</v>
      </c>
      <c r="M10" s="10">
        <v>8.1</v>
      </c>
      <c r="N10" s="15">
        <f t="shared" si="0"/>
        <v>0.59999999999999964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VLOOKUP($B11,'2404'!$B11:$N30,12,0)</f>
        <v>27</v>
      </c>
      <c r="E11" s="10"/>
      <c r="F11" s="11">
        <v>1</v>
      </c>
      <c r="G11" s="10">
        <v>8</v>
      </c>
      <c r="H11" s="10"/>
      <c r="I11" s="11">
        <v>10</v>
      </c>
      <c r="J11" s="10"/>
      <c r="K11" s="10"/>
      <c r="L11" s="14">
        <f t="shared" si="1"/>
        <v>8</v>
      </c>
      <c r="M11" s="10">
        <v>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VLOOKUP($B12,'2404'!$B12:$N31,12,0)</f>
        <v>11.35</v>
      </c>
      <c r="E12" s="10">
        <f>12+15.5</f>
        <v>27.5</v>
      </c>
      <c r="F12" s="11"/>
      <c r="G12" s="10">
        <v>3</v>
      </c>
      <c r="H12" s="10"/>
      <c r="I12" s="11">
        <v>5</v>
      </c>
      <c r="J12" s="10"/>
      <c r="K12" s="10"/>
      <c r="L12" s="14">
        <f t="shared" si="1"/>
        <v>30.85</v>
      </c>
      <c r="M12" s="10">
        <f>3.3+27.5</f>
        <v>30.8</v>
      </c>
      <c r="N12" s="15">
        <f t="shared" si="0"/>
        <v>-5.0000000000000711E-2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VLOOKUP($B14,'2404'!$B14:$N33,12,0)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VLOOKUP($B15,'2404'!$B15:$N34,12,0)</f>
        <v>3.5</v>
      </c>
      <c r="E15" s="10"/>
      <c r="F15" s="11"/>
      <c r="G15" s="10"/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VLOOKUP($B16,'2404'!$B16:$N35,12,0)</f>
        <v>21.65</v>
      </c>
      <c r="E16" s="10"/>
      <c r="F16" s="11"/>
      <c r="G16" s="10">
        <v>3</v>
      </c>
      <c r="H16" s="10">
        <v>5</v>
      </c>
      <c r="I16" s="10"/>
      <c r="J16" s="10"/>
      <c r="K16" s="10"/>
      <c r="L16" s="14">
        <f t="shared" si="1"/>
        <v>13.649999999999999</v>
      </c>
      <c r="M16" s="10">
        <v>14</v>
      </c>
      <c r="N16" s="15">
        <f t="shared" si="0"/>
        <v>0.35000000000000142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VLOOKUP($B18,'2404'!$B18:$N37,12,0)</f>
        <v>3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VLOOKUP($B20,'2404'!$B20:$N39,12,0)</f>
        <v>6</v>
      </c>
      <c r="E20" s="12"/>
      <c r="F20" s="12"/>
      <c r="G20" s="12">
        <v>1</v>
      </c>
      <c r="H20" s="11"/>
      <c r="I20" s="12">
        <v>2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VLOOKUP($B21,'2404'!$B21:$N40,12,0)</f>
        <v>10</v>
      </c>
      <c r="E21" s="12"/>
      <c r="F21" s="12"/>
      <c r="G21" s="12"/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VLOOKUP($B22,'2404'!$B22:$N41,12,0)</f>
        <v>1.2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163.29999999999998</v>
      </c>
      <c r="E27" s="13">
        <f t="shared" si="2"/>
        <v>73.900000000000006</v>
      </c>
      <c r="F27" s="13">
        <f t="shared" si="2"/>
        <v>7</v>
      </c>
      <c r="G27" s="13">
        <f t="shared" si="2"/>
        <v>26.4</v>
      </c>
      <c r="H27" s="13">
        <f t="shared" si="2"/>
        <v>5</v>
      </c>
      <c r="I27" s="13">
        <f t="shared" si="2"/>
        <v>56</v>
      </c>
      <c r="J27" s="13">
        <f t="shared" si="2"/>
        <v>0</v>
      </c>
      <c r="K27" s="13">
        <f t="shared" si="2"/>
        <v>0</v>
      </c>
      <c r="L27" s="13">
        <f t="shared" si="2"/>
        <v>142.80000000000001</v>
      </c>
      <c r="M27" s="13">
        <f t="shared" si="2"/>
        <v>143.6</v>
      </c>
      <c r="N27" s="13">
        <f t="shared" si="2"/>
        <v>0.79999999999999893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9" priority="1" stopIfTrue="1" operator="lessThan">
      <formula>0</formula>
    </cfRule>
  </conditionalFormatting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F7" activePane="bottomRight" state="frozen"/>
      <selection activeCell="A4" sqref="A4"/>
      <selection pane="topRight" activeCell="E4" sqref="E4"/>
      <selection pane="bottomLeft" activeCell="A7" sqref="A7"/>
      <selection pane="bottomRight" activeCell="J7" sqref="J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DATE(2017,6,5)</f>
        <v>42891</v>
      </c>
      <c r="E4" s="36">
        <f>D4+1</f>
        <v>42892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'5.6'!V7</f>
        <v>120</v>
      </c>
      <c r="E7">
        <v>30</v>
      </c>
      <c r="F7" s="10">
        <v>4</v>
      </c>
      <c r="G7" s="11">
        <v>12</v>
      </c>
      <c r="H7" s="10"/>
      <c r="I7" s="10">
        <v>40</v>
      </c>
      <c r="J7" s="10">
        <v>10</v>
      </c>
      <c r="K7" s="10"/>
      <c r="L7" s="10"/>
      <c r="M7" s="10"/>
      <c r="N7" s="10"/>
      <c r="O7" s="10">
        <v>16</v>
      </c>
      <c r="P7" s="10"/>
      <c r="Q7" s="10"/>
      <c r="R7" s="10"/>
      <c r="S7" s="10"/>
      <c r="T7" s="13">
        <f>SUM(F7:S7)</f>
        <v>82</v>
      </c>
      <c r="U7" s="14">
        <f>D7+E7-SUM(F7:S7)</f>
        <v>68</v>
      </c>
      <c r="V7" s="13">
        <v>68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'5.6'!V8</f>
        <v>21.9</v>
      </c>
      <c r="E8" s="10"/>
      <c r="F8" s="10"/>
      <c r="G8" s="10">
        <v>2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2</v>
      </c>
      <c r="U8" s="14">
        <f t="shared" ref="U8:U24" si="1">D8+E8-SUM(F8:S8)</f>
        <v>19.899999999999999</v>
      </c>
      <c r="V8" s="13">
        <v>14</v>
      </c>
      <c r="W8" s="15">
        <f t="shared" ref="W8:W26" si="2">V8-U8</f>
        <v>-5.8999999999999986</v>
      </c>
    </row>
    <row r="9" spans="1:23" ht="18.75">
      <c r="A9" s="6">
        <v>3</v>
      </c>
      <c r="B9" s="7" t="s">
        <v>14</v>
      </c>
      <c r="C9" s="8" t="s">
        <v>12</v>
      </c>
      <c r="D9" s="13">
        <f>'5.6'!V9</f>
        <v>24.5</v>
      </c>
      <c r="E9" s="10"/>
      <c r="F9" s="10"/>
      <c r="G9" s="10">
        <v>5.0999999999999996</v>
      </c>
      <c r="H9" s="10"/>
      <c r="I9" s="10">
        <v>5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12.1</v>
      </c>
      <c r="U9" s="14">
        <f t="shared" si="1"/>
        <v>12.4</v>
      </c>
      <c r="V9" s="13">
        <v>12.4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'5.6'!V10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'5.6'!V11</f>
        <v>46.25</v>
      </c>
      <c r="E11">
        <v>24.5</v>
      </c>
      <c r="F11" s="11"/>
      <c r="G11" s="10">
        <v>5</v>
      </c>
      <c r="H11" s="11"/>
      <c r="I11" s="11">
        <v>7</v>
      </c>
      <c r="J11" s="11">
        <v>4</v>
      </c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16</v>
      </c>
      <c r="U11" s="14">
        <f t="shared" si="1"/>
        <v>54.75</v>
      </c>
      <c r="V11" s="13">
        <f>19.7+2.5+24.5</f>
        <v>46.7</v>
      </c>
      <c r="W11" s="15">
        <f t="shared" si="2"/>
        <v>-8.0499999999999972</v>
      </c>
    </row>
    <row r="12" spans="1:23" ht="18.75">
      <c r="A12" s="6">
        <v>6</v>
      </c>
      <c r="B12" s="7" t="s">
        <v>67</v>
      </c>
      <c r="C12" s="8" t="s">
        <v>12</v>
      </c>
      <c r="D12" s="13">
        <f>'5.6'!V12</f>
        <v>7</v>
      </c>
      <c r="E12" s="10"/>
      <c r="F12" s="11"/>
      <c r="G12" s="10"/>
      <c r="H12" s="11"/>
      <c r="I12" s="11"/>
      <c r="J12" s="11">
        <v>1</v>
      </c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1</v>
      </c>
      <c r="U12" s="14">
        <f t="shared" si="1"/>
        <v>6</v>
      </c>
      <c r="V12" s="13">
        <v>7.5</v>
      </c>
      <c r="W12" s="15">
        <f t="shared" si="2"/>
        <v>1.5</v>
      </c>
    </row>
    <row r="13" spans="1:23" ht="18.75">
      <c r="A13" s="6">
        <v>7</v>
      </c>
      <c r="B13" s="7" t="s">
        <v>18</v>
      </c>
      <c r="C13" s="8" t="s">
        <v>12</v>
      </c>
      <c r="D13" s="13">
        <f>'5.6'!V13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'5.6'!V14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'5.6'!V15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'5.6'!V16</f>
        <v>25.35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25.35</v>
      </c>
      <c r="V16" s="13">
        <f>12.1+5+4</f>
        <v>21.1</v>
      </c>
      <c r="W16" s="15">
        <f t="shared" si="2"/>
        <v>-4.25</v>
      </c>
    </row>
    <row r="17" spans="1:23" ht="18.75">
      <c r="A17" s="6">
        <v>11</v>
      </c>
      <c r="B17" s="7" t="s">
        <v>68</v>
      </c>
      <c r="C17" s="8" t="s">
        <v>12</v>
      </c>
      <c r="D17" s="13">
        <f>'5.6'!V17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'5.6'!V18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11.15</v>
      </c>
      <c r="V18" s="13">
        <f>5.5+5.65+2</f>
        <v>13.15</v>
      </c>
      <c r="W18" s="15">
        <f t="shared" si="2"/>
        <v>2</v>
      </c>
    </row>
    <row r="19" spans="1:23" ht="18.75">
      <c r="A19" s="6">
        <v>13</v>
      </c>
      <c r="B19" s="7" t="s">
        <v>69</v>
      </c>
      <c r="C19" s="8" t="s">
        <v>12</v>
      </c>
      <c r="D19" s="13">
        <f>'5.6'!V19</f>
        <v>7.3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7.3</v>
      </c>
      <c r="V19" s="13">
        <v>7.5</v>
      </c>
      <c r="W19" s="15">
        <f t="shared" si="2"/>
        <v>0.20000000000000018</v>
      </c>
    </row>
    <row r="20" spans="1:23" ht="18.75">
      <c r="A20" s="6">
        <v>14</v>
      </c>
      <c r="B20" s="7" t="s">
        <v>25</v>
      </c>
      <c r="C20" s="8" t="s">
        <v>12</v>
      </c>
      <c r="D20" s="13">
        <f>'5.6'!V20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'5.6'!V21</f>
        <v>28.85</v>
      </c>
      <c r="E21" s="12"/>
      <c r="F21" s="12"/>
      <c r="G21" s="11"/>
      <c r="H21" s="12"/>
      <c r="I21" s="12"/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1</v>
      </c>
      <c r="U21" s="14">
        <f t="shared" si="1"/>
        <v>27.85</v>
      </c>
      <c r="V21" s="13">
        <f>5.3+5+11.9+4.5</f>
        <v>26.700000000000003</v>
      </c>
      <c r="W21" s="15">
        <f t="shared" si="2"/>
        <v>-1.1499999999999986</v>
      </c>
    </row>
    <row r="22" spans="1:23" ht="18.75">
      <c r="A22" s="6">
        <v>16</v>
      </c>
      <c r="B22" s="7" t="s">
        <v>27</v>
      </c>
      <c r="C22" s="8" t="s">
        <v>12</v>
      </c>
      <c r="D22" s="13">
        <f>'5.6'!V22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'5.6'!V23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'5.6'!V24</f>
        <v>36.5</v>
      </c>
      <c r="E24" s="10">
        <v>57</v>
      </c>
      <c r="F24" s="10">
        <v>2</v>
      </c>
      <c r="G24" s="10"/>
      <c r="H24" s="10">
        <v>2</v>
      </c>
      <c r="I24" s="10">
        <v>18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3">
        <f t="shared" si="0"/>
        <v>43.5</v>
      </c>
      <c r="U24" s="14">
        <f t="shared" si="1"/>
        <v>50</v>
      </c>
      <c r="V24" s="13">
        <v>50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'5.6'!V25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'5.6'!V26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358.85</v>
      </c>
      <c r="E27" s="24">
        <f>SUM(E7:E26)</f>
        <v>111.5</v>
      </c>
      <c r="F27" s="13">
        <f t="shared" ref="F27:W27" si="3">SUM(F7:F26)</f>
        <v>6</v>
      </c>
      <c r="G27" s="13">
        <f t="shared" si="3"/>
        <v>24.1</v>
      </c>
      <c r="H27" s="13">
        <f t="shared" si="3"/>
        <v>2</v>
      </c>
      <c r="I27" s="13">
        <f t="shared" si="3"/>
        <v>70</v>
      </c>
      <c r="J27" s="13">
        <f t="shared" si="3"/>
        <v>20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18.5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>
        <f t="shared" si="3"/>
        <v>312.75</v>
      </c>
      <c r="V27" s="13"/>
      <c r="W27" s="13">
        <f t="shared" si="3"/>
        <v>-15.649999999999995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V8" sqref="V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DATE(2017,6,6)</f>
        <v>42892</v>
      </c>
      <c r="E4" s="36">
        <f>D4+1</f>
        <v>42893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'6.6'!V7</f>
        <v>68</v>
      </c>
      <c r="E7">
        <v>40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/>
      <c r="P7" s="10"/>
      <c r="Q7" s="10">
        <v>20</v>
      </c>
      <c r="R7" s="10"/>
      <c r="S7" s="10"/>
      <c r="T7" s="13">
        <f>SUM(F7:S7)</f>
        <v>48</v>
      </c>
      <c r="U7" s="14">
        <f>D7+E7-SUM(F7:S7)</f>
        <v>60</v>
      </c>
      <c r="V7" s="13">
        <v>60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'6.6'!V8</f>
        <v>14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2.5</v>
      </c>
      <c r="R8" s="10"/>
      <c r="S8" s="10"/>
      <c r="T8" s="13">
        <f t="shared" ref="T8:T26" si="0">SUM(F8:S8)</f>
        <v>4.5</v>
      </c>
      <c r="U8" s="14">
        <f t="shared" ref="U8:U24" si="1">D8+E8-SUM(F8:S8)</f>
        <v>9.5</v>
      </c>
      <c r="V8" s="13">
        <v>9.5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'6.6'!V9</f>
        <v>12.4</v>
      </c>
      <c r="E9" s="10">
        <v>11.65</v>
      </c>
      <c r="F9" s="10"/>
      <c r="G9" s="10"/>
      <c r="H9" s="10"/>
      <c r="I9" s="10"/>
      <c r="J9" s="10"/>
      <c r="K9" s="10"/>
      <c r="L9" s="10">
        <v>3.9</v>
      </c>
      <c r="M9" s="10"/>
      <c r="N9" s="10"/>
      <c r="O9" s="10"/>
      <c r="P9" s="10"/>
      <c r="Q9" s="10">
        <v>3</v>
      </c>
      <c r="R9" s="10"/>
      <c r="S9" s="10"/>
      <c r="T9" s="13">
        <f t="shared" si="0"/>
        <v>6.9</v>
      </c>
      <c r="U9" s="14">
        <f t="shared" si="1"/>
        <v>17.149999999999999</v>
      </c>
      <c r="V9" s="13">
        <v>17.149999999999999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'6.6'!V10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'6.6'!V11</f>
        <v>46.7</v>
      </c>
      <c r="F11" s="11">
        <v>2</v>
      </c>
      <c r="G11" s="10"/>
      <c r="H11" s="11"/>
      <c r="I11" s="11"/>
      <c r="J11" s="11"/>
      <c r="K11" s="11"/>
      <c r="L11" s="11">
        <v>4.7</v>
      </c>
      <c r="M11" s="11"/>
      <c r="N11" s="11"/>
      <c r="O11" s="10"/>
      <c r="P11" s="10"/>
      <c r="Q11" s="10">
        <v>7</v>
      </c>
      <c r="R11" s="10"/>
      <c r="S11" s="10"/>
      <c r="T11" s="13">
        <f t="shared" si="0"/>
        <v>13.7</v>
      </c>
      <c r="U11" s="14">
        <f t="shared" si="1"/>
        <v>33</v>
      </c>
      <c r="V11" s="13">
        <v>33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'6.6'!V12</f>
        <v>7.5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1</v>
      </c>
      <c r="R12" s="10"/>
      <c r="S12" s="10"/>
      <c r="T12" s="13">
        <f t="shared" si="0"/>
        <v>3</v>
      </c>
      <c r="U12" s="14">
        <f t="shared" si="1"/>
        <v>4.5</v>
      </c>
      <c r="V12" s="13">
        <v>4.5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'6.6'!V13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'6.6'!V14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'6.6'!V15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'6.6'!V16</f>
        <v>21.1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21.1</v>
      </c>
      <c r="V16" s="13">
        <v>21.1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'6.6'!V17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'6.6'!V18</f>
        <v>13.15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13.15</v>
      </c>
      <c r="V18" s="13">
        <v>13.15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'6.6'!V19</f>
        <v>7.5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>
        <v>0.5</v>
      </c>
      <c r="R19" s="10"/>
      <c r="S19" s="10"/>
      <c r="T19" s="13">
        <f t="shared" si="0"/>
        <v>3.5</v>
      </c>
      <c r="U19" s="14">
        <f t="shared" si="1"/>
        <v>4</v>
      </c>
      <c r="V19" s="13">
        <v>4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'6.6'!V20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'6.6'!V21</f>
        <v>26.700000000000003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</v>
      </c>
      <c r="R21" s="12"/>
      <c r="S21" s="12"/>
      <c r="T21" s="13">
        <f t="shared" si="0"/>
        <v>1</v>
      </c>
      <c r="U21" s="14">
        <f t="shared" si="1"/>
        <v>25.700000000000003</v>
      </c>
      <c r="V21" s="13">
        <v>25.7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'6.6'!V22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'6.6'!V23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'6.6'!V24</f>
        <v>50</v>
      </c>
      <c r="E24" s="10">
        <v>58</v>
      </c>
      <c r="F24" s="10">
        <v>2</v>
      </c>
      <c r="G24" s="10">
        <v>8</v>
      </c>
      <c r="H24" s="10">
        <v>2</v>
      </c>
      <c r="I24" s="10">
        <v>8</v>
      </c>
      <c r="J24" s="10">
        <v>4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43.5</v>
      </c>
      <c r="U24" s="14">
        <f t="shared" si="1"/>
        <v>64.5</v>
      </c>
      <c r="V24" s="13">
        <v>64.5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'6.6'!V25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'6.6'!V26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297.10000000000002</v>
      </c>
      <c r="E27" s="24">
        <f>SUM(E7:E26)</f>
        <v>109.65</v>
      </c>
      <c r="F27" s="13">
        <f t="shared" ref="F27:W27" si="3">SUM(F7:F26)</f>
        <v>4</v>
      </c>
      <c r="G27" s="13">
        <f t="shared" si="3"/>
        <v>8</v>
      </c>
      <c r="H27" s="13">
        <f t="shared" si="3"/>
        <v>2</v>
      </c>
      <c r="I27" s="13">
        <f t="shared" si="3"/>
        <v>8</v>
      </c>
      <c r="J27" s="13">
        <f t="shared" si="3"/>
        <v>4</v>
      </c>
      <c r="K27" s="13">
        <f t="shared" si="3"/>
        <v>2</v>
      </c>
      <c r="L27" s="13">
        <f t="shared" si="3"/>
        <v>45.6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39</v>
      </c>
      <c r="R27" s="13">
        <f t="shared" si="3"/>
        <v>1</v>
      </c>
      <c r="S27" s="13">
        <f t="shared" si="3"/>
        <v>0</v>
      </c>
      <c r="T27" s="13"/>
      <c r="U27" s="13">
        <f t="shared" si="3"/>
        <v>282.64999999999998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DATE(2017,6,7)</f>
        <v>42893</v>
      </c>
      <c r="E4" s="36">
        <f>D4+1</f>
        <v>42894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'6.6'!V7</f>
        <v>68</v>
      </c>
      <c r="E7">
        <v>40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D7+E7-SUM(F7:S7)</f>
        <v>100</v>
      </c>
      <c r="V7" s="13">
        <v>100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'6.6'!V8</f>
        <v>14</v>
      </c>
      <c r="E8" s="10"/>
      <c r="F8" s="10"/>
      <c r="G8" s="10"/>
      <c r="H8" s="10"/>
      <c r="I8" s="10"/>
      <c r="J8" s="10"/>
      <c r="K8" s="10"/>
      <c r="L8" s="10"/>
      <c r="M8" s="10"/>
      <c r="N8" s="10">
        <v>2</v>
      </c>
      <c r="O8" s="10"/>
      <c r="P8" s="10"/>
      <c r="Q8" s="10"/>
      <c r="R8" s="10"/>
      <c r="S8" s="10"/>
      <c r="T8" s="13">
        <f t="shared" ref="T8:T26" si="0">SUM(F8:S8)</f>
        <v>2</v>
      </c>
      <c r="U8" s="14">
        <f t="shared" ref="U8:U24" si="1">D8+E8-SUM(F8:S8)</f>
        <v>12</v>
      </c>
      <c r="V8" s="13">
        <v>12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'6.6'!V9</f>
        <v>12.4</v>
      </c>
      <c r="E9" s="10">
        <v>16.649999999999999</v>
      </c>
      <c r="F9" s="10"/>
      <c r="G9" s="10"/>
      <c r="H9" s="10">
        <v>2</v>
      </c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3">
        <f t="shared" si="0"/>
        <v>5</v>
      </c>
      <c r="U9" s="14">
        <f t="shared" si="1"/>
        <v>24.049999999999997</v>
      </c>
      <c r="V9" s="13">
        <v>24.05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'6.6'!V10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'6.6'!V11</f>
        <v>46.7</v>
      </c>
      <c r="F11" s="11"/>
      <c r="G11" s="10"/>
      <c r="H11" s="11">
        <v>3</v>
      </c>
      <c r="I11" s="11"/>
      <c r="J11" s="11"/>
      <c r="K11" s="11"/>
      <c r="L11" s="11"/>
      <c r="M11" s="11"/>
      <c r="N11" s="11">
        <v>3</v>
      </c>
      <c r="O11" s="10"/>
      <c r="P11" s="10"/>
      <c r="Q11" s="10"/>
      <c r="R11" s="10"/>
      <c r="S11" s="10"/>
      <c r="T11" s="13">
        <f t="shared" si="0"/>
        <v>6</v>
      </c>
      <c r="U11" s="14">
        <f t="shared" si="1"/>
        <v>40.700000000000003</v>
      </c>
      <c r="V11" s="13">
        <v>40.700000000000003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'6.6'!V12</f>
        <v>7.5</v>
      </c>
      <c r="E12" s="10">
        <v>13.5</v>
      </c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/>
      <c r="Q12" s="10"/>
      <c r="R12" s="10"/>
      <c r="S12" s="10"/>
      <c r="T12" s="13">
        <f t="shared" si="0"/>
        <v>1</v>
      </c>
      <c r="U12" s="14">
        <f t="shared" si="1"/>
        <v>20</v>
      </c>
      <c r="V12" s="13">
        <v>20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'6.6'!V13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'6.6'!V14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'6.6'!V15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'6.6'!V16</f>
        <v>21.1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21.1</v>
      </c>
      <c r="V16" s="13">
        <v>21.1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'6.6'!V17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'6.6'!V18</f>
        <v>13.15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1</v>
      </c>
      <c r="O18" s="10"/>
      <c r="P18" s="10"/>
      <c r="Q18" s="10"/>
      <c r="R18" s="10"/>
      <c r="S18" s="10"/>
      <c r="T18" s="13">
        <f t="shared" si="0"/>
        <v>1</v>
      </c>
      <c r="U18" s="14">
        <f t="shared" si="1"/>
        <v>12.15</v>
      </c>
      <c r="V18" s="13">
        <v>12.15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'6.6'!V19</f>
        <v>7.5</v>
      </c>
      <c r="E19" s="10">
        <v>8.5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16</v>
      </c>
      <c r="V19" s="13">
        <v>16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'6.6'!V20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'6.6'!V21</f>
        <v>26.700000000000003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3</v>
      </c>
      <c r="O21" s="12"/>
      <c r="P21" s="12"/>
      <c r="Q21" s="12"/>
      <c r="R21" s="12"/>
      <c r="S21" s="12"/>
      <c r="T21" s="13">
        <f t="shared" si="0"/>
        <v>3</v>
      </c>
      <c r="U21" s="14">
        <f t="shared" si="1"/>
        <v>23.700000000000003</v>
      </c>
      <c r="V21" s="13">
        <v>23.7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'6.6'!V22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'6.6'!V23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'6.6'!V24</f>
        <v>50</v>
      </c>
      <c r="E24" s="10">
        <v>58</v>
      </c>
      <c r="F24" s="10"/>
      <c r="G24" s="10">
        <v>2</v>
      </c>
      <c r="H24" s="10">
        <v>2</v>
      </c>
      <c r="I24" s="10">
        <v>18</v>
      </c>
      <c r="J24" s="10">
        <v>2</v>
      </c>
      <c r="K24" s="10"/>
      <c r="L24" s="10">
        <v>2</v>
      </c>
      <c r="M24" s="10"/>
      <c r="N24" s="10">
        <v>10</v>
      </c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51.5</v>
      </c>
      <c r="U24" s="14">
        <f t="shared" si="1"/>
        <v>56.5</v>
      </c>
      <c r="V24" s="13">
        <v>56.5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'6.6'!V25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'6.6'!V26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297.10000000000002</v>
      </c>
      <c r="E27" s="24">
        <f>SUM(E7:E26)</f>
        <v>136.65</v>
      </c>
      <c r="F27" s="13">
        <f t="shared" ref="F27:W27" si="3">SUM(F7:F26)</f>
        <v>0</v>
      </c>
      <c r="G27" s="13">
        <f t="shared" si="3"/>
        <v>2</v>
      </c>
      <c r="H27" s="13">
        <f t="shared" si="3"/>
        <v>15</v>
      </c>
      <c r="I27" s="13">
        <f t="shared" si="3"/>
        <v>18</v>
      </c>
      <c r="J27" s="13">
        <f t="shared" si="3"/>
        <v>2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23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356.24999999999994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P10" sqref="P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DATE(2017,6,8)</f>
        <v>42894</v>
      </c>
      <c r="E4" s="36">
        <f>D4+1</f>
        <v>42895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'8.6'!V7</f>
        <v>100</v>
      </c>
      <c r="E7">
        <v>40</v>
      </c>
      <c r="F7" s="10">
        <v>18</v>
      </c>
      <c r="G7" s="11"/>
      <c r="H7" s="10"/>
      <c r="I7" s="10"/>
      <c r="J7" s="10"/>
      <c r="K7" s="10"/>
      <c r="L7" s="10"/>
      <c r="M7" s="10"/>
      <c r="N7" s="10"/>
      <c r="O7" s="10">
        <v>16</v>
      </c>
      <c r="P7" s="10">
        <v>32</v>
      </c>
      <c r="Q7" s="10"/>
      <c r="R7" s="10"/>
      <c r="S7" s="10"/>
      <c r="T7" s="13">
        <f>SUM(F7:S7)</f>
        <v>66</v>
      </c>
      <c r="U7" s="14">
        <f>D7+E7-SUM(F7:S7)</f>
        <v>74</v>
      </c>
      <c r="V7" s="13">
        <v>78</v>
      </c>
      <c r="W7" s="15">
        <f>V7-U7</f>
        <v>4</v>
      </c>
    </row>
    <row r="8" spans="1:23" ht="18.75">
      <c r="A8" s="6">
        <v>2</v>
      </c>
      <c r="B8" s="7" t="s">
        <v>13</v>
      </c>
      <c r="C8" s="8" t="s">
        <v>12</v>
      </c>
      <c r="D8" s="13">
        <f>'8.6'!V8</f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12</v>
      </c>
      <c r="V8" s="13">
        <v>12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'8.6'!V9</f>
        <v>24.05</v>
      </c>
      <c r="E9" s="10"/>
      <c r="F9" s="10">
        <v>2</v>
      </c>
      <c r="G9" s="10"/>
      <c r="H9" s="10"/>
      <c r="I9" s="10"/>
      <c r="J9" s="10"/>
      <c r="K9" s="10"/>
      <c r="L9" s="10"/>
      <c r="M9" s="10"/>
      <c r="N9" s="10"/>
      <c r="O9" s="10">
        <v>2</v>
      </c>
      <c r="P9" s="10">
        <v>4</v>
      </c>
      <c r="Q9" s="10"/>
      <c r="R9" s="10"/>
      <c r="S9" s="10"/>
      <c r="T9" s="13">
        <f t="shared" si="0"/>
        <v>8</v>
      </c>
      <c r="U9" s="14">
        <f t="shared" si="1"/>
        <v>16.05</v>
      </c>
      <c r="V9" s="13">
        <v>16.05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'8.6'!V10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'8.6'!V11</f>
        <v>40.700000000000003</v>
      </c>
      <c r="E11">
        <v>23.65</v>
      </c>
      <c r="F11" s="11">
        <v>7</v>
      </c>
      <c r="G11" s="10"/>
      <c r="H11" s="11"/>
      <c r="I11" s="11"/>
      <c r="J11" s="11"/>
      <c r="K11" s="11"/>
      <c r="L11" s="11"/>
      <c r="M11" s="11"/>
      <c r="N11" s="11"/>
      <c r="O11" s="10">
        <v>5</v>
      </c>
      <c r="P11" s="10">
        <v>5</v>
      </c>
      <c r="Q11" s="10"/>
      <c r="R11" s="10"/>
      <c r="S11" s="10"/>
      <c r="T11" s="13">
        <f t="shared" si="0"/>
        <v>17</v>
      </c>
      <c r="U11" s="14">
        <f t="shared" si="1"/>
        <v>47.349999999999994</v>
      </c>
      <c r="V11" s="13">
        <v>49.35</v>
      </c>
      <c r="W11" s="15">
        <f t="shared" si="2"/>
        <v>2.0000000000000071</v>
      </c>
    </row>
    <row r="12" spans="1:23" ht="18.75">
      <c r="A12" s="6">
        <v>6</v>
      </c>
      <c r="B12" s="7" t="s">
        <v>67</v>
      </c>
      <c r="C12" s="8" t="s">
        <v>12</v>
      </c>
      <c r="D12" s="13">
        <f>'8.6'!V12</f>
        <v>20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20</v>
      </c>
      <c r="V12" s="13">
        <v>20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'8.6'!V13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'8.6'!V14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'8.6'!V15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'8.6'!V16</f>
        <v>21.1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21.1</v>
      </c>
      <c r="V16" s="13">
        <v>21.1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'8.6'!V17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'8.6'!V18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12.15</v>
      </c>
      <c r="V18" s="13">
        <v>12.15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'8.6'!V19</f>
        <v>16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/>
      <c r="R19" s="10"/>
      <c r="S19" s="10"/>
      <c r="T19" s="13">
        <f t="shared" si="0"/>
        <v>1</v>
      </c>
      <c r="U19" s="14">
        <f t="shared" si="1"/>
        <v>15</v>
      </c>
      <c r="V19" s="13">
        <v>15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'8.6'!V20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'8.6'!V21</f>
        <v>23.7</v>
      </c>
      <c r="E21" s="12">
        <v>11.4</v>
      </c>
      <c r="F21" s="12"/>
      <c r="G21" s="11"/>
      <c r="H21" s="12"/>
      <c r="I21" s="12"/>
      <c r="J21" s="12"/>
      <c r="K21" s="12"/>
      <c r="L21" s="12"/>
      <c r="M21" s="12"/>
      <c r="N21" s="12"/>
      <c r="O21" s="12">
        <v>1.9</v>
      </c>
      <c r="P21" s="12">
        <v>2</v>
      </c>
      <c r="Q21" s="12"/>
      <c r="R21" s="12"/>
      <c r="S21" s="12"/>
      <c r="T21" s="13">
        <f t="shared" si="0"/>
        <v>3.9</v>
      </c>
      <c r="U21" s="14">
        <f t="shared" si="1"/>
        <v>31.200000000000003</v>
      </c>
      <c r="V21" s="13">
        <v>31.2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'8.6'!V22</f>
        <v>0</v>
      </c>
      <c r="E22" s="12"/>
      <c r="F22" s="10">
        <v>2</v>
      </c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2</v>
      </c>
      <c r="U22" s="14">
        <f t="shared" si="1"/>
        <v>-2</v>
      </c>
      <c r="V22" s="13"/>
      <c r="W22" s="15">
        <f t="shared" si="2"/>
        <v>2</v>
      </c>
    </row>
    <row r="23" spans="1:23" ht="18.75">
      <c r="A23" s="6">
        <v>17</v>
      </c>
      <c r="B23" s="7" t="s">
        <v>73</v>
      </c>
      <c r="C23" s="8" t="s">
        <v>12</v>
      </c>
      <c r="D23" s="13">
        <f>'8.6'!V23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'8.6'!V24</f>
        <v>56.5</v>
      </c>
      <c r="E24" s="10">
        <v>58</v>
      </c>
      <c r="F24" s="10"/>
      <c r="G24" s="10">
        <v>2</v>
      </c>
      <c r="H24" s="10">
        <v>2</v>
      </c>
      <c r="I24" s="10">
        <v>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3">
        <f t="shared" si="0"/>
        <v>33.5</v>
      </c>
      <c r="U24" s="14">
        <f t="shared" si="1"/>
        <v>81</v>
      </c>
      <c r="V24" s="13">
        <v>81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'8.6'!V25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'8.6'!V26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356.24999999999994</v>
      </c>
      <c r="E27" s="24">
        <f>SUM(E7:E26)</f>
        <v>133.05000000000001</v>
      </c>
      <c r="F27" s="13">
        <f t="shared" ref="F27:W27" si="3">SUM(F7:F26)</f>
        <v>29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27.4</v>
      </c>
      <c r="P27" s="13">
        <f t="shared" si="3"/>
        <v>52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>
        <f t="shared" si="3"/>
        <v>357.9</v>
      </c>
      <c r="V27" s="13"/>
      <c r="W27" s="13">
        <f t="shared" si="3"/>
        <v>8.0000000000000071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DATE(2017,6,9)</f>
        <v>42895</v>
      </c>
      <c r="E4" s="36">
        <f>D4+1</f>
        <v>42896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'9.6'!V7</f>
        <v>78</v>
      </c>
      <c r="E7">
        <v>40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D7+E7-SUM(F7:S7)</f>
        <v>118</v>
      </c>
      <c r="V7" s="13">
        <v>118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'9.6'!V8</f>
        <v>12</v>
      </c>
      <c r="E8" s="10"/>
      <c r="F8" s="10"/>
      <c r="G8" s="10"/>
      <c r="H8" s="10"/>
      <c r="I8" s="10"/>
      <c r="J8" s="10"/>
      <c r="K8" s="10"/>
      <c r="L8" s="10"/>
      <c r="M8" s="10">
        <v>2</v>
      </c>
      <c r="N8" s="10"/>
      <c r="O8" s="10"/>
      <c r="P8" s="10"/>
      <c r="Q8" s="10"/>
      <c r="R8" s="10"/>
      <c r="S8" s="10"/>
      <c r="T8" s="13">
        <f t="shared" ref="T8:T26" si="0">SUM(F8:S8)</f>
        <v>2</v>
      </c>
      <c r="U8" s="14">
        <f t="shared" ref="U8:U24" si="1">D8+E8-SUM(F8:S8)</f>
        <v>10</v>
      </c>
      <c r="V8" s="13">
        <v>10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'9.6'!V9</f>
        <v>16.05</v>
      </c>
      <c r="E9" s="10">
        <v>8.4</v>
      </c>
      <c r="F9" s="10"/>
      <c r="G9" s="10"/>
      <c r="H9" s="10"/>
      <c r="I9" s="10"/>
      <c r="J9" s="10"/>
      <c r="K9" s="10"/>
      <c r="L9" s="10"/>
      <c r="M9" s="10">
        <v>7</v>
      </c>
      <c r="N9" s="10"/>
      <c r="O9" s="10"/>
      <c r="P9" s="10"/>
      <c r="Q9" s="10"/>
      <c r="R9" s="10"/>
      <c r="S9" s="10"/>
      <c r="T9" s="13">
        <f t="shared" si="0"/>
        <v>7</v>
      </c>
      <c r="U9" s="14">
        <f t="shared" si="1"/>
        <v>17.450000000000003</v>
      </c>
      <c r="V9" s="13">
        <v>17.45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'9.6'!V10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'9.6'!V11</f>
        <v>49.35</v>
      </c>
      <c r="E11">
        <v>24.5</v>
      </c>
      <c r="F11" s="11"/>
      <c r="G11" s="10"/>
      <c r="H11" s="11"/>
      <c r="I11" s="11"/>
      <c r="J11" s="11"/>
      <c r="K11" s="11"/>
      <c r="L11" s="11"/>
      <c r="M11" s="11">
        <v>10</v>
      </c>
      <c r="N11" s="11"/>
      <c r="O11" s="10"/>
      <c r="P11" s="10"/>
      <c r="Q11" s="10"/>
      <c r="R11" s="10"/>
      <c r="S11" s="10"/>
      <c r="T11" s="13">
        <f t="shared" si="0"/>
        <v>10</v>
      </c>
      <c r="U11" s="14">
        <f t="shared" si="1"/>
        <v>63.849999999999994</v>
      </c>
      <c r="V11" s="13">
        <v>63.85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'9.6'!V12</f>
        <v>20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20</v>
      </c>
      <c r="V12" s="13">
        <v>20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'9.6'!V13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'9.6'!V14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'9.6'!V15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'9.6'!V16</f>
        <v>21.1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21.1</v>
      </c>
      <c r="V16" s="13">
        <v>21.1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'9.6'!V17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'9.6'!V18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12.15</v>
      </c>
      <c r="V18" s="13">
        <v>12.15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'9.6'!V19</f>
        <v>15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15</v>
      </c>
      <c r="V19" s="13">
        <v>15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'9.6'!V20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'9.6'!V21</f>
        <v>31.2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31.2</v>
      </c>
      <c r="V21" s="13">
        <v>31.2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'9.6'!V22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'9.6'!V23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'9.6'!V24</f>
        <v>81</v>
      </c>
      <c r="E24" s="10">
        <v>58</v>
      </c>
      <c r="F24" s="10"/>
      <c r="G24" s="10">
        <v>3</v>
      </c>
      <c r="H24" s="10">
        <v>3</v>
      </c>
      <c r="I24" s="10">
        <v>14</v>
      </c>
      <c r="J24" s="10">
        <v>2</v>
      </c>
      <c r="K24" s="10">
        <v>3</v>
      </c>
      <c r="L24" s="10">
        <v>5</v>
      </c>
      <c r="M24" s="10">
        <v>17</v>
      </c>
      <c r="N24" s="10"/>
      <c r="O24" s="10">
        <v>2.5</v>
      </c>
      <c r="P24" s="10">
        <v>14</v>
      </c>
      <c r="Q24" s="10">
        <v>4</v>
      </c>
      <c r="R24" s="10">
        <v>1</v>
      </c>
      <c r="S24" s="10">
        <v>2</v>
      </c>
      <c r="T24" s="13">
        <f t="shared" si="0"/>
        <v>70.5</v>
      </c>
      <c r="U24" s="14">
        <f t="shared" si="1"/>
        <v>68.5</v>
      </c>
      <c r="V24" s="13">
        <v>68.5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'9.6'!V25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'9.6'!V26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365.9</v>
      </c>
      <c r="E27" s="24">
        <f>SUM(E7:E26)</f>
        <v>130.9</v>
      </c>
      <c r="F27" s="13">
        <f t="shared" ref="F27:W27" si="3">SUM(F7:F26)</f>
        <v>0</v>
      </c>
      <c r="G27" s="13">
        <f t="shared" si="3"/>
        <v>3</v>
      </c>
      <c r="H27" s="13">
        <f t="shared" si="3"/>
        <v>3</v>
      </c>
      <c r="I27" s="13">
        <f t="shared" si="3"/>
        <v>14</v>
      </c>
      <c r="J27" s="13">
        <f t="shared" si="3"/>
        <v>2</v>
      </c>
      <c r="K27" s="13">
        <f t="shared" si="3"/>
        <v>3</v>
      </c>
      <c r="L27" s="13">
        <f t="shared" si="3"/>
        <v>5</v>
      </c>
      <c r="M27" s="13">
        <f t="shared" si="3"/>
        <v>36</v>
      </c>
      <c r="N27" s="13">
        <f t="shared" si="3"/>
        <v>0</v>
      </c>
      <c r="O27" s="13">
        <f t="shared" si="3"/>
        <v>2.5</v>
      </c>
      <c r="P27" s="13">
        <f t="shared" si="3"/>
        <v>14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>
        <f t="shared" si="3"/>
        <v>407.29999999999995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G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DATE(2017,6,10)</f>
        <v>42896</v>
      </c>
      <c r="E4" s="36">
        <f>D4+1</f>
        <v>42897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76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'10.6'!V7</f>
        <v>118</v>
      </c>
      <c r="F7" s="10"/>
      <c r="G7" s="11"/>
      <c r="H7" s="10"/>
      <c r="I7" s="10"/>
      <c r="J7" s="10"/>
      <c r="K7" s="10">
        <v>4</v>
      </c>
      <c r="L7" s="10"/>
      <c r="M7" s="10"/>
      <c r="N7" s="10"/>
      <c r="O7" s="10"/>
      <c r="P7" s="10"/>
      <c r="Q7" s="10"/>
      <c r="R7" s="10"/>
      <c r="S7" s="10"/>
      <c r="T7" s="13">
        <f>SUM(F7:S7)</f>
        <v>4</v>
      </c>
      <c r="U7" s="14">
        <f>D7+E7-SUM(F7:S7)</f>
        <v>114</v>
      </c>
      <c r="V7" s="13">
        <v>114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'10.6'!V8</f>
        <v>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10</v>
      </c>
      <c r="V8" s="13">
        <v>10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'10.6'!V9</f>
        <v>17.45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17.45</v>
      </c>
      <c r="V9" s="13">
        <v>17.45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'10.6'!V10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'10.6'!V11</f>
        <v>63.85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63.85</v>
      </c>
      <c r="V11" s="13">
        <v>63.85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'10.6'!V12</f>
        <v>20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20</v>
      </c>
      <c r="V12" s="13">
        <v>20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'10.6'!V13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'10.6'!V14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11.1</v>
      </c>
      <c r="V14" s="13">
        <v>11.1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'10.6'!V15</f>
        <v>16.95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16.95</v>
      </c>
      <c r="V15" s="13">
        <v>16.95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'10.6'!V16</f>
        <v>21.1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21.1</v>
      </c>
      <c r="V16" s="13">
        <v>21.1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'10.6'!V17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'10.6'!V18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12.15</v>
      </c>
      <c r="V18" s="13">
        <v>12.15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'10.6'!V19</f>
        <v>15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15</v>
      </c>
      <c r="V19" s="13">
        <v>15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'10.6'!V20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'10.6'!V21</f>
        <v>31.2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31.2</v>
      </c>
      <c r="V21" s="13">
        <v>31.2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'10.6'!V22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'10.6'!V23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'10.6'!V24</f>
        <v>68.5</v>
      </c>
      <c r="E24" s="10"/>
      <c r="F24" s="10"/>
      <c r="G24" s="10">
        <v>2</v>
      </c>
      <c r="H24" s="10">
        <v>2</v>
      </c>
      <c r="I24" s="10">
        <v>16</v>
      </c>
      <c r="J24" s="10">
        <v>2</v>
      </c>
      <c r="K24" s="10">
        <v>3</v>
      </c>
      <c r="L24" s="10">
        <v>10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50.5</v>
      </c>
      <c r="U24" s="14">
        <f t="shared" si="1"/>
        <v>18</v>
      </c>
      <c r="V24" s="13">
        <v>18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'10.6'!V25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'10.6'!V26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407.29999999999995</v>
      </c>
      <c r="E27" s="24">
        <f>SUM(E7:E26)</f>
        <v>0</v>
      </c>
      <c r="F27" s="13">
        <f t="shared" ref="F27:W27" si="3">SUM(F7:F26)</f>
        <v>0</v>
      </c>
      <c r="G27" s="13">
        <f t="shared" si="3"/>
        <v>2</v>
      </c>
      <c r="H27" s="13">
        <f t="shared" si="3"/>
        <v>2</v>
      </c>
      <c r="I27" s="13">
        <f t="shared" si="3"/>
        <v>16</v>
      </c>
      <c r="J27" s="13">
        <f t="shared" si="3"/>
        <v>2</v>
      </c>
      <c r="K27" s="13">
        <f t="shared" si="3"/>
        <v>7</v>
      </c>
      <c r="L27" s="13">
        <f t="shared" si="3"/>
        <v>10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352.79999999999995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K7" sqref="K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DATE(2017,6,11)</f>
        <v>42897</v>
      </c>
      <c r="E4" s="36">
        <f>D4+1</f>
        <v>42898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'11.6'!V7</f>
        <v>114</v>
      </c>
      <c r="E7">
        <v>40</v>
      </c>
      <c r="F7" s="10"/>
      <c r="G7" s="11"/>
      <c r="H7" s="10"/>
      <c r="I7" s="10"/>
      <c r="J7" s="10"/>
      <c r="K7" s="10">
        <v>14</v>
      </c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14</v>
      </c>
      <c r="V7" s="14">
        <f>D7+E7-T7-SUM(F7:S7)</f>
        <v>140</v>
      </c>
      <c r="W7" s="13">
        <v>140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'11.6'!V8</f>
        <v>10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v>10</v>
      </c>
      <c r="U8" s="13">
        <f t="shared" ref="U8:U26" si="0">SUM(F8:S8)</f>
        <v>0</v>
      </c>
      <c r="V8" s="14">
        <f t="shared" ref="V8:V24" si="1">D8+E8-T8-SUM(F8:S8)</f>
        <v>0</v>
      </c>
      <c r="W8" s="13">
        <v>0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'11.6'!V9</f>
        <v>17.45</v>
      </c>
      <c r="E9" s="10">
        <v>8.35</v>
      </c>
      <c r="F9" s="10"/>
      <c r="G9" s="10"/>
      <c r="H9" s="10"/>
      <c r="I9" s="10"/>
      <c r="J9" s="10"/>
      <c r="K9" s="10">
        <v>5</v>
      </c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5</v>
      </c>
      <c r="V9" s="14">
        <f t="shared" si="1"/>
        <v>20.799999999999997</v>
      </c>
      <c r="W9" s="13">
        <v>20.8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'11.6'!V10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'11.6'!V11</f>
        <v>63.85</v>
      </c>
      <c r="E11">
        <v>24.25</v>
      </c>
      <c r="F11" s="11"/>
      <c r="G11" s="10"/>
      <c r="H11" s="11"/>
      <c r="I11" s="11"/>
      <c r="J11" s="11"/>
      <c r="K11" s="11">
        <v>3</v>
      </c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3</v>
      </c>
      <c r="V11" s="14">
        <f t="shared" si="1"/>
        <v>85.1</v>
      </c>
      <c r="W11" s="13">
        <v>85.1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'11.6'!V12</f>
        <v>20</v>
      </c>
      <c r="E12" s="10"/>
      <c r="F12" s="11"/>
      <c r="G12" s="10"/>
      <c r="H12" s="11"/>
      <c r="I12" s="11"/>
      <c r="J12" s="11"/>
      <c r="K12" s="11">
        <v>1.5</v>
      </c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1.5</v>
      </c>
      <c r="V12" s="14">
        <f t="shared" si="1"/>
        <v>18.5</v>
      </c>
      <c r="W12" s="13">
        <v>18.5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'11.6'!V13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'11.6'!V14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'11.6'!V15</f>
        <v>16.95</v>
      </c>
      <c r="E15" s="10"/>
      <c r="F15" s="11"/>
      <c r="G15" s="10"/>
      <c r="H15" s="10"/>
      <c r="I15" s="10"/>
      <c r="J15" s="10"/>
      <c r="K15" s="10">
        <v>1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1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'11.6'!V16</f>
        <v>21.1</v>
      </c>
      <c r="E16" s="10"/>
      <c r="F16" s="11"/>
      <c r="G16" s="10"/>
      <c r="H16" s="10"/>
      <c r="I16" s="10"/>
      <c r="J16" s="10"/>
      <c r="K16" s="10">
        <v>6.9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6.9</v>
      </c>
      <c r="V16" s="14">
        <f t="shared" si="1"/>
        <v>14.200000000000001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'11.6'!V17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'11.6'!V18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12.15</v>
      </c>
      <c r="W18" s="13">
        <v>12.15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'11.6'!V19</f>
        <v>15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</v>
      </c>
      <c r="W19" s="13">
        <v>15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'11.6'!V20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'11.6'!V21</f>
        <v>31.2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31.2</v>
      </c>
      <c r="W21" s="13">
        <v>31.2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'11.6'!V22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'11.6'!V23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'11.6'!V24</f>
        <v>18</v>
      </c>
      <c r="E24" s="10">
        <v>58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0"/>
      <c r="U24" s="13">
        <f t="shared" si="0"/>
        <v>35.5</v>
      </c>
      <c r="V24" s="14">
        <f t="shared" si="1"/>
        <v>40.5</v>
      </c>
      <c r="W24" s="13">
        <v>40.5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'11.6'!V25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'11.6'!V26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352.79999999999995</v>
      </c>
      <c r="E27" s="24">
        <f>SUM(E7:E26)</f>
        <v>130.6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31.4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406.49999999999994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W5:W6"/>
    <mergeCell ref="X5:X6"/>
    <mergeCell ref="B1:X1"/>
    <mergeCell ref="E4:X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W9" sqref="W9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DATE(2017,6,12)</f>
        <v>42898</v>
      </c>
      <c r="E4" s="36">
        <f>D4+1</f>
        <v>42899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'12.6'!W7</f>
        <v>140</v>
      </c>
      <c r="E7">
        <v>30</v>
      </c>
      <c r="F7" s="10"/>
      <c r="G7" s="11">
        <v>14</v>
      </c>
      <c r="H7" s="10"/>
      <c r="I7" s="10">
        <v>36</v>
      </c>
      <c r="J7" s="10">
        <v>8</v>
      </c>
      <c r="K7" s="10"/>
      <c r="L7" s="10"/>
      <c r="M7" s="10"/>
      <c r="N7" s="10"/>
      <c r="O7" s="10"/>
      <c r="P7" s="10"/>
      <c r="Q7" s="10">
        <v>4</v>
      </c>
      <c r="R7" s="10"/>
      <c r="S7" s="10"/>
      <c r="T7" s="10"/>
      <c r="U7" s="13">
        <f>SUM(F7:S7)</f>
        <v>62</v>
      </c>
      <c r="V7" s="14">
        <f>D7+E7-T7-SUM(F7:S7)</f>
        <v>108</v>
      </c>
      <c r="W7" s="13">
        <v>108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'12.6'!W8</f>
        <v>0</v>
      </c>
      <c r="E8" s="10">
        <v>12.65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12.65</v>
      </c>
      <c r="W8" s="13">
        <v>12.65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'12.6'!W9</f>
        <v>20.8</v>
      </c>
      <c r="E9" s="10">
        <v>17.149999999999999</v>
      </c>
      <c r="F9" s="10"/>
      <c r="G9" s="10">
        <v>2</v>
      </c>
      <c r="H9" s="10"/>
      <c r="I9" s="10">
        <v>5</v>
      </c>
      <c r="J9" s="10">
        <v>2.5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9.5</v>
      </c>
      <c r="V9" s="14">
        <f t="shared" si="1"/>
        <v>28.450000000000003</v>
      </c>
      <c r="W9" s="13">
        <v>28.45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'12.6'!W10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'12.6'!W11</f>
        <v>85.1</v>
      </c>
      <c r="F11" s="11"/>
      <c r="G11" s="10"/>
      <c r="H11" s="11"/>
      <c r="I11" s="11">
        <v>7</v>
      </c>
      <c r="J11" s="11">
        <v>3</v>
      </c>
      <c r="K11" s="11"/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10</v>
      </c>
      <c r="V11" s="14">
        <f t="shared" si="1"/>
        <v>75.099999999999994</v>
      </c>
      <c r="W11" s="13">
        <v>75.099999999999994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'12.6'!W12</f>
        <v>18.5</v>
      </c>
      <c r="E12" s="10"/>
      <c r="F12" s="11"/>
      <c r="G12" s="10"/>
      <c r="H12" s="11"/>
      <c r="I12" s="11"/>
      <c r="J12" s="11">
        <v>1</v>
      </c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17.5</v>
      </c>
      <c r="W12" s="13">
        <v>17.5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'12.6'!W13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'12.6'!W14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'12.6'!W15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'12.6'!W16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'12.6'!W17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'12.6'!W18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12.15</v>
      </c>
      <c r="W18" s="13">
        <v>12.15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'12.6'!W19</f>
        <v>15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</v>
      </c>
      <c r="W19" s="13">
        <v>15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'12.6'!W20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'12.6'!W21</f>
        <v>31.2</v>
      </c>
      <c r="E21" s="12"/>
      <c r="F21" s="12"/>
      <c r="G21" s="11"/>
      <c r="H21" s="12"/>
      <c r="I21" s="12">
        <v>3</v>
      </c>
      <c r="J21" s="12">
        <v>1.5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4.5</v>
      </c>
      <c r="V21" s="14">
        <f t="shared" si="1"/>
        <v>26.7</v>
      </c>
      <c r="W21" s="13">
        <v>26.7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'12.6'!W22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'12.6'!W23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'12.6'!W24</f>
        <v>40.5</v>
      </c>
      <c r="E24" s="10">
        <v>58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1.5</v>
      </c>
      <c r="S24" s="10">
        <v>2</v>
      </c>
      <c r="T24" s="10"/>
      <c r="U24" s="13">
        <f t="shared" si="0"/>
        <v>36</v>
      </c>
      <c r="V24" s="14">
        <f t="shared" si="1"/>
        <v>62.5</v>
      </c>
      <c r="W24" s="13">
        <v>62.5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'12.6'!W25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'12.6'!W26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406.49999999999994</v>
      </c>
      <c r="E27" s="24">
        <f>SUM(E7:E26)</f>
        <v>117.8</v>
      </c>
      <c r="F27" s="13">
        <f t="shared" ref="F27:X27" si="3">SUM(F7:F26)</f>
        <v>2</v>
      </c>
      <c r="G27" s="13">
        <f t="shared" si="3"/>
        <v>18</v>
      </c>
      <c r="H27" s="13">
        <f t="shared" si="3"/>
        <v>2</v>
      </c>
      <c r="I27" s="13">
        <f t="shared" si="3"/>
        <v>59</v>
      </c>
      <c r="J27" s="13">
        <f t="shared" si="3"/>
        <v>18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8</v>
      </c>
      <c r="R27" s="13">
        <f t="shared" si="3"/>
        <v>1.5</v>
      </c>
      <c r="S27" s="13">
        <f t="shared" si="3"/>
        <v>2</v>
      </c>
      <c r="T27" s="13"/>
      <c r="U27" s="13"/>
      <c r="V27" s="13">
        <f t="shared" si="3"/>
        <v>401.29999999999995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W5:W6"/>
    <mergeCell ref="X5:X6"/>
    <mergeCell ref="B1:X1"/>
    <mergeCell ref="E4:X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Q12" sqref="Q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DATE(2017,6,13)</f>
        <v>42899</v>
      </c>
      <c r="E4" s="36">
        <f>D4+1</f>
        <v>42900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'13.6'!W7</f>
        <v>108</v>
      </c>
      <c r="E7">
        <v>40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>
        <v>16</v>
      </c>
      <c r="P7" s="10"/>
      <c r="Q7" s="10">
        <v>26</v>
      </c>
      <c r="R7" s="10"/>
      <c r="S7" s="10"/>
      <c r="T7" s="10"/>
      <c r="U7" s="13">
        <f>SUM(F7:S7)</f>
        <v>70</v>
      </c>
      <c r="V7" s="14">
        <f>D7+E7-T7-SUM(F7:S7)</f>
        <v>78</v>
      </c>
      <c r="W7" s="13">
        <v>78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'13.6'!W8</f>
        <v>12.65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2</v>
      </c>
      <c r="V8" s="14">
        <f t="shared" ref="V8:V24" si="1">D8+E8-T8-SUM(F8:S8)</f>
        <v>10.65</v>
      </c>
      <c r="W8" s="13">
        <v>10.65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'13.6'!W9</f>
        <v>28.45</v>
      </c>
      <c r="E9" s="10">
        <v>8.3000000000000007</v>
      </c>
      <c r="F9" s="10"/>
      <c r="G9" s="10"/>
      <c r="H9" s="10"/>
      <c r="I9" s="10"/>
      <c r="J9" s="10"/>
      <c r="K9" s="10"/>
      <c r="L9" s="10">
        <v>5</v>
      </c>
      <c r="M9" s="10"/>
      <c r="N9" s="10"/>
      <c r="O9" s="10"/>
      <c r="P9" s="10"/>
      <c r="Q9" s="10">
        <v>4.6500000000000004</v>
      </c>
      <c r="R9" s="10"/>
      <c r="S9" s="10"/>
      <c r="T9" s="10"/>
      <c r="U9" s="13">
        <f t="shared" si="0"/>
        <v>9.65</v>
      </c>
      <c r="V9" s="14">
        <f t="shared" si="1"/>
        <v>27.1</v>
      </c>
      <c r="W9" s="13">
        <v>28.1</v>
      </c>
      <c r="X9" s="15">
        <f t="shared" si="2"/>
        <v>1</v>
      </c>
    </row>
    <row r="10" spans="1:24" ht="18.75">
      <c r="A10" s="6">
        <v>4</v>
      </c>
      <c r="B10" s="7" t="s">
        <v>15</v>
      </c>
      <c r="C10" s="8" t="s">
        <v>12</v>
      </c>
      <c r="D10" s="13">
        <f>'13.6'!W10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'13.6'!W11</f>
        <v>75.099999999999994</v>
      </c>
      <c r="F11" s="11"/>
      <c r="G11" s="10"/>
      <c r="H11" s="11"/>
      <c r="I11" s="11"/>
      <c r="J11" s="11"/>
      <c r="K11" s="11"/>
      <c r="L11" s="11">
        <v>5</v>
      </c>
      <c r="M11" s="11"/>
      <c r="N11" s="11"/>
      <c r="O11" s="10"/>
      <c r="P11" s="10"/>
      <c r="Q11" s="10">
        <v>3.5</v>
      </c>
      <c r="R11" s="10"/>
      <c r="S11" s="10"/>
      <c r="T11" s="10"/>
      <c r="U11" s="13">
        <f t="shared" si="0"/>
        <v>8.5</v>
      </c>
      <c r="V11" s="14">
        <f t="shared" si="1"/>
        <v>66.599999999999994</v>
      </c>
      <c r="W11" s="13">
        <v>66.599999999999994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'13.6'!W12</f>
        <v>17.5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>
        <v>1</v>
      </c>
      <c r="P12" s="10"/>
      <c r="Q12" s="10">
        <v>2.5</v>
      </c>
      <c r="R12" s="10"/>
      <c r="S12" s="10"/>
      <c r="T12" s="10"/>
      <c r="U12" s="13">
        <f t="shared" si="0"/>
        <v>5.5</v>
      </c>
      <c r="V12" s="14">
        <f t="shared" si="1"/>
        <v>12</v>
      </c>
      <c r="W12" s="13">
        <v>12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'13.6'!W13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'13.6'!W14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'13.6'!W15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'13.6'!W16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'13.6'!W17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'13.6'!W18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12.15</v>
      </c>
      <c r="W18" s="13">
        <v>12.15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'13.6'!W19</f>
        <v>15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>
        <v>1.5</v>
      </c>
      <c r="R19" s="10"/>
      <c r="S19" s="10"/>
      <c r="T19" s="10"/>
      <c r="U19" s="13">
        <f t="shared" si="0"/>
        <v>4.5</v>
      </c>
      <c r="V19" s="14">
        <f t="shared" si="1"/>
        <v>10.5</v>
      </c>
      <c r="W19" s="13">
        <v>10.5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'13.6'!W20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'13.6'!W21</f>
        <v>26.7</v>
      </c>
      <c r="E21" s="12">
        <v>11.45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</v>
      </c>
      <c r="R21" s="12"/>
      <c r="S21" s="12"/>
      <c r="T21" s="12"/>
      <c r="U21" s="13">
        <f t="shared" si="0"/>
        <v>1</v>
      </c>
      <c r="V21" s="14">
        <f t="shared" si="1"/>
        <v>37.15</v>
      </c>
      <c r="W21" s="13">
        <v>37.15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'13.6'!W22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'13.6'!W23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'13.6'!W24</f>
        <v>62.5</v>
      </c>
      <c r="E24" s="10">
        <v>58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/>
      <c r="R24" s="10">
        <v>1.5</v>
      </c>
      <c r="S24" s="10"/>
      <c r="T24" s="10"/>
      <c r="U24" s="13">
        <f t="shared" si="0"/>
        <v>30</v>
      </c>
      <c r="V24" s="14">
        <f t="shared" si="1"/>
        <v>90.5</v>
      </c>
      <c r="W24" s="13">
        <v>90.5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'13.6'!W25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'13.6'!W26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401.29999999999995</v>
      </c>
      <c r="E27" s="24">
        <f>SUM(E7:E26)</f>
        <v>117.75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0</v>
      </c>
      <c r="L27" s="13">
        <f t="shared" si="3"/>
        <v>47</v>
      </c>
      <c r="M27" s="13">
        <f t="shared" si="3"/>
        <v>0</v>
      </c>
      <c r="N27" s="13">
        <f t="shared" si="3"/>
        <v>0</v>
      </c>
      <c r="O27" s="13">
        <f t="shared" si="3"/>
        <v>19.5</v>
      </c>
      <c r="P27" s="13">
        <f t="shared" si="3"/>
        <v>8</v>
      </c>
      <c r="Q27" s="13">
        <f t="shared" si="3"/>
        <v>39.15</v>
      </c>
      <c r="R27" s="13">
        <f t="shared" si="3"/>
        <v>1.5</v>
      </c>
      <c r="S27" s="13">
        <f t="shared" si="3"/>
        <v>0</v>
      </c>
      <c r="T27" s="13"/>
      <c r="U27" s="13"/>
      <c r="V27" s="13">
        <f t="shared" si="3"/>
        <v>387.9</v>
      </c>
      <c r="W27" s="13"/>
      <c r="X27" s="13">
        <f t="shared" si="3"/>
        <v>1</v>
      </c>
    </row>
    <row r="157" spans="4:4">
      <c r="D157" t="s">
        <v>65</v>
      </c>
    </row>
  </sheetData>
  <mergeCells count="13">
    <mergeCell ref="W5:W6"/>
    <mergeCell ref="X5:X6"/>
    <mergeCell ref="B1:X1"/>
    <mergeCell ref="E4:X4"/>
    <mergeCell ref="A5:A6"/>
    <mergeCell ref="B5:B6"/>
    <mergeCell ref="C5:C6"/>
    <mergeCell ref="D5:D6"/>
    <mergeCell ref="E5:E6"/>
    <mergeCell ref="F5:S5"/>
    <mergeCell ref="U5:U6"/>
    <mergeCell ref="V5:V6"/>
    <mergeCell ref="T5:T6"/>
  </mergeCells>
  <pageMargins left="0.7" right="0.7" top="0.75" bottom="0.75" header="0.3" footer="0.3"/>
  <pageSetup orientation="portrait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K13" activePane="bottomRight" state="frozen"/>
      <selection activeCell="A4" sqref="A4"/>
      <selection pane="topRight" activeCell="E4" sqref="E4"/>
      <selection pane="bottomLeft" activeCell="A7" sqref="A7"/>
      <selection pane="bottomRight" activeCell="N18" sqref="N1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DATE(2017,6,14)</f>
        <v>42900</v>
      </c>
      <c r="E4" s="36">
        <f>D4+1</f>
        <v>42901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'14.6'!W7</f>
        <v>78</v>
      </c>
      <c r="E7">
        <v>40</v>
      </c>
      <c r="F7" s="10"/>
      <c r="G7" s="11"/>
      <c r="H7" s="10">
        <v>10</v>
      </c>
      <c r="I7" s="10"/>
      <c r="J7" s="10"/>
      <c r="K7" s="10"/>
      <c r="L7" s="10"/>
      <c r="M7" s="10"/>
      <c r="N7" s="10"/>
      <c r="O7" s="10">
        <v>8</v>
      </c>
      <c r="P7" s="10"/>
      <c r="Q7" s="10"/>
      <c r="R7" s="10"/>
      <c r="S7" s="10">
        <v>20</v>
      </c>
      <c r="T7" s="10"/>
      <c r="U7" s="13">
        <f>SUM(F7:S7)</f>
        <v>38</v>
      </c>
      <c r="V7" s="14">
        <f>D7+E7-T7-SUM(F7:S7)</f>
        <v>80</v>
      </c>
      <c r="W7" s="13">
        <v>80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'14.6'!W8</f>
        <v>10.65</v>
      </c>
      <c r="E8" s="10"/>
      <c r="F8" s="10"/>
      <c r="G8" s="10"/>
      <c r="H8" s="10"/>
      <c r="I8" s="10"/>
      <c r="J8" s="10"/>
      <c r="K8" s="10"/>
      <c r="L8" s="10"/>
      <c r="M8" s="10"/>
      <c r="N8" s="10">
        <v>1.1499999999999999</v>
      </c>
      <c r="O8" s="10"/>
      <c r="P8" s="10"/>
      <c r="Q8" s="10"/>
      <c r="R8" s="10"/>
      <c r="S8" s="10"/>
      <c r="T8" s="10"/>
      <c r="U8" s="13">
        <f t="shared" ref="U8:U26" si="0">SUM(F8:S8)</f>
        <v>1.1499999999999999</v>
      </c>
      <c r="V8" s="14">
        <f t="shared" ref="V8:V24" si="1">D8+E8-T8-SUM(F8:S8)</f>
        <v>9.5</v>
      </c>
      <c r="W8" s="13">
        <v>9.5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'14.6'!W9</f>
        <v>28.1</v>
      </c>
      <c r="E9" s="10"/>
      <c r="F9" s="10"/>
      <c r="G9" s="10"/>
      <c r="H9" s="10">
        <v>2</v>
      </c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0"/>
      <c r="U9" s="13">
        <f t="shared" si="0"/>
        <v>5</v>
      </c>
      <c r="V9" s="14">
        <f t="shared" si="1"/>
        <v>23.1</v>
      </c>
      <c r="W9" s="13">
        <v>23.1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'14.6'!W10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'14.6'!W11</f>
        <v>66.599999999999994</v>
      </c>
      <c r="E11">
        <v>24.5</v>
      </c>
      <c r="F11" s="11"/>
      <c r="G11" s="10"/>
      <c r="H11" s="11">
        <v>3</v>
      </c>
      <c r="I11" s="11"/>
      <c r="J11" s="11"/>
      <c r="K11" s="11"/>
      <c r="L11" s="11"/>
      <c r="M11" s="11"/>
      <c r="N11" s="11">
        <v>2</v>
      </c>
      <c r="O11" s="10"/>
      <c r="P11" s="10"/>
      <c r="Q11" s="10"/>
      <c r="R11" s="10"/>
      <c r="S11" s="10">
        <v>2</v>
      </c>
      <c r="T11" s="10"/>
      <c r="U11" s="13">
        <f t="shared" si="0"/>
        <v>7</v>
      </c>
      <c r="V11" s="14">
        <f t="shared" si="1"/>
        <v>84.1</v>
      </c>
      <c r="W11" s="13">
        <v>84.1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'14.6'!W12</f>
        <v>12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11</v>
      </c>
      <c r="W12" s="13">
        <v>11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'14.6'!W13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'14.6'!W14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'14.6'!W15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'14.6'!W16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'14.6'!W17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>
        <v>3</v>
      </c>
      <c r="T17" s="10"/>
      <c r="U17" s="13">
        <f t="shared" si="0"/>
        <v>3</v>
      </c>
      <c r="V17" s="14">
        <f t="shared" si="1"/>
        <v>-3</v>
      </c>
      <c r="W17" s="13"/>
      <c r="X17" s="15">
        <f t="shared" si="2"/>
        <v>3</v>
      </c>
    </row>
    <row r="18" spans="1:24" ht="18.75">
      <c r="A18" s="6">
        <v>12</v>
      </c>
      <c r="B18" s="7" t="s">
        <v>23</v>
      </c>
      <c r="C18" s="8" t="s">
        <v>12</v>
      </c>
      <c r="D18" s="13">
        <f>'14.6'!W18</f>
        <v>12.15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1</v>
      </c>
      <c r="O18" s="10"/>
      <c r="P18" s="10"/>
      <c r="Q18" s="10"/>
      <c r="R18" s="10"/>
      <c r="S18" s="10"/>
      <c r="T18" s="10"/>
      <c r="U18" s="13">
        <f t="shared" si="0"/>
        <v>1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'14.6'!W19</f>
        <v>10.5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1</v>
      </c>
      <c r="T19" s="10"/>
      <c r="U19" s="13">
        <f t="shared" si="0"/>
        <v>1</v>
      </c>
      <c r="V19" s="14">
        <f t="shared" si="1"/>
        <v>9.5</v>
      </c>
      <c r="W19" s="13">
        <v>9.5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'14.6'!W20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'14.6'!W21</f>
        <v>37.15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1</v>
      </c>
      <c r="O21" s="12"/>
      <c r="P21" s="12"/>
      <c r="Q21" s="12"/>
      <c r="R21" s="12"/>
      <c r="S21" s="12"/>
      <c r="T21" s="12"/>
      <c r="U21" s="13">
        <f t="shared" si="0"/>
        <v>1</v>
      </c>
      <c r="V21" s="14">
        <f t="shared" si="1"/>
        <v>36.15</v>
      </c>
      <c r="W21" s="13">
        <v>36.15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'14.6'!W22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'14.6'!W23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'14.6'!W24</f>
        <v>90.5</v>
      </c>
      <c r="E24" s="10">
        <v>56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>
        <v>12</v>
      </c>
      <c r="O24" s="10">
        <v>2.5</v>
      </c>
      <c r="P24" s="10"/>
      <c r="Q24" s="10">
        <v>4</v>
      </c>
      <c r="R24" s="10">
        <v>1</v>
      </c>
      <c r="S24" s="10">
        <v>2</v>
      </c>
      <c r="T24" s="10"/>
      <c r="U24" s="13">
        <f t="shared" si="0"/>
        <v>39.5</v>
      </c>
      <c r="V24" s="14">
        <f t="shared" si="1"/>
        <v>107</v>
      </c>
      <c r="W24" s="13">
        <v>107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'14.6'!W25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'14.6'!W26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388.9</v>
      </c>
      <c r="E27" s="24">
        <f>SUM(E7:E26)</f>
        <v>120.5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15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21.15</v>
      </c>
      <c r="O27" s="13">
        <f t="shared" si="3"/>
        <v>10.5</v>
      </c>
      <c r="P27" s="13">
        <f t="shared" si="3"/>
        <v>0</v>
      </c>
      <c r="Q27" s="13">
        <f t="shared" si="3"/>
        <v>4</v>
      </c>
      <c r="R27" s="13">
        <f t="shared" si="3"/>
        <v>1</v>
      </c>
      <c r="S27" s="13">
        <f t="shared" si="3"/>
        <v>28</v>
      </c>
      <c r="T27" s="13"/>
      <c r="U27" s="13"/>
      <c r="V27" s="13">
        <f t="shared" si="3"/>
        <v>411.74999999999994</v>
      </c>
      <c r="W27" s="13"/>
      <c r="X27" s="13">
        <f t="shared" si="3"/>
        <v>3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12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DATE(2015,4,25)</f>
        <v>42119</v>
      </c>
      <c r="E4" s="36">
        <f>D4+1</f>
        <v>42120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34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VLOOKUP($B7,'2504'!$B7:$N26,12,0)</f>
        <v>24</v>
      </c>
      <c r="E7" s="10">
        <v>70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VLOOKUP($B8,'2504'!$B8:$N27,12,0)</f>
        <v>8.6999999999999993</v>
      </c>
      <c r="E8" s="10"/>
      <c r="F8" s="11"/>
      <c r="G8" s="10"/>
      <c r="H8" s="10">
        <v>1.2</v>
      </c>
      <c r="I8" s="10">
        <v>3</v>
      </c>
      <c r="J8" s="10"/>
      <c r="K8" s="10"/>
      <c r="L8" s="14">
        <f t="shared" ref="L8:L22" si="1">D8+E8-SUM(F8:K8)</f>
        <v>4.4999999999999991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VLOOKUP($B9,'2504'!$B9:$N28,12,0)</f>
        <v>23.5</v>
      </c>
      <c r="E9" s="10"/>
      <c r="F9" s="11"/>
      <c r="G9" s="10">
        <v>5</v>
      </c>
      <c r="H9" s="10">
        <v>3</v>
      </c>
      <c r="I9" s="10">
        <v>2</v>
      </c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VLOOKUP($B10,'2504'!$B10:$N29,12,0)</f>
        <v>8.1</v>
      </c>
      <c r="F10" s="11"/>
      <c r="G10" s="10">
        <v>2.1</v>
      </c>
      <c r="H10" s="10">
        <v>0.6</v>
      </c>
      <c r="I10" s="11">
        <v>3</v>
      </c>
      <c r="J10" s="10"/>
      <c r="K10" s="10"/>
      <c r="L10" s="14">
        <f t="shared" si="1"/>
        <v>2.3999999999999995</v>
      </c>
      <c r="M10" s="10">
        <v>2.4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VLOOKUP($B11,'2504'!$B11:$N30,12,0)</f>
        <v>8</v>
      </c>
      <c r="E11" s="10">
        <v>23.6</v>
      </c>
      <c r="F11" s="11">
        <v>3</v>
      </c>
      <c r="G11" s="10">
        <v>7</v>
      </c>
      <c r="H11" s="10">
        <v>2</v>
      </c>
      <c r="I11" s="11"/>
      <c r="J11" s="10"/>
      <c r="K11" s="10"/>
      <c r="L11" s="14">
        <f t="shared" si="1"/>
        <v>19.600000000000001</v>
      </c>
      <c r="M11" s="10">
        <v>19.600000000000001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VLOOKUP($B12,'2504'!$B12:$N31,12,0)</f>
        <v>30.8</v>
      </c>
      <c r="E12" s="10"/>
      <c r="F12" s="11"/>
      <c r="G12" s="10">
        <v>15</v>
      </c>
      <c r="H12" s="10">
        <v>3</v>
      </c>
      <c r="I12" s="11"/>
      <c r="J12" s="10"/>
      <c r="K12" s="10"/>
      <c r="L12" s="14">
        <f t="shared" si="1"/>
        <v>12.8</v>
      </c>
      <c r="M12" s="10">
        <v>12.8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VLOOKUP($B14,'2504'!$B14:$N33,12,0)</f>
        <v>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VLOOKUP($B15,'2504'!$B15:$N34,12,0)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VLOOKUP($B16,'2504'!$B16:$N35,12,0)</f>
        <v>14</v>
      </c>
      <c r="E16" s="10"/>
      <c r="F16" s="11">
        <v>2</v>
      </c>
      <c r="G16" s="10">
        <v>2</v>
      </c>
      <c r="H16" s="10"/>
      <c r="I16" s="10">
        <v>4</v>
      </c>
      <c r="J16" s="10"/>
      <c r="K16" s="10"/>
      <c r="L16" s="14">
        <f t="shared" si="1"/>
        <v>6</v>
      </c>
      <c r="M16" s="10">
        <v>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VLOOKUP($B18,'2504'!$B18:$N37,12,0)</f>
        <v>0</v>
      </c>
      <c r="E18" s="10">
        <v>10.26</v>
      </c>
      <c r="F18" s="11"/>
      <c r="G18" s="10"/>
      <c r="H18" s="10"/>
      <c r="I18" s="10"/>
      <c r="J18" s="10"/>
      <c r="K18" s="10"/>
      <c r="L18" s="14">
        <f t="shared" si="1"/>
        <v>10.26</v>
      </c>
      <c r="M18" s="10">
        <v>10.26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VLOOKUP($B20,'2504'!$B20:$N39,12,0)</f>
        <v>3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VLOOKUP($B21,'2504'!$B21:$N40,12,0)</f>
        <v>10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8.5</v>
      </c>
      <c r="M21" s="12">
        <v>8.5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VLOOKUP($B22,'2504'!$B22:$N41,12,0)</f>
        <v>0</v>
      </c>
      <c r="E22" s="10">
        <v>5.4</v>
      </c>
      <c r="F22" s="10"/>
      <c r="G22" s="12"/>
      <c r="H22" s="11"/>
      <c r="I22" s="12"/>
      <c r="J22" s="12"/>
      <c r="K22" s="12"/>
      <c r="L22" s="14">
        <f t="shared" si="1"/>
        <v>5.4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143.6</v>
      </c>
      <c r="E27" s="13">
        <f t="shared" si="2"/>
        <v>114.26</v>
      </c>
      <c r="F27" s="13">
        <f t="shared" si="2"/>
        <v>9</v>
      </c>
      <c r="G27" s="13">
        <f t="shared" si="2"/>
        <v>53.1</v>
      </c>
      <c r="H27" s="13">
        <f t="shared" si="2"/>
        <v>21.299999999999997</v>
      </c>
      <c r="I27" s="13">
        <f t="shared" si="2"/>
        <v>25</v>
      </c>
      <c r="J27" s="13">
        <f t="shared" si="2"/>
        <v>0</v>
      </c>
      <c r="K27" s="13">
        <f t="shared" si="2"/>
        <v>0</v>
      </c>
      <c r="L27" s="13">
        <f t="shared" si="2"/>
        <v>149.46</v>
      </c>
      <c r="M27" s="13">
        <f t="shared" si="2"/>
        <v>149.46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8" priority="1" stopIfTrue="1" operator="lessThan">
      <formula>0</formula>
    </cfRule>
  </conditionalFormatting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P12" sqref="P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DATE(2017,6,15)</f>
        <v>42901</v>
      </c>
      <c r="E4" s="36">
        <f>D4+1</f>
        <v>42902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'15.6'!W7</f>
        <v>80</v>
      </c>
      <c r="E7">
        <v>40</v>
      </c>
      <c r="F7" s="10">
        <v>4</v>
      </c>
      <c r="G7" s="11"/>
      <c r="H7" s="10"/>
      <c r="I7" s="10"/>
      <c r="J7" s="10"/>
      <c r="K7" s="10"/>
      <c r="L7" s="10"/>
      <c r="M7" s="10"/>
      <c r="N7" s="10"/>
      <c r="O7" s="10"/>
      <c r="P7" s="10">
        <v>36</v>
      </c>
      <c r="Q7" s="10"/>
      <c r="R7" s="10"/>
      <c r="S7" s="10"/>
      <c r="T7" s="10"/>
      <c r="U7" s="13">
        <f>SUM(F7:S7)</f>
        <v>40</v>
      </c>
      <c r="V7" s="14">
        <f>D7+E7-T7-SUM(F7:S7)</f>
        <v>80</v>
      </c>
      <c r="W7" s="13">
        <v>80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'15.6'!W8</f>
        <v>9.5</v>
      </c>
      <c r="E8" s="10"/>
      <c r="F8" s="10"/>
      <c r="G8" s="10"/>
      <c r="H8" s="10"/>
      <c r="I8" s="10"/>
      <c r="J8" s="10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2</v>
      </c>
      <c r="V8" s="14">
        <f t="shared" ref="V8:V24" si="1">D8+E8-T8-SUM(F8:S8)</f>
        <v>7.5</v>
      </c>
      <c r="W8" s="13">
        <v>7.5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'15.6'!W9</f>
        <v>23.1</v>
      </c>
      <c r="E9" s="10">
        <v>7.6</v>
      </c>
      <c r="F9" s="10">
        <v>4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10"/>
      <c r="U9" s="13">
        <f t="shared" si="0"/>
        <v>9</v>
      </c>
      <c r="V9" s="14">
        <f t="shared" si="1"/>
        <v>21.700000000000003</v>
      </c>
      <c r="W9" s="13">
        <v>21.7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'15.6'!W10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'15.6'!W11</f>
        <v>84.1</v>
      </c>
      <c r="F11" s="11">
        <v>3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4.75</v>
      </c>
      <c r="Q11" s="10"/>
      <c r="R11" s="10"/>
      <c r="S11" s="10"/>
      <c r="T11" s="10"/>
      <c r="U11" s="13">
        <f t="shared" si="0"/>
        <v>7.75</v>
      </c>
      <c r="V11" s="14">
        <f t="shared" si="1"/>
        <v>76.349999999999994</v>
      </c>
      <c r="W11" s="13">
        <v>76.099999999999994</v>
      </c>
      <c r="X11" s="15">
        <f t="shared" si="2"/>
        <v>-0.25</v>
      </c>
    </row>
    <row r="12" spans="1:24" ht="18.75">
      <c r="A12" s="6">
        <v>6</v>
      </c>
      <c r="B12" s="7" t="s">
        <v>67</v>
      </c>
      <c r="C12" s="8" t="s">
        <v>12</v>
      </c>
      <c r="D12" s="13">
        <f>'15.6'!W12</f>
        <v>11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11</v>
      </c>
      <c r="W12" s="13">
        <v>11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'15.6'!W13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'15.6'!W14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'15.6'!W15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'15.6'!W16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'15.6'!W17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'15.6'!W18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'15.6'!W19</f>
        <v>9.5</v>
      </c>
      <c r="E19" s="10">
        <v>10.8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20.3</v>
      </c>
      <c r="W19" s="13">
        <v>20.3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'15.6'!W20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'15.6'!W21</f>
        <v>36.15</v>
      </c>
      <c r="E21" s="12">
        <v>10.8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>
        <v>1</v>
      </c>
      <c r="Q21" s="12"/>
      <c r="R21" s="12"/>
      <c r="S21" s="12"/>
      <c r="T21" s="12"/>
      <c r="U21" s="13">
        <f t="shared" si="0"/>
        <v>1</v>
      </c>
      <c r="V21" s="14">
        <f t="shared" si="1"/>
        <v>45.95</v>
      </c>
      <c r="W21" s="13">
        <v>45.95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'15.6'!W22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'15.6'!W23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'15.6'!W24</f>
        <v>107</v>
      </c>
      <c r="E24" s="10">
        <v>57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1</v>
      </c>
      <c r="S24" s="10"/>
      <c r="T24" s="10"/>
      <c r="U24" s="13">
        <f t="shared" si="0"/>
        <v>25.5</v>
      </c>
      <c r="V24" s="14">
        <f t="shared" si="1"/>
        <v>138.5</v>
      </c>
      <c r="W24" s="13">
        <v>138.5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'15.6'!W25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'15.6'!W26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414.74999999999994</v>
      </c>
      <c r="E27" s="24">
        <f>SUM(E7:E26)</f>
        <v>126.2</v>
      </c>
      <c r="F27" s="13">
        <f t="shared" ref="F27:X27" si="3">SUM(F7:F26)</f>
        <v>13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4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46.75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/>
      <c r="V27" s="13">
        <f t="shared" si="3"/>
        <v>455.7</v>
      </c>
      <c r="W27" s="13"/>
      <c r="X27" s="13">
        <f t="shared" si="3"/>
        <v>-0.25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W10" sqref="W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DATE(2017,6,16)</f>
        <v>42902</v>
      </c>
      <c r="E4" s="36">
        <f>D4+1</f>
        <v>42903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'16.6'!W7</f>
        <v>80</v>
      </c>
      <c r="E7">
        <v>40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0</v>
      </c>
      <c r="V7" s="14">
        <f>D7+E7-T7-SUM(F7:S7)</f>
        <v>120</v>
      </c>
      <c r="W7" s="13">
        <v>120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'16.6'!W8</f>
        <v>7.5</v>
      </c>
      <c r="E8" s="10">
        <v>14.8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22.3</v>
      </c>
      <c r="W8" s="13">
        <v>22.3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'16.6'!W9</f>
        <v>21.7</v>
      </c>
      <c r="E9" s="10"/>
      <c r="F9" s="10"/>
      <c r="G9" s="10"/>
      <c r="H9" s="10"/>
      <c r="I9" s="10"/>
      <c r="J9" s="10"/>
      <c r="K9" s="10"/>
      <c r="L9" s="10"/>
      <c r="M9" s="10">
        <v>4</v>
      </c>
      <c r="N9" s="10"/>
      <c r="O9" s="10"/>
      <c r="P9" s="10"/>
      <c r="Q9" s="10"/>
      <c r="R9" s="10"/>
      <c r="S9" s="10"/>
      <c r="T9" s="10"/>
      <c r="U9" s="13">
        <f t="shared" si="0"/>
        <v>4</v>
      </c>
      <c r="V9" s="14">
        <f t="shared" si="1"/>
        <v>17.7</v>
      </c>
      <c r="W9" s="13">
        <v>17.7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'16.6'!W10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'16.6'!W11</f>
        <v>76.099999999999994</v>
      </c>
      <c r="E11">
        <v>24</v>
      </c>
      <c r="F11" s="11"/>
      <c r="G11" s="10"/>
      <c r="H11" s="11"/>
      <c r="I11" s="11"/>
      <c r="J11" s="11"/>
      <c r="K11" s="11"/>
      <c r="L11" s="11"/>
      <c r="M11" s="11">
        <v>5</v>
      </c>
      <c r="N11" s="11"/>
      <c r="O11" s="10"/>
      <c r="P11" s="10"/>
      <c r="Q11" s="10"/>
      <c r="R11" s="10"/>
      <c r="S11" s="10"/>
      <c r="T11" s="10"/>
      <c r="U11" s="13">
        <f t="shared" si="0"/>
        <v>5</v>
      </c>
      <c r="V11" s="14">
        <f t="shared" si="1"/>
        <v>95.1</v>
      </c>
      <c r="W11" s="13">
        <v>95.1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'16.6'!W12</f>
        <v>11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11</v>
      </c>
      <c r="W12" s="13">
        <v>11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'16.6'!W13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'16.6'!W14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'16.6'!W15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'16.6'!W16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'16.6'!W17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'16.6'!W18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'16.6'!W19</f>
        <v>20.3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20.3</v>
      </c>
      <c r="W19" s="13">
        <v>20.3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'16.6'!W20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'16.6'!W21</f>
        <v>45.95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45.95</v>
      </c>
      <c r="W21" s="13">
        <v>45.95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'16.6'!W22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'16.6'!W23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'16.6'!W24</f>
        <v>138.5</v>
      </c>
      <c r="E24" s="10">
        <v>47</v>
      </c>
      <c r="F24" s="10">
        <v>2</v>
      </c>
      <c r="G24" s="10">
        <v>3</v>
      </c>
      <c r="H24" s="10">
        <v>2</v>
      </c>
      <c r="I24" s="10">
        <v>16</v>
      </c>
      <c r="J24" s="10">
        <v>2</v>
      </c>
      <c r="K24" s="10">
        <v>3</v>
      </c>
      <c r="L24" s="10">
        <v>5</v>
      </c>
      <c r="M24" s="10">
        <v>10</v>
      </c>
      <c r="N24" s="10"/>
      <c r="O24" s="10">
        <v>2.5</v>
      </c>
      <c r="P24" s="10">
        <v>14</v>
      </c>
      <c r="Q24" s="10">
        <v>4</v>
      </c>
      <c r="R24" s="10">
        <v>1</v>
      </c>
      <c r="S24" s="10">
        <v>2</v>
      </c>
      <c r="T24" s="10"/>
      <c r="U24" s="13">
        <f t="shared" si="0"/>
        <v>66.5</v>
      </c>
      <c r="V24" s="14">
        <f t="shared" si="1"/>
        <v>119</v>
      </c>
      <c r="W24" s="13">
        <v>119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'16.6'!W25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'16.6'!W26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455.45</v>
      </c>
      <c r="E27" s="24">
        <f>SUM(E7:E26)</f>
        <v>125.8</v>
      </c>
      <c r="F27" s="13">
        <f t="shared" ref="F27:X27" si="3">SUM(F7:F26)</f>
        <v>2</v>
      </c>
      <c r="G27" s="13">
        <f t="shared" si="3"/>
        <v>3</v>
      </c>
      <c r="H27" s="13">
        <f t="shared" si="3"/>
        <v>2</v>
      </c>
      <c r="I27" s="13">
        <f t="shared" si="3"/>
        <v>16</v>
      </c>
      <c r="J27" s="13">
        <f t="shared" si="3"/>
        <v>2</v>
      </c>
      <c r="K27" s="13">
        <f t="shared" si="3"/>
        <v>3</v>
      </c>
      <c r="L27" s="13">
        <f t="shared" si="3"/>
        <v>5</v>
      </c>
      <c r="M27" s="13">
        <f t="shared" si="3"/>
        <v>19</v>
      </c>
      <c r="N27" s="13">
        <f t="shared" si="3"/>
        <v>0</v>
      </c>
      <c r="O27" s="13">
        <f t="shared" si="3"/>
        <v>2.5</v>
      </c>
      <c r="P27" s="13">
        <f t="shared" si="3"/>
        <v>14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505.75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W10" sqref="W10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DATE(2017,6,17)</f>
        <v>42903</v>
      </c>
      <c r="E4" s="36">
        <f>D4+1</f>
        <v>42904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'17.6'!W7</f>
        <v>120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0</v>
      </c>
      <c r="V7" s="14">
        <f>D7+E7-T7-SUM(F7:S7)</f>
        <v>120</v>
      </c>
      <c r="W7" s="13">
        <v>120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'17.6'!W8</f>
        <v>22.3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22.3</v>
      </c>
      <c r="W8" s="13">
        <v>22.3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'17.6'!W9</f>
        <v>17.7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17.7</v>
      </c>
      <c r="W9" s="13">
        <v>17.7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'17.6'!W10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'17.6'!W11</f>
        <v>95.1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95.1</v>
      </c>
      <c r="W11" s="13">
        <v>95.1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'17.6'!W12</f>
        <v>11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11</v>
      </c>
      <c r="W12" s="13">
        <v>11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'17.6'!W13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'17.6'!W14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'17.6'!W15</f>
        <v>15.95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15.95</v>
      </c>
      <c r="W15" s="13">
        <v>15.95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'17.6'!W16</f>
        <v>14.2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14.2</v>
      </c>
      <c r="W16" s="13">
        <v>14.2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'17.6'!W17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'17.6'!W18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'17.6'!W19</f>
        <v>20.3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20.3</v>
      </c>
      <c r="W19" s="13">
        <v>20.3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'17.6'!W20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'17.6'!W21</f>
        <v>45.95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45.95</v>
      </c>
      <c r="W21" s="13">
        <v>45.95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'17.6'!W22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'17.6'!W23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'17.6'!W24</f>
        <v>119</v>
      </c>
      <c r="E24" s="10"/>
      <c r="F24" s="10">
        <v>2</v>
      </c>
      <c r="G24" s="10">
        <v>3</v>
      </c>
      <c r="H24" s="10">
        <v>2</v>
      </c>
      <c r="I24" s="10">
        <v>14</v>
      </c>
      <c r="J24" s="10">
        <v>2</v>
      </c>
      <c r="K24" s="10">
        <v>3</v>
      </c>
      <c r="L24" s="10">
        <v>5</v>
      </c>
      <c r="M24" s="10"/>
      <c r="N24" s="10"/>
      <c r="O24" s="10">
        <v>2.5</v>
      </c>
      <c r="P24" s="10"/>
      <c r="Q24" s="10">
        <v>4</v>
      </c>
      <c r="R24" s="10">
        <v>1</v>
      </c>
      <c r="S24" s="10">
        <v>2</v>
      </c>
      <c r="T24" s="10"/>
      <c r="U24" s="13">
        <f t="shared" si="0"/>
        <v>40.5</v>
      </c>
      <c r="V24" s="14">
        <f t="shared" si="1"/>
        <v>78.5</v>
      </c>
      <c r="W24" s="13">
        <v>78.5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'17.6'!W25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'17.6'!W26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505.75</v>
      </c>
      <c r="E27" s="24">
        <f>SUM(E7:E26)</f>
        <v>0</v>
      </c>
      <c r="F27" s="13">
        <f t="shared" ref="F27:X27" si="3">SUM(F7:F26)</f>
        <v>2</v>
      </c>
      <c r="G27" s="13">
        <f t="shared" si="3"/>
        <v>3</v>
      </c>
      <c r="H27" s="13">
        <f t="shared" si="3"/>
        <v>2</v>
      </c>
      <c r="I27" s="13">
        <f t="shared" si="3"/>
        <v>14</v>
      </c>
      <c r="J27" s="13">
        <f t="shared" si="3"/>
        <v>2</v>
      </c>
      <c r="K27" s="13">
        <f t="shared" si="3"/>
        <v>3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465.25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K8" sqref="K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DATE(2017,6,18)</f>
        <v>42904</v>
      </c>
      <c r="E4" s="36">
        <f>D4+1</f>
        <v>42905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'18.6'!W7</f>
        <v>120</v>
      </c>
      <c r="E7">
        <v>40</v>
      </c>
      <c r="F7" s="10">
        <v>8</v>
      </c>
      <c r="G7" s="11"/>
      <c r="H7" s="10"/>
      <c r="I7" s="10"/>
      <c r="J7" s="10"/>
      <c r="K7" s="10">
        <v>8</v>
      </c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16</v>
      </c>
      <c r="V7" s="14">
        <f>D7+E7-T7-SUM(F7:S7)</f>
        <v>144</v>
      </c>
      <c r="W7" s="13">
        <v>144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'18.6'!W8</f>
        <v>22.3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22.3</v>
      </c>
      <c r="W8" s="13">
        <v>22.3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'18.6'!W9</f>
        <v>17.7</v>
      </c>
      <c r="E9" s="10">
        <v>8.15</v>
      </c>
      <c r="F9" s="10"/>
      <c r="G9" s="10"/>
      <c r="H9" s="10"/>
      <c r="I9" s="10">
        <v>1</v>
      </c>
      <c r="J9" s="10"/>
      <c r="K9" s="10">
        <v>8.85</v>
      </c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9.85</v>
      </c>
      <c r="V9" s="14">
        <f t="shared" si="1"/>
        <v>16</v>
      </c>
      <c r="W9" s="13">
        <v>16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'18.6'!W10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'18.6'!W11</f>
        <v>95.1</v>
      </c>
      <c r="F11" s="11"/>
      <c r="G11" s="10"/>
      <c r="H11" s="11"/>
      <c r="I11" s="11"/>
      <c r="J11" s="11"/>
      <c r="K11" s="11">
        <v>2.5</v>
      </c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2.5</v>
      </c>
      <c r="V11" s="14">
        <f t="shared" si="1"/>
        <v>92.6</v>
      </c>
      <c r="W11" s="13">
        <v>92.6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'18.6'!W12</f>
        <v>11</v>
      </c>
      <c r="E12" s="10">
        <v>13.45</v>
      </c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24.45</v>
      </c>
      <c r="W12" s="13">
        <v>24.45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'18.6'!W13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'18.6'!W14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'18.6'!W15</f>
        <v>15.95</v>
      </c>
      <c r="E15" s="10"/>
      <c r="F15" s="11"/>
      <c r="G15" s="10"/>
      <c r="H15" s="10"/>
      <c r="I15" s="10"/>
      <c r="J15" s="10"/>
      <c r="K15" s="10"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3</v>
      </c>
      <c r="V15" s="14">
        <f t="shared" si="1"/>
        <v>12.95</v>
      </c>
      <c r="W15" s="13">
        <v>12.95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'18.6'!W16</f>
        <v>14.2</v>
      </c>
      <c r="E16" s="10"/>
      <c r="F16" s="11"/>
      <c r="G16" s="10"/>
      <c r="H16" s="10"/>
      <c r="I16" s="10"/>
      <c r="J16" s="10"/>
      <c r="K16" s="10">
        <v>3.1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3.1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'18.6'!W17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'18.6'!W18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'18.6'!W19</f>
        <v>20.3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20.3</v>
      </c>
      <c r="W19" s="13">
        <v>20.3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'18.6'!W20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'18.6'!W21</f>
        <v>45.95</v>
      </c>
      <c r="E21" s="12"/>
      <c r="F21" s="12"/>
      <c r="G21" s="11"/>
      <c r="H21" s="12"/>
      <c r="I21" s="12">
        <v>1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1</v>
      </c>
      <c r="V21" s="14">
        <f t="shared" si="1"/>
        <v>44.95</v>
      </c>
      <c r="W21" s="13">
        <v>44.95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'18.6'!W22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'18.6'!W23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'18.6'!W24</f>
        <v>78.5</v>
      </c>
      <c r="E24" s="10">
        <v>48</v>
      </c>
      <c r="F24" s="10">
        <v>2</v>
      </c>
      <c r="G24" s="10">
        <v>3</v>
      </c>
      <c r="H24" s="10">
        <v>2</v>
      </c>
      <c r="I24" s="10">
        <v>8</v>
      </c>
      <c r="J24" s="10">
        <v>2</v>
      </c>
      <c r="K24" s="10"/>
      <c r="L24" s="10"/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0"/>
      <c r="U24" s="13">
        <f t="shared" si="0"/>
        <v>32.5</v>
      </c>
      <c r="V24" s="14">
        <f t="shared" si="1"/>
        <v>94</v>
      </c>
      <c r="W24" s="13">
        <v>94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'18.6'!W25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'18.6'!W26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465.25</v>
      </c>
      <c r="E27" s="24">
        <f>SUM(E7:E26)</f>
        <v>109.6</v>
      </c>
      <c r="F27" s="13">
        <f t="shared" ref="F27:X27" si="3">SUM(F7:F26)</f>
        <v>10</v>
      </c>
      <c r="G27" s="13">
        <f t="shared" si="3"/>
        <v>3</v>
      </c>
      <c r="H27" s="13">
        <f t="shared" si="3"/>
        <v>2</v>
      </c>
      <c r="I27" s="13">
        <f t="shared" si="3"/>
        <v>10</v>
      </c>
      <c r="J27" s="13">
        <f t="shared" si="3"/>
        <v>2</v>
      </c>
      <c r="K27" s="13">
        <f t="shared" si="3"/>
        <v>25.450000000000003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/>
      <c r="V27" s="13">
        <f t="shared" si="3"/>
        <v>506.9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I7" sqref="I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DATE(2017,6,19)</f>
        <v>42905</v>
      </c>
      <c r="E4" s="36">
        <f>D4+1</f>
        <v>42906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'19.6'!W7</f>
        <v>144</v>
      </c>
      <c r="E7">
        <v>40</v>
      </c>
      <c r="F7" s="10"/>
      <c r="G7" s="11"/>
      <c r="H7" s="10"/>
      <c r="I7" s="10">
        <v>36</v>
      </c>
      <c r="J7" s="10">
        <v>8</v>
      </c>
      <c r="K7" s="10"/>
      <c r="L7" s="10"/>
      <c r="M7" s="10"/>
      <c r="N7" s="10"/>
      <c r="O7" s="10">
        <v>16</v>
      </c>
      <c r="P7" s="10"/>
      <c r="Q7" s="10"/>
      <c r="R7" s="10"/>
      <c r="S7" s="10"/>
      <c r="T7" s="10"/>
      <c r="U7" s="13">
        <f>SUM(F7:S7)</f>
        <v>60</v>
      </c>
      <c r="V7" s="14">
        <f>D7+E7-T7-SUM(F7:S7)</f>
        <v>124</v>
      </c>
      <c r="W7" s="13">
        <v>124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'19.6'!W8</f>
        <v>22.3</v>
      </c>
      <c r="E8" s="10"/>
      <c r="F8" s="10"/>
      <c r="G8" s="10">
        <v>0.8</v>
      </c>
      <c r="H8" s="10"/>
      <c r="I8" s="10"/>
      <c r="J8" s="10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2.8</v>
      </c>
      <c r="V8" s="14">
        <f t="shared" ref="V8:V24" si="1">D8+E8-T8-SUM(F8:S8)</f>
        <v>19.5</v>
      </c>
      <c r="W8" s="13">
        <v>19.5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'19.6'!W9</f>
        <v>16</v>
      </c>
      <c r="E9" s="10">
        <v>8.8000000000000007</v>
      </c>
      <c r="F9" s="10"/>
      <c r="G9" s="10">
        <v>2</v>
      </c>
      <c r="H9" s="10"/>
      <c r="I9" s="10">
        <v>6</v>
      </c>
      <c r="J9" s="10">
        <v>2</v>
      </c>
      <c r="K9" s="10"/>
      <c r="L9" s="10"/>
      <c r="M9" s="10"/>
      <c r="N9" s="10"/>
      <c r="O9" s="10">
        <v>2</v>
      </c>
      <c r="P9" s="10"/>
      <c r="Q9" s="10"/>
      <c r="R9" s="10"/>
      <c r="S9" s="10"/>
      <c r="T9" s="10"/>
      <c r="U9" s="13">
        <f t="shared" si="0"/>
        <v>12</v>
      </c>
      <c r="V9" s="14">
        <f t="shared" si="1"/>
        <v>12.8</v>
      </c>
      <c r="W9" s="13">
        <v>12.8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'19.6'!W10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'19.6'!W11</f>
        <v>92.6</v>
      </c>
      <c r="F11" s="11"/>
      <c r="G11" s="10">
        <v>3</v>
      </c>
      <c r="H11" s="11"/>
      <c r="I11" s="11">
        <v>7</v>
      </c>
      <c r="J11" s="11"/>
      <c r="K11" s="11"/>
      <c r="L11" s="11"/>
      <c r="M11" s="11"/>
      <c r="N11" s="11"/>
      <c r="O11" s="10">
        <v>5</v>
      </c>
      <c r="P11" s="10"/>
      <c r="Q11" s="10"/>
      <c r="R11" s="10"/>
      <c r="S11" s="10"/>
      <c r="T11" s="10"/>
      <c r="U11" s="13">
        <f t="shared" si="0"/>
        <v>15</v>
      </c>
      <c r="V11" s="14">
        <f t="shared" si="1"/>
        <v>77.599999999999994</v>
      </c>
      <c r="W11" s="13">
        <v>77.599999999999994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'19.6'!W12</f>
        <v>24.45</v>
      </c>
      <c r="E12" s="10"/>
      <c r="F12" s="11"/>
      <c r="G12" s="10"/>
      <c r="H12" s="11"/>
      <c r="I12" s="11"/>
      <c r="J12" s="11">
        <v>1.5</v>
      </c>
      <c r="K12" s="11"/>
      <c r="L12" s="11"/>
      <c r="M12" s="11"/>
      <c r="N12" s="11"/>
      <c r="O12" s="10">
        <v>0.5</v>
      </c>
      <c r="P12" s="10"/>
      <c r="Q12" s="10"/>
      <c r="R12" s="10"/>
      <c r="S12" s="10"/>
      <c r="T12" s="10"/>
      <c r="U12" s="13">
        <f t="shared" si="0"/>
        <v>2</v>
      </c>
      <c r="V12" s="14">
        <f t="shared" si="1"/>
        <v>22.45</v>
      </c>
      <c r="W12" s="13">
        <v>22.45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'19.6'!W13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'19.6'!W14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'19.6'!W15</f>
        <v>12.95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12.95</v>
      </c>
      <c r="W15" s="13">
        <v>12.95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'19.6'!W16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'19.6'!W17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'19.6'!W18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'19.6'!W19</f>
        <v>20.3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20.3</v>
      </c>
      <c r="W19" s="13">
        <v>20.3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'19.6'!W20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'19.6'!W21</f>
        <v>44.95</v>
      </c>
      <c r="E21" s="12">
        <v>11.4</v>
      </c>
      <c r="F21" s="12"/>
      <c r="G21" s="11"/>
      <c r="H21" s="12"/>
      <c r="I21" s="12">
        <v>4</v>
      </c>
      <c r="J21" s="12">
        <v>1.5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5.5</v>
      </c>
      <c r="V21" s="14">
        <f t="shared" si="1"/>
        <v>50.85</v>
      </c>
      <c r="W21" s="13">
        <v>50.85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'19.6'!W22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'19.6'!W23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'19.6'!W24</f>
        <v>94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2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0"/>
      <c r="U24" s="13">
        <f t="shared" si="0"/>
        <v>31.5</v>
      </c>
      <c r="V24" s="14">
        <f t="shared" si="1"/>
        <v>109.5</v>
      </c>
      <c r="W24" s="13">
        <v>109.5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'19.6'!W25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'19.6'!W26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506.9</v>
      </c>
      <c r="E27" s="24">
        <f>SUM(E7:E26)</f>
        <v>107.19999999999999</v>
      </c>
      <c r="F27" s="13">
        <f t="shared" ref="F27:X27" si="3">SUM(F7:F26)</f>
        <v>2</v>
      </c>
      <c r="G27" s="13">
        <f t="shared" si="3"/>
        <v>7.8</v>
      </c>
      <c r="H27" s="13">
        <f t="shared" si="3"/>
        <v>0</v>
      </c>
      <c r="I27" s="13">
        <f t="shared" si="3"/>
        <v>61</v>
      </c>
      <c r="J27" s="13">
        <f t="shared" si="3"/>
        <v>17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26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/>
      <c r="V27" s="13">
        <f t="shared" si="3"/>
        <v>485.30000000000007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H7" activePane="bottomRight" state="frozen"/>
      <selection activeCell="A4" sqref="A4"/>
      <selection pane="topRight" activeCell="E4" sqref="E4"/>
      <selection pane="bottomLeft" activeCell="A7" sqref="A7"/>
      <selection pane="bottomRight" activeCell="L7" sqref="L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DATE(2017,6,20)</f>
        <v>42906</v>
      </c>
      <c r="E4" s="36">
        <f>D4+1</f>
        <v>42907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'20.6'!W7</f>
        <v>124</v>
      </c>
      <c r="E7">
        <v>40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/>
      <c r="P7" s="10"/>
      <c r="Q7" s="10">
        <v>20</v>
      </c>
      <c r="R7" s="10"/>
      <c r="S7" s="10"/>
      <c r="T7" s="10"/>
      <c r="U7" s="13">
        <f>SUM(F7:S7)</f>
        <v>48</v>
      </c>
      <c r="V7" s="14">
        <f>D7+E7-T7-SUM(F7:S7)</f>
        <v>116</v>
      </c>
      <c r="W7" s="13">
        <v>116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'20.6'!W8</f>
        <v>19.5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1.5</v>
      </c>
      <c r="R8" s="10"/>
      <c r="S8" s="10"/>
      <c r="T8" s="10"/>
      <c r="U8" s="13">
        <f t="shared" ref="U8:U26" si="0">SUM(F8:S8)</f>
        <v>3.5</v>
      </c>
      <c r="V8" s="14">
        <f t="shared" ref="V8:V24" si="1">D8+E8-T8-SUM(F8:S8)</f>
        <v>16</v>
      </c>
      <c r="W8" s="13">
        <v>16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'20.6'!W9</f>
        <v>12.8</v>
      </c>
      <c r="E9" s="10">
        <v>8.65</v>
      </c>
      <c r="F9" s="10"/>
      <c r="G9" s="10"/>
      <c r="H9" s="10"/>
      <c r="I9" s="10"/>
      <c r="J9" s="10"/>
      <c r="K9" s="10"/>
      <c r="L9" s="10">
        <v>5</v>
      </c>
      <c r="M9" s="10"/>
      <c r="N9" s="10"/>
      <c r="O9" s="10"/>
      <c r="P9" s="10"/>
      <c r="Q9" s="10">
        <v>3</v>
      </c>
      <c r="R9" s="10"/>
      <c r="S9" s="10"/>
      <c r="T9" s="10"/>
      <c r="U9" s="13">
        <f t="shared" si="0"/>
        <v>8</v>
      </c>
      <c r="V9" s="14">
        <f t="shared" si="1"/>
        <v>13.450000000000003</v>
      </c>
      <c r="W9" s="13">
        <v>13.45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'20.6'!W10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'20.6'!W11</f>
        <v>77.599999999999994</v>
      </c>
      <c r="E11">
        <v>23</v>
      </c>
      <c r="F11" s="11"/>
      <c r="G11" s="10"/>
      <c r="H11" s="11"/>
      <c r="I11" s="11"/>
      <c r="J11" s="11"/>
      <c r="K11" s="11"/>
      <c r="L11" s="11">
        <v>10</v>
      </c>
      <c r="M11" s="11"/>
      <c r="N11" s="11"/>
      <c r="O11" s="10"/>
      <c r="P11" s="10"/>
      <c r="Q11" s="10">
        <v>6</v>
      </c>
      <c r="R11" s="10"/>
      <c r="S11" s="10"/>
      <c r="T11" s="10"/>
      <c r="U11" s="13">
        <f t="shared" si="0"/>
        <v>16</v>
      </c>
      <c r="V11" s="14">
        <f t="shared" si="1"/>
        <v>84.6</v>
      </c>
      <c r="W11" s="13">
        <v>84.6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'20.6'!W12</f>
        <v>22.45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1.5</v>
      </c>
      <c r="R12" s="10"/>
      <c r="S12" s="10"/>
      <c r="T12" s="10"/>
      <c r="U12" s="13">
        <f t="shared" si="0"/>
        <v>3.5</v>
      </c>
      <c r="V12" s="14">
        <f t="shared" si="1"/>
        <v>18.95</v>
      </c>
      <c r="W12" s="13">
        <v>18.95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'20.6'!W13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'20.6'!W14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'20.6'!W15</f>
        <v>12.95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12.95</v>
      </c>
      <c r="W15" s="13">
        <v>12.95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'20.6'!W16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'20.6'!W17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'20.6'!W18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11.15</v>
      </c>
      <c r="W18" s="13">
        <v>11.15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'20.6'!W19</f>
        <v>20.3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>
        <v>0.5</v>
      </c>
      <c r="R19" s="10"/>
      <c r="S19" s="10"/>
      <c r="T19" s="10"/>
      <c r="U19" s="13">
        <f t="shared" si="0"/>
        <v>3.5</v>
      </c>
      <c r="V19" s="14">
        <f t="shared" si="1"/>
        <v>16.8</v>
      </c>
      <c r="W19" s="13">
        <v>16.8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'20.6'!W20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'20.6'!W21</f>
        <v>50.85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2.5</v>
      </c>
      <c r="R21" s="12"/>
      <c r="S21" s="12"/>
      <c r="T21" s="12"/>
      <c r="U21" s="13">
        <f t="shared" si="0"/>
        <v>2.5</v>
      </c>
      <c r="V21" s="14">
        <f t="shared" si="1"/>
        <v>48.35</v>
      </c>
      <c r="W21" s="13">
        <v>48.35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'20.6'!W22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'20.6'!W23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'20.6'!W24</f>
        <v>109.5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0"/>
      <c r="U24" s="13">
        <f t="shared" si="0"/>
        <v>37.5</v>
      </c>
      <c r="V24" s="14">
        <f t="shared" si="1"/>
        <v>119</v>
      </c>
      <c r="W24" s="13">
        <v>119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'20.6'!W25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'20.6'!W26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485.30000000000007</v>
      </c>
      <c r="E27" s="24">
        <f>SUM(E7:E26)</f>
        <v>118.65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52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39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481.45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DATE(2017,6,21)</f>
        <v>42907</v>
      </c>
      <c r="E4" s="36">
        <f>D4+1</f>
        <v>42908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'21.6'!W7</f>
        <v>116</v>
      </c>
      <c r="E7">
        <v>30</v>
      </c>
      <c r="F7" s="10"/>
      <c r="G7" s="11"/>
      <c r="H7" s="10">
        <v>10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10</v>
      </c>
      <c r="V7" s="14">
        <f>D7+E7-T7-SUM(F7:S7)</f>
        <v>136</v>
      </c>
      <c r="W7" s="13">
        <v>136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'21.6'!W8</f>
        <v>16</v>
      </c>
      <c r="E8" s="10"/>
      <c r="F8" s="10"/>
      <c r="G8" s="10"/>
      <c r="H8" s="10"/>
      <c r="I8" s="10"/>
      <c r="J8" s="10"/>
      <c r="K8" s="10"/>
      <c r="L8" s="10"/>
      <c r="M8" s="10"/>
      <c r="N8" s="10">
        <v>1</v>
      </c>
      <c r="O8" s="10"/>
      <c r="P8" s="10"/>
      <c r="Q8" s="10"/>
      <c r="R8" s="10"/>
      <c r="S8" s="10"/>
      <c r="T8" s="10"/>
      <c r="U8" s="13">
        <f t="shared" ref="U8:U26" si="0">SUM(F8:S8)</f>
        <v>1</v>
      </c>
      <c r="V8" s="14">
        <f t="shared" ref="V8:V24" si="1">D8+E8-T8-SUM(F8:S8)</f>
        <v>15</v>
      </c>
      <c r="W8" s="13">
        <v>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'21.6'!W9</f>
        <v>13.45</v>
      </c>
      <c r="E9" s="10">
        <v>8.8000000000000007</v>
      </c>
      <c r="F9" s="10"/>
      <c r="G9" s="10"/>
      <c r="H9" s="10">
        <v>2</v>
      </c>
      <c r="I9" s="10"/>
      <c r="J9" s="10"/>
      <c r="K9" s="10"/>
      <c r="L9" s="10"/>
      <c r="M9" s="10"/>
      <c r="N9" s="10">
        <v>2</v>
      </c>
      <c r="O9" s="10"/>
      <c r="P9" s="10"/>
      <c r="Q9" s="10"/>
      <c r="R9" s="10"/>
      <c r="S9" s="10">
        <v>4</v>
      </c>
      <c r="T9" s="10"/>
      <c r="U9" s="13">
        <f t="shared" si="0"/>
        <v>8</v>
      </c>
      <c r="V9" s="14">
        <f t="shared" si="1"/>
        <v>14.25</v>
      </c>
      <c r="W9" s="13">
        <v>14.25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'21.6'!W10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'21.6'!W11</f>
        <v>84.6</v>
      </c>
      <c r="F11" s="11"/>
      <c r="G11" s="10"/>
      <c r="H11" s="11">
        <v>2</v>
      </c>
      <c r="I11" s="11"/>
      <c r="J11" s="11"/>
      <c r="K11" s="11"/>
      <c r="L11" s="11"/>
      <c r="M11" s="11"/>
      <c r="N11" s="11">
        <v>2</v>
      </c>
      <c r="O11" s="10"/>
      <c r="P11" s="10"/>
      <c r="Q11" s="10"/>
      <c r="R11" s="10"/>
      <c r="S11" s="10">
        <v>6</v>
      </c>
      <c r="T11" s="10"/>
      <c r="U11" s="13">
        <f t="shared" si="0"/>
        <v>10</v>
      </c>
      <c r="V11" s="14">
        <f t="shared" si="1"/>
        <v>74.599999999999994</v>
      </c>
      <c r="W11" s="13">
        <v>74.599999999999994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'21.6'!W12</f>
        <v>18.95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18.95</v>
      </c>
      <c r="W12" s="13">
        <v>18.95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'21.6'!W13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'21.6'!W14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'21.6'!W15</f>
        <v>12.95</v>
      </c>
      <c r="E15" s="10">
        <v>9.9499999999999993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'21.6'!W16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'21.6'!W17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'21.6'!W18</f>
        <v>11.15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2</v>
      </c>
      <c r="O18" s="10"/>
      <c r="P18" s="10"/>
      <c r="Q18" s="10"/>
      <c r="R18" s="10"/>
      <c r="S18" s="10"/>
      <c r="T18" s="10"/>
      <c r="U18" s="13">
        <f t="shared" si="0"/>
        <v>2</v>
      </c>
      <c r="V18" s="14">
        <f t="shared" si="1"/>
        <v>9.15</v>
      </c>
      <c r="W18" s="13">
        <v>9.15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'21.6'!W19</f>
        <v>16.8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1.5</v>
      </c>
      <c r="T19" s="10"/>
      <c r="U19" s="13">
        <f t="shared" si="0"/>
        <v>1.5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'21.6'!W20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'21.6'!W21</f>
        <v>48.35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>
        <v>1.5</v>
      </c>
      <c r="T21" s="12"/>
      <c r="U21" s="13">
        <f t="shared" si="0"/>
        <v>1.5</v>
      </c>
      <c r="V21" s="14">
        <f t="shared" si="1"/>
        <v>46.85</v>
      </c>
      <c r="W21" s="13">
        <v>46.85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'21.6'!W22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'21.6'!W23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'21.6'!W24</f>
        <v>119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>
        <v>8</v>
      </c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0"/>
      <c r="U24" s="13">
        <f t="shared" si="0"/>
        <v>43.5</v>
      </c>
      <c r="V24" s="14">
        <f t="shared" si="1"/>
        <v>122.5</v>
      </c>
      <c r="W24" s="13">
        <v>122.5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'21.6'!W25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'21.6'!W26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481.45</v>
      </c>
      <c r="E27" s="24">
        <f>SUM(E7:E26)</f>
        <v>95.75</v>
      </c>
      <c r="F27" s="13">
        <f t="shared" ref="F27:X27" si="3">SUM(F7:F26)</f>
        <v>2</v>
      </c>
      <c r="G27" s="13">
        <f t="shared" si="3"/>
        <v>2</v>
      </c>
      <c r="H27" s="13">
        <f t="shared" si="3"/>
        <v>14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15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15</v>
      </c>
      <c r="T27" s="13"/>
      <c r="U27" s="13"/>
      <c r="V27" s="13">
        <f t="shared" si="3"/>
        <v>499.70000000000005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P11" sqref="P11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DATE(2017,6,22)</f>
        <v>42908</v>
      </c>
      <c r="E4" s="36">
        <f>D4+1</f>
        <v>42909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'22.6'!W7</f>
        <v>136</v>
      </c>
      <c r="E7">
        <v>30</v>
      </c>
      <c r="F7" s="10">
        <v>14</v>
      </c>
      <c r="G7" s="11"/>
      <c r="H7" s="10"/>
      <c r="I7" s="10"/>
      <c r="J7" s="10"/>
      <c r="K7" s="10"/>
      <c r="L7" s="10"/>
      <c r="M7" s="10"/>
      <c r="N7" s="10"/>
      <c r="O7" s="10"/>
      <c r="P7" s="10">
        <v>36</v>
      </c>
      <c r="Q7" s="10"/>
      <c r="R7" s="10"/>
      <c r="S7" s="10"/>
      <c r="T7" s="10"/>
      <c r="U7" s="13">
        <f>SUM(F7:S7)</f>
        <v>50</v>
      </c>
      <c r="V7" s="14">
        <f>D7+E7-T7-SUM(F7:S7)</f>
        <v>116</v>
      </c>
      <c r="W7" s="13">
        <v>116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'22.6'!W8</f>
        <v>15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15</v>
      </c>
      <c r="W8" s="13">
        <v>15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'22.6'!W9</f>
        <v>14.25</v>
      </c>
      <c r="E9" s="10">
        <v>7.4</v>
      </c>
      <c r="F9" s="10">
        <v>3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10"/>
      <c r="U9" s="13">
        <f t="shared" si="0"/>
        <v>8</v>
      </c>
      <c r="V9" s="14">
        <f t="shared" si="1"/>
        <v>13.649999999999999</v>
      </c>
      <c r="W9" s="13">
        <v>12.65</v>
      </c>
      <c r="X9" s="15">
        <f t="shared" si="2"/>
        <v>-0.99999999999999822</v>
      </c>
    </row>
    <row r="10" spans="1:24" ht="18.75">
      <c r="A10" s="6">
        <v>4</v>
      </c>
      <c r="B10" s="7" t="s">
        <v>15</v>
      </c>
      <c r="C10" s="8" t="s">
        <v>12</v>
      </c>
      <c r="D10" s="13">
        <f>'22.6'!W10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'22.6'!W11</f>
        <v>74.599999999999994</v>
      </c>
      <c r="F11" s="11">
        <v>3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4.75</v>
      </c>
      <c r="Q11" s="10"/>
      <c r="R11" s="10"/>
      <c r="S11" s="10"/>
      <c r="T11" s="10"/>
      <c r="U11" s="13">
        <f t="shared" si="0"/>
        <v>7.75</v>
      </c>
      <c r="V11" s="14">
        <f t="shared" si="1"/>
        <v>66.849999999999994</v>
      </c>
      <c r="W11" s="13">
        <v>66.849999999999994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'22.6'!W12</f>
        <v>18.95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18.95</v>
      </c>
      <c r="W12" s="13">
        <v>18.95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'22.6'!W13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'22.6'!W14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'22.6'!W15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'22.6'!W16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'22.6'!W17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'22.6'!W18</f>
        <v>9.15</v>
      </c>
      <c r="E18" s="10">
        <v>10.1</v>
      </c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'22.6'!W19</f>
        <v>15.3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'22.6'!W20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'22.6'!W21</f>
        <v>46.85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>
        <v>1</v>
      </c>
      <c r="Q21" s="12"/>
      <c r="R21" s="12"/>
      <c r="S21" s="12"/>
      <c r="T21" s="12"/>
      <c r="U21" s="13">
        <f t="shared" si="0"/>
        <v>1</v>
      </c>
      <c r="V21" s="14">
        <f t="shared" si="1"/>
        <v>45.85</v>
      </c>
      <c r="W21" s="13">
        <v>45.85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'22.6'!W22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'22.6'!W23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'22.6'!W24</f>
        <v>122.5</v>
      </c>
      <c r="E24" s="10">
        <v>47</v>
      </c>
      <c r="F24" s="10">
        <v>2</v>
      </c>
      <c r="G24" s="10">
        <v>2</v>
      </c>
      <c r="H24" s="10">
        <v>2</v>
      </c>
      <c r="I24" s="10">
        <v>14</v>
      </c>
      <c r="J24" s="10">
        <v>2</v>
      </c>
      <c r="K24" s="10">
        <v>2</v>
      </c>
      <c r="L24" s="10">
        <v>5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0"/>
      <c r="U24" s="13">
        <f t="shared" si="0"/>
        <v>46.5</v>
      </c>
      <c r="V24" s="14">
        <f t="shared" si="1"/>
        <v>123</v>
      </c>
      <c r="W24" s="13">
        <v>123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'22.6'!W25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'22.6'!W26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499.70000000000005</v>
      </c>
      <c r="E27" s="24">
        <f>SUM(E7:E26)</f>
        <v>94.5</v>
      </c>
      <c r="F27" s="13">
        <f t="shared" ref="F27:X27" si="3">SUM(F7:F26)</f>
        <v>22</v>
      </c>
      <c r="G27" s="13">
        <f t="shared" si="3"/>
        <v>2</v>
      </c>
      <c r="H27" s="13">
        <f t="shared" si="3"/>
        <v>2</v>
      </c>
      <c r="I27" s="13">
        <f t="shared" si="3"/>
        <v>14</v>
      </c>
      <c r="J27" s="13">
        <f t="shared" si="3"/>
        <v>2</v>
      </c>
      <c r="K27" s="13">
        <f t="shared" si="3"/>
        <v>2</v>
      </c>
      <c r="L27" s="13">
        <f t="shared" si="3"/>
        <v>5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54.75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480.95000000000005</v>
      </c>
      <c r="W27" s="13"/>
      <c r="X27" s="13">
        <f t="shared" si="3"/>
        <v>-0.99999999999999822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W27" sqref="W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DATE(2017,6,23)</f>
        <v>42909</v>
      </c>
      <c r="E4" s="36">
        <f>D4+1</f>
        <v>42910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'23.6'!W7</f>
        <v>116</v>
      </c>
      <c r="E7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2</v>
      </c>
      <c r="S7" s="10"/>
      <c r="T7" s="10"/>
      <c r="U7" s="13">
        <f>SUM(F7:S7)</f>
        <v>2</v>
      </c>
      <c r="V7" s="14">
        <f>D7+E7-T7-SUM(F7:S7)</f>
        <v>144</v>
      </c>
      <c r="W7" s="13">
        <v>144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'23.6'!W8</f>
        <v>15</v>
      </c>
      <c r="E8" s="10"/>
      <c r="F8" s="10"/>
      <c r="G8" s="10"/>
      <c r="H8" s="10"/>
      <c r="I8" s="10"/>
      <c r="J8" s="10"/>
      <c r="K8" s="10"/>
      <c r="L8" s="10"/>
      <c r="M8" s="10">
        <v>4</v>
      </c>
      <c r="N8" s="10"/>
      <c r="O8" s="10"/>
      <c r="P8" s="10"/>
      <c r="Q8" s="10"/>
      <c r="R8" s="10"/>
      <c r="S8" s="10"/>
      <c r="T8" s="10"/>
      <c r="U8" s="13">
        <f t="shared" ref="U8:U26" si="0">SUM(F8:S8)</f>
        <v>4</v>
      </c>
      <c r="V8" s="14">
        <f t="shared" ref="V8:V24" si="1">D8+E8-T8-SUM(F8:S8)</f>
        <v>11</v>
      </c>
      <c r="W8" s="13">
        <v>11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'23.6'!W9</f>
        <v>12.65</v>
      </c>
      <c r="E9" s="10">
        <v>8.6</v>
      </c>
      <c r="F9" s="10"/>
      <c r="G9" s="10"/>
      <c r="H9" s="10"/>
      <c r="I9" s="10"/>
      <c r="J9" s="10"/>
      <c r="K9" s="10"/>
      <c r="L9" s="10"/>
      <c r="M9" s="10">
        <v>3</v>
      </c>
      <c r="N9" s="10"/>
      <c r="O9" s="10"/>
      <c r="P9" s="10"/>
      <c r="Q9" s="10"/>
      <c r="R9" s="10"/>
      <c r="S9" s="10"/>
      <c r="T9" s="10"/>
      <c r="U9" s="13">
        <f t="shared" si="0"/>
        <v>3</v>
      </c>
      <c r="V9" s="14">
        <f t="shared" si="1"/>
        <v>18.25</v>
      </c>
      <c r="W9" s="13">
        <v>18.25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'23.6'!W10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'23.6'!W11</f>
        <v>66.849999999999994</v>
      </c>
      <c r="E11">
        <v>23.7</v>
      </c>
      <c r="F11" s="11"/>
      <c r="G11" s="10"/>
      <c r="H11" s="11"/>
      <c r="I11" s="11"/>
      <c r="J11" s="11"/>
      <c r="K11" s="11"/>
      <c r="L11" s="11"/>
      <c r="M11" s="11">
        <v>5</v>
      </c>
      <c r="N11" s="11"/>
      <c r="O11" s="10"/>
      <c r="P11" s="10"/>
      <c r="Q11" s="10"/>
      <c r="R11" s="10"/>
      <c r="S11" s="10"/>
      <c r="T11" s="10"/>
      <c r="U11" s="13">
        <f t="shared" si="0"/>
        <v>5</v>
      </c>
      <c r="V11" s="14">
        <f t="shared" si="1"/>
        <v>85.55</v>
      </c>
      <c r="W11" s="13">
        <v>85.55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'23.6'!W12</f>
        <v>18.95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18.95</v>
      </c>
      <c r="W12" s="13">
        <v>18.95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'23.6'!W13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'23.6'!W14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'23.6'!W15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'23.6'!W16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'23.6'!W17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'23.6'!W18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'23.6'!W19</f>
        <v>15.3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'23.6'!W20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'23.6'!W21</f>
        <v>45.85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45.85</v>
      </c>
      <c r="W21" s="13">
        <v>45.85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'23.6'!W22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'23.6'!W23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'23.6'!W24</f>
        <v>123</v>
      </c>
      <c r="E24" s="10">
        <v>38</v>
      </c>
      <c r="F24" s="10">
        <v>2</v>
      </c>
      <c r="G24" s="10">
        <v>2</v>
      </c>
      <c r="H24" s="10"/>
      <c r="I24" s="10"/>
      <c r="J24" s="10">
        <v>2</v>
      </c>
      <c r="K24" s="10">
        <v>2</v>
      </c>
      <c r="L24" s="10">
        <v>5</v>
      </c>
      <c r="M24" s="10">
        <v>10</v>
      </c>
      <c r="N24" s="10"/>
      <c r="O24" s="10">
        <v>2.5</v>
      </c>
      <c r="P24" s="10"/>
      <c r="Q24" s="10">
        <v>4</v>
      </c>
      <c r="R24" s="10">
        <v>1</v>
      </c>
      <c r="S24" s="10">
        <v>2</v>
      </c>
      <c r="T24" s="10"/>
      <c r="U24" s="13">
        <f t="shared" si="0"/>
        <v>32.5</v>
      </c>
      <c r="V24" s="14">
        <f t="shared" si="1"/>
        <v>128.5</v>
      </c>
      <c r="W24" s="13">
        <v>128.5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'23.6'!W25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'23.6'!W26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479.95000000000005</v>
      </c>
      <c r="E27" s="24">
        <f>SUM(E7:E26)</f>
        <v>100.3</v>
      </c>
      <c r="F27" s="13">
        <f t="shared" ref="F27:X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0</v>
      </c>
      <c r="J27" s="13">
        <f t="shared" si="3"/>
        <v>2</v>
      </c>
      <c r="K27" s="13">
        <f t="shared" si="3"/>
        <v>2</v>
      </c>
      <c r="L27" s="13">
        <f t="shared" si="3"/>
        <v>5</v>
      </c>
      <c r="M27" s="13">
        <f t="shared" si="3"/>
        <v>22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</v>
      </c>
      <c r="R27" s="13">
        <f t="shared" si="3"/>
        <v>3</v>
      </c>
      <c r="S27" s="13">
        <f t="shared" si="3"/>
        <v>2</v>
      </c>
      <c r="T27" s="13"/>
      <c r="U27" s="13"/>
      <c r="V27" s="13">
        <f t="shared" si="3"/>
        <v>533.75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R29" sqref="R29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DATE(2017,6,24)</f>
        <v>42910</v>
      </c>
      <c r="E4" s="36">
        <f>D4+1</f>
        <v>42911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'24.6'!W7</f>
        <v>144</v>
      </c>
      <c r="F7" s="10"/>
      <c r="G7" s="11"/>
      <c r="H7" s="10"/>
      <c r="I7" s="10"/>
      <c r="J7" s="10"/>
      <c r="K7" s="10"/>
      <c r="L7" s="10"/>
      <c r="M7" s="10"/>
      <c r="N7" s="10"/>
      <c r="O7" s="10">
        <v>10</v>
      </c>
      <c r="P7" s="10"/>
      <c r="Q7" s="10"/>
      <c r="R7" s="10"/>
      <c r="S7" s="10"/>
      <c r="T7" s="10"/>
      <c r="U7" s="13">
        <f>SUM(F7:S7)</f>
        <v>10</v>
      </c>
      <c r="V7" s="14">
        <f>D7+E7-T7-SUM(F7:S7)</f>
        <v>134</v>
      </c>
      <c r="W7" s="13">
        <v>134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'24.6'!W8</f>
        <v>11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11</v>
      </c>
      <c r="W8" s="13">
        <v>11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'24.6'!W9</f>
        <v>18.25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0</v>
      </c>
      <c r="V9" s="14">
        <f t="shared" si="1"/>
        <v>18.25</v>
      </c>
      <c r="W9" s="13">
        <v>18.25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'24.6'!W10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'24.6'!W11</f>
        <v>85.55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0</v>
      </c>
      <c r="V11" s="14">
        <f t="shared" si="1"/>
        <v>85.55</v>
      </c>
      <c r="W11" s="13">
        <v>85.55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'24.6'!W12</f>
        <v>18.95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18.95</v>
      </c>
      <c r="W12" s="13">
        <v>18.95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'24.6'!W13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'24.6'!W14</f>
        <v>11.1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11.1</v>
      </c>
      <c r="W14" s="13">
        <v>11.1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'24.6'!W15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'24.6'!W16</f>
        <v>11.1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11.1</v>
      </c>
      <c r="W16" s="13">
        <v>11.1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'24.6'!W17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'24.6'!W18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'24.6'!W19</f>
        <v>15.3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'24.6'!W20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'24.6'!W21</f>
        <v>45.85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45.85</v>
      </c>
      <c r="W21" s="13">
        <v>45.85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'24.6'!W22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'24.6'!W23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'24.6'!W24</f>
        <v>128.5</v>
      </c>
      <c r="E24" s="10"/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>
        <v>2</v>
      </c>
      <c r="T24" s="10"/>
      <c r="U24" s="13">
        <f t="shared" si="0"/>
        <v>37.5</v>
      </c>
      <c r="V24" s="14">
        <f t="shared" si="1"/>
        <v>91</v>
      </c>
      <c r="W24" s="13">
        <v>91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'24.6'!W25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'24.6'!W26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533.75</v>
      </c>
      <c r="E27" s="24">
        <f>SUM(E7:E26)</f>
        <v>0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486.25000000000006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DATE(2015,4,26)</f>
        <v>42120</v>
      </c>
      <c r="E4" s="36">
        <f>D4+1</f>
        <v>42121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36</v>
      </c>
      <c r="I6" s="5" t="s">
        <v>46</v>
      </c>
      <c r="J6" s="5" t="s">
        <v>38</v>
      </c>
      <c r="K6" s="5" t="s">
        <v>40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VLOOKUP($B7,'2604'!$B7:$N26,12,0)</f>
        <v>52</v>
      </c>
      <c r="E7" s="10">
        <v>40</v>
      </c>
      <c r="F7" s="10">
        <v>4</v>
      </c>
      <c r="G7" s="10">
        <v>14</v>
      </c>
      <c r="H7" s="11">
        <v>36</v>
      </c>
      <c r="I7" s="10">
        <v>14</v>
      </c>
      <c r="J7" s="10">
        <v>2</v>
      </c>
      <c r="K7" s="10"/>
      <c r="L7" s="14">
        <f>D7+E7-SUM(F7:K7)</f>
        <v>22</v>
      </c>
      <c r="M7" s="10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VLOOKUP($B9,'2604'!$B9:$N28,12,0)</f>
        <v>13.5</v>
      </c>
      <c r="E9" s="10"/>
      <c r="F9" s="11"/>
      <c r="G9" s="10"/>
      <c r="H9" s="10"/>
      <c r="I9" s="10"/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VLOOKUP($B10,'2604'!$B10:$N29,12,0)</f>
        <v>2.4</v>
      </c>
      <c r="E10">
        <v>10.6</v>
      </c>
      <c r="F10" s="11"/>
      <c r="G10" s="10"/>
      <c r="H10" s="10"/>
      <c r="I10" s="11"/>
      <c r="J10" s="10"/>
      <c r="K10" s="10"/>
      <c r="L10" s="14">
        <f t="shared" si="1"/>
        <v>13</v>
      </c>
      <c r="M10" s="10">
        <v>13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VLOOKUP($B11,'2604'!$B11:$N30,12,0)</f>
        <v>19.600000000000001</v>
      </c>
      <c r="E11" s="10"/>
      <c r="F11" s="11">
        <v>3</v>
      </c>
      <c r="G11" s="10">
        <v>4</v>
      </c>
      <c r="H11" s="10"/>
      <c r="I11" s="11"/>
      <c r="J11" s="10"/>
      <c r="K11" s="10">
        <v>5</v>
      </c>
      <c r="L11" s="14">
        <f t="shared" si="1"/>
        <v>7.6000000000000014</v>
      </c>
      <c r="M11" s="10">
        <v>7.6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VLOOKUP($B12,'2604'!$B12:$N31,12,0)</f>
        <v>12.8</v>
      </c>
      <c r="E12" s="10"/>
      <c r="F12" s="11">
        <v>2.5</v>
      </c>
      <c r="G12" s="10">
        <v>1.5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VLOOKUP($B14,'2604'!$B14:$N33,12,0)</f>
        <v>7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VLOOKUP($B15,'2604'!$B15:$N34,12,0)</f>
        <v>6.5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VLOOKUP($B16,'2604'!$B16:$N35,12,0)</f>
        <v>6</v>
      </c>
      <c r="E16" s="10">
        <v>12.2</v>
      </c>
      <c r="F16" s="11"/>
      <c r="G16" s="10"/>
      <c r="H16" s="10"/>
      <c r="I16" s="10"/>
      <c r="J16" s="10"/>
      <c r="K16" s="10"/>
      <c r="L16" s="14">
        <f t="shared" si="1"/>
        <v>18.2</v>
      </c>
      <c r="M16" s="10">
        <v>18.2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VLOOKUP($B18,'2604'!$B18:$N37,12,0)</f>
        <v>10.26</v>
      </c>
      <c r="E18" s="10"/>
      <c r="F18" s="11"/>
      <c r="G18" s="10">
        <v>1.2</v>
      </c>
      <c r="H18" s="10">
        <v>3</v>
      </c>
      <c r="I18" s="10"/>
      <c r="J18" s="10"/>
      <c r="K18" s="10"/>
      <c r="L18" s="14">
        <f t="shared" si="1"/>
        <v>6.06</v>
      </c>
      <c r="M18" s="10">
        <v>6.06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VLOOKUP($B20,'2604'!$B20:$N39,12,0)</f>
        <v>0</v>
      </c>
      <c r="E20" s="12">
        <f>11.5+0.35</f>
        <v>11.85</v>
      </c>
      <c r="F20" s="12">
        <v>2</v>
      </c>
      <c r="G20" s="12">
        <v>1.5</v>
      </c>
      <c r="H20" s="11"/>
      <c r="I20" s="12"/>
      <c r="J20" s="12"/>
      <c r="K20" s="12">
        <v>2</v>
      </c>
      <c r="L20" s="14">
        <f t="shared" si="1"/>
        <v>6.35</v>
      </c>
      <c r="M20" s="12">
        <v>6.35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VLOOKUP($B21,'2604'!$B21:$N40,12,0)</f>
        <v>8.5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7.3</v>
      </c>
      <c r="M21" s="12">
        <v>7.3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VLOOKUP($B22,'2604'!$B22:$N41,12,0)</f>
        <v>5.4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149.46</v>
      </c>
      <c r="E27" s="13">
        <f t="shared" si="2"/>
        <v>74.649999999999991</v>
      </c>
      <c r="F27" s="13">
        <f t="shared" si="2"/>
        <v>11.5</v>
      </c>
      <c r="G27" s="13">
        <f t="shared" si="2"/>
        <v>27.599999999999998</v>
      </c>
      <c r="H27" s="13">
        <f t="shared" si="2"/>
        <v>39</v>
      </c>
      <c r="I27" s="13">
        <f t="shared" si="2"/>
        <v>14</v>
      </c>
      <c r="J27" s="13">
        <f t="shared" si="2"/>
        <v>2</v>
      </c>
      <c r="K27" s="13">
        <f t="shared" si="2"/>
        <v>7</v>
      </c>
      <c r="L27" s="13">
        <f t="shared" si="2"/>
        <v>123.01</v>
      </c>
      <c r="M27" s="13">
        <f t="shared" si="2"/>
        <v>123.01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N7" activePane="bottomRight" state="frozen"/>
      <selection activeCell="A4" sqref="A4"/>
      <selection pane="topRight" activeCell="E4" sqref="E4"/>
      <selection pane="bottomLeft" activeCell="A7" sqref="A7"/>
      <selection pane="bottomRight" activeCell="W12" sqref="W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DATE(2017,6,25)</f>
        <v>42911</v>
      </c>
      <c r="E4" s="36">
        <f>D4+1</f>
        <v>42912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'25.6'!W7</f>
        <v>134</v>
      </c>
      <c r="E7">
        <v>30</v>
      </c>
      <c r="F7" s="10"/>
      <c r="G7" s="11"/>
      <c r="H7" s="10"/>
      <c r="I7" s="10"/>
      <c r="J7" s="10"/>
      <c r="K7" s="10">
        <v>10</v>
      </c>
      <c r="L7" s="10"/>
      <c r="M7" s="10"/>
      <c r="N7" s="10"/>
      <c r="O7" s="10"/>
      <c r="P7" s="10">
        <v>18</v>
      </c>
      <c r="Q7" s="10"/>
      <c r="R7" s="10"/>
      <c r="S7" s="10"/>
      <c r="T7" s="10"/>
      <c r="U7" s="13">
        <f>SUM(F7:S7)</f>
        <v>28</v>
      </c>
      <c r="V7" s="14">
        <f>D7+E7-T7-SUM(F7:S7)</f>
        <v>136</v>
      </c>
      <c r="W7" s="13">
        <v>136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'25.6'!W8</f>
        <v>11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11</v>
      </c>
      <c r="W8" s="13">
        <v>11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'25.6'!W9</f>
        <v>18.25</v>
      </c>
      <c r="E9" s="10">
        <v>8.8000000000000007</v>
      </c>
      <c r="F9" s="10"/>
      <c r="G9" s="10"/>
      <c r="H9" s="10"/>
      <c r="I9" s="10">
        <v>5</v>
      </c>
      <c r="J9" s="10"/>
      <c r="K9" s="10">
        <v>5</v>
      </c>
      <c r="L9" s="10"/>
      <c r="M9" s="10"/>
      <c r="N9" s="10"/>
      <c r="O9" s="10">
        <v>2</v>
      </c>
      <c r="P9" s="10">
        <v>5</v>
      </c>
      <c r="Q9" s="10"/>
      <c r="R9" s="10"/>
      <c r="S9" s="10"/>
      <c r="T9" s="10"/>
      <c r="U9" s="13">
        <f t="shared" si="0"/>
        <v>17</v>
      </c>
      <c r="V9" s="14">
        <f t="shared" si="1"/>
        <v>10.050000000000001</v>
      </c>
      <c r="W9" s="13">
        <v>10.050000000000001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'25.6'!W10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'25.6'!W11</f>
        <v>85.55</v>
      </c>
      <c r="F11" s="11"/>
      <c r="G11" s="10"/>
      <c r="H11" s="11"/>
      <c r="I11" s="11">
        <v>3</v>
      </c>
      <c r="J11" s="11">
        <v>1</v>
      </c>
      <c r="K11" s="11">
        <v>2.5</v>
      </c>
      <c r="L11" s="11"/>
      <c r="M11" s="11"/>
      <c r="N11" s="11"/>
      <c r="O11" s="10">
        <v>5</v>
      </c>
      <c r="P11" s="10">
        <v>3</v>
      </c>
      <c r="Q11" s="10"/>
      <c r="R11" s="10"/>
      <c r="S11" s="10"/>
      <c r="T11" s="10"/>
      <c r="U11" s="13">
        <f t="shared" si="0"/>
        <v>14.5</v>
      </c>
      <c r="V11" s="14">
        <f t="shared" si="1"/>
        <v>71.05</v>
      </c>
      <c r="W11" s="13">
        <v>71.05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'25.6'!W12</f>
        <v>18.95</v>
      </c>
      <c r="E12" s="10"/>
      <c r="F12" s="11"/>
      <c r="G12" s="10"/>
      <c r="H12" s="11"/>
      <c r="I12" s="11"/>
      <c r="J12" s="11"/>
      <c r="K12" s="11">
        <v>2</v>
      </c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2</v>
      </c>
      <c r="V12" s="14">
        <f t="shared" si="1"/>
        <v>16.95</v>
      </c>
      <c r="W12" s="13">
        <v>16.95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'25.6'!W13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'25.6'!W14</f>
        <v>11.1</v>
      </c>
      <c r="E14" s="10"/>
      <c r="F14" s="11"/>
      <c r="G14" s="10"/>
      <c r="H14" s="11"/>
      <c r="I14" s="11"/>
      <c r="J14" s="11"/>
      <c r="K14" s="11">
        <v>5</v>
      </c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5</v>
      </c>
      <c r="V14" s="14">
        <f t="shared" si="1"/>
        <v>6.1</v>
      </c>
      <c r="W14" s="13">
        <v>6.1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'25.6'!W15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'25.6'!W16</f>
        <v>11.1</v>
      </c>
      <c r="E16" s="10">
        <v>12.1</v>
      </c>
      <c r="F16" s="11"/>
      <c r="G16" s="10"/>
      <c r="H16" s="10"/>
      <c r="I16" s="10"/>
      <c r="J16" s="10"/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3</v>
      </c>
      <c r="V16" s="14">
        <f t="shared" si="1"/>
        <v>20.2</v>
      </c>
      <c r="W16" s="13">
        <v>20.2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'25.6'!W17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'25.6'!W18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'25.6'!W19</f>
        <v>15.3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'25.6'!W20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'25.6'!W21</f>
        <v>45.85</v>
      </c>
      <c r="E21" s="12"/>
      <c r="F21" s="12"/>
      <c r="G21" s="11"/>
      <c r="H21" s="12"/>
      <c r="I21" s="12">
        <v>6</v>
      </c>
      <c r="J21" s="12"/>
      <c r="K21" s="12"/>
      <c r="L21" s="12"/>
      <c r="M21" s="12"/>
      <c r="N21" s="12"/>
      <c r="O21" s="12"/>
      <c r="P21" s="12">
        <v>1</v>
      </c>
      <c r="Q21" s="12"/>
      <c r="R21" s="12"/>
      <c r="S21" s="12"/>
      <c r="T21" s="12"/>
      <c r="U21" s="13">
        <f t="shared" si="0"/>
        <v>7</v>
      </c>
      <c r="V21" s="14">
        <f t="shared" si="1"/>
        <v>38.85</v>
      </c>
      <c r="W21" s="13">
        <v>38.85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'25.6'!W22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'25.6'!W23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'25.6'!W24</f>
        <v>91</v>
      </c>
      <c r="E24" s="10">
        <v>46</v>
      </c>
      <c r="F24" s="10">
        <v>2</v>
      </c>
      <c r="G24" s="10">
        <v>2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0"/>
      <c r="U24" s="13">
        <f t="shared" si="0"/>
        <v>33.5</v>
      </c>
      <c r="V24" s="14">
        <f t="shared" si="1"/>
        <v>103.5</v>
      </c>
      <c r="W24" s="13">
        <v>103.5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'25.6'!W25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'25.6'!W26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486.25000000000006</v>
      </c>
      <c r="E27" s="24">
        <f>SUM(E7:E26)</f>
        <v>96.9</v>
      </c>
      <c r="F27" s="13">
        <f t="shared" ref="F27:X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22</v>
      </c>
      <c r="J27" s="13">
        <f t="shared" si="3"/>
        <v>1</v>
      </c>
      <c r="K27" s="13">
        <f t="shared" si="3"/>
        <v>29.5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9.5</v>
      </c>
      <c r="P27" s="13">
        <f t="shared" si="3"/>
        <v>35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/>
      <c r="V27" s="13">
        <f t="shared" si="3"/>
        <v>473.15000000000003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H7" activePane="bottomRight" state="frozen"/>
      <selection activeCell="A4" sqref="A4"/>
      <selection pane="topRight" activeCell="E4" sqref="E4"/>
      <selection pane="bottomLeft" activeCell="A7" sqref="A7"/>
      <selection pane="bottomRight" activeCell="F14" sqref="F1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DATE(2017,6,26)</f>
        <v>42912</v>
      </c>
      <c r="E4" s="36">
        <f>D4+1</f>
        <v>42913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'26.6'!W7</f>
        <v>136</v>
      </c>
      <c r="E7">
        <v>30</v>
      </c>
      <c r="F7" s="10"/>
      <c r="G7" s="11"/>
      <c r="H7" s="10">
        <v>8</v>
      </c>
      <c r="I7" s="10"/>
      <c r="J7" s="10">
        <v>8</v>
      </c>
      <c r="K7" s="10"/>
      <c r="L7" s="10"/>
      <c r="M7" s="10"/>
      <c r="N7" s="10"/>
      <c r="O7" s="10">
        <v>8</v>
      </c>
      <c r="P7" s="10"/>
      <c r="Q7" s="10"/>
      <c r="R7" s="10"/>
      <c r="S7" s="10"/>
      <c r="T7" s="10"/>
      <c r="U7" s="13">
        <f>SUM(F7:S7)</f>
        <v>24</v>
      </c>
      <c r="V7" s="14">
        <f>D7+E7-T7-SUM(F7:S7)</f>
        <v>142</v>
      </c>
      <c r="W7" s="13">
        <v>142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'26.6'!W8</f>
        <v>11</v>
      </c>
      <c r="E8" s="10">
        <v>13</v>
      </c>
      <c r="F8" s="10"/>
      <c r="G8" s="10"/>
      <c r="H8" s="10"/>
      <c r="I8" s="10"/>
      <c r="J8" s="10">
        <v>2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2</v>
      </c>
      <c r="V8" s="14">
        <f t="shared" ref="V8:V24" si="1">D8+E8-T8-SUM(F8:S8)</f>
        <v>22</v>
      </c>
      <c r="W8" s="13">
        <v>22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'26.6'!W9</f>
        <v>10.050000000000001</v>
      </c>
      <c r="E9" s="10">
        <v>7.5</v>
      </c>
      <c r="F9" s="10"/>
      <c r="G9" s="10"/>
      <c r="H9" s="10">
        <v>1.5</v>
      </c>
      <c r="I9" s="10"/>
      <c r="J9" s="10">
        <v>3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4.5</v>
      </c>
      <c r="V9" s="14">
        <f t="shared" si="1"/>
        <v>13.05</v>
      </c>
      <c r="W9" s="13">
        <v>13.05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'26.6'!W10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'26.6'!W11</f>
        <v>71.05</v>
      </c>
      <c r="F11" s="11">
        <v>3</v>
      </c>
      <c r="G11" s="10"/>
      <c r="H11" s="11">
        <v>4</v>
      </c>
      <c r="I11" s="11"/>
      <c r="J11" s="11">
        <v>6</v>
      </c>
      <c r="K11" s="11"/>
      <c r="L11" s="11"/>
      <c r="M11" s="11"/>
      <c r="N11" s="11"/>
      <c r="O11" s="10"/>
      <c r="P11" s="10"/>
      <c r="Q11" s="10"/>
      <c r="R11" s="10"/>
      <c r="S11" s="10"/>
      <c r="T11" s="10"/>
      <c r="U11" s="13">
        <f t="shared" si="0"/>
        <v>13</v>
      </c>
      <c r="V11" s="14">
        <f t="shared" si="1"/>
        <v>58.05</v>
      </c>
      <c r="W11" s="13">
        <v>58.05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'26.6'!W12</f>
        <v>16.95</v>
      </c>
      <c r="E12" s="10"/>
      <c r="F12" s="11"/>
      <c r="G12" s="10"/>
      <c r="H12" s="11"/>
      <c r="I12" s="11"/>
      <c r="J12" s="11">
        <v>1</v>
      </c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1</v>
      </c>
      <c r="V12" s="14">
        <f t="shared" si="1"/>
        <v>15.95</v>
      </c>
      <c r="W12" s="13">
        <v>15.95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'26.6'!W13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'26.6'!W14</f>
        <v>6.1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6.1</v>
      </c>
      <c r="W14" s="13">
        <v>6.1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'26.6'!W15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'26.6'!W16</f>
        <v>20.2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20.2</v>
      </c>
      <c r="W16" s="13">
        <v>20.2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'26.6'!W17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'26.6'!W18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'26.6'!W19</f>
        <v>15.3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15.3</v>
      </c>
      <c r="W19" s="13">
        <v>15.3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'26.6'!W20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'26.6'!W21</f>
        <v>38.85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0</v>
      </c>
      <c r="V21" s="14">
        <f t="shared" si="1"/>
        <v>38.85</v>
      </c>
      <c r="W21" s="13">
        <v>38.85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'26.6'!W22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'26.6'!W23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'26.6'!W24</f>
        <v>103.5</v>
      </c>
      <c r="E24" s="10">
        <v>37.5</v>
      </c>
      <c r="F24" s="10">
        <v>2</v>
      </c>
      <c r="G24" s="10">
        <v>2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14</v>
      </c>
      <c r="Q24" s="10">
        <v>4</v>
      </c>
      <c r="R24" s="10">
        <v>1</v>
      </c>
      <c r="S24" s="10">
        <v>2</v>
      </c>
      <c r="T24" s="10"/>
      <c r="U24" s="13">
        <f t="shared" si="0"/>
        <v>41.5</v>
      </c>
      <c r="V24" s="14">
        <f t="shared" si="1"/>
        <v>99.5</v>
      </c>
      <c r="W24" s="13">
        <v>99.5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'26.6'!W25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'26.6'!W26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473.15000000000003</v>
      </c>
      <c r="E27" s="24">
        <f>SUM(E7:E26)</f>
        <v>88</v>
      </c>
      <c r="F27" s="13">
        <f t="shared" ref="F27:X27" si="3">SUM(F7:F26)</f>
        <v>5</v>
      </c>
      <c r="G27" s="13">
        <f t="shared" si="3"/>
        <v>2</v>
      </c>
      <c r="H27" s="13">
        <f t="shared" si="3"/>
        <v>15.5</v>
      </c>
      <c r="I27" s="13">
        <f t="shared" si="3"/>
        <v>8</v>
      </c>
      <c r="J27" s="13">
        <f t="shared" si="3"/>
        <v>20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10.5</v>
      </c>
      <c r="P27" s="13">
        <f t="shared" si="3"/>
        <v>14</v>
      </c>
      <c r="Q27" s="13">
        <f t="shared" si="3"/>
        <v>4</v>
      </c>
      <c r="R27" s="13">
        <f t="shared" si="3"/>
        <v>1</v>
      </c>
      <c r="S27" s="13">
        <f t="shared" si="3"/>
        <v>2</v>
      </c>
      <c r="T27" s="13"/>
      <c r="U27" s="13"/>
      <c r="V27" s="13">
        <f t="shared" si="3"/>
        <v>475.15000000000003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W27" sqref="W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DATE(2017,6,27)</f>
        <v>42913</v>
      </c>
      <c r="E4" s="36">
        <f>D4+1</f>
        <v>42914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'27.6'!W7</f>
        <v>142</v>
      </c>
      <c r="E7">
        <v>30</v>
      </c>
      <c r="F7" s="10"/>
      <c r="G7" s="11">
        <v>4</v>
      </c>
      <c r="H7" s="10"/>
      <c r="I7" s="10"/>
      <c r="J7" s="10"/>
      <c r="K7" s="10"/>
      <c r="L7" s="10">
        <v>22</v>
      </c>
      <c r="M7" s="10"/>
      <c r="N7" s="10"/>
      <c r="O7" s="10"/>
      <c r="P7" s="10"/>
      <c r="Q7" s="10">
        <v>30</v>
      </c>
      <c r="R7" s="10"/>
      <c r="S7" s="10"/>
      <c r="T7" s="10"/>
      <c r="U7" s="13">
        <f>SUM(F7:S7)</f>
        <v>56</v>
      </c>
      <c r="V7" s="14">
        <f>D7+E7-T7-SUM(F7:S7)</f>
        <v>116</v>
      </c>
      <c r="W7" s="13">
        <v>116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'27.6'!W8</f>
        <v>22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1.5</v>
      </c>
      <c r="R8" s="10"/>
      <c r="S8" s="10"/>
      <c r="T8" s="10"/>
      <c r="U8" s="13">
        <f t="shared" ref="U8:U26" si="0">SUM(F8:S8)</f>
        <v>3.5</v>
      </c>
      <c r="V8" s="14">
        <f t="shared" ref="V8:V24" si="1">D8+E8-T8-SUM(F8:S8)</f>
        <v>18.5</v>
      </c>
      <c r="W8" s="13">
        <v>18.5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'27.6'!W9</f>
        <v>13.05</v>
      </c>
      <c r="E9" s="10">
        <v>9.25</v>
      </c>
      <c r="F9" s="10"/>
      <c r="G9" s="10"/>
      <c r="H9" s="10"/>
      <c r="I9" s="10"/>
      <c r="J9" s="10"/>
      <c r="K9" s="10"/>
      <c r="L9" s="10">
        <v>4.9000000000000004</v>
      </c>
      <c r="M9" s="10"/>
      <c r="N9" s="10"/>
      <c r="O9" s="10"/>
      <c r="P9" s="10"/>
      <c r="Q9" s="10">
        <v>4</v>
      </c>
      <c r="R9" s="10"/>
      <c r="S9" s="10">
        <v>4</v>
      </c>
      <c r="T9" s="10"/>
      <c r="U9" s="13">
        <f t="shared" si="0"/>
        <v>12.9</v>
      </c>
      <c r="V9" s="14">
        <f t="shared" si="1"/>
        <v>9.4</v>
      </c>
      <c r="W9" s="13">
        <v>9.4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'27.6'!W10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'27.6'!W11</f>
        <v>58.05</v>
      </c>
      <c r="E11">
        <v>23.65</v>
      </c>
      <c r="F11" s="11"/>
      <c r="G11" s="10">
        <v>3</v>
      </c>
      <c r="H11" s="11"/>
      <c r="I11" s="11"/>
      <c r="J11" s="11"/>
      <c r="K11" s="11"/>
      <c r="L11" s="11">
        <v>10</v>
      </c>
      <c r="M11" s="11"/>
      <c r="N11" s="11"/>
      <c r="O11" s="10"/>
      <c r="P11" s="10"/>
      <c r="Q11" s="10">
        <v>5.5</v>
      </c>
      <c r="R11" s="10"/>
      <c r="S11" s="10">
        <v>6</v>
      </c>
      <c r="T11" s="10"/>
      <c r="U11" s="13">
        <f t="shared" si="0"/>
        <v>24.5</v>
      </c>
      <c r="V11" s="14">
        <f t="shared" si="1"/>
        <v>57.199999999999989</v>
      </c>
      <c r="W11" s="13">
        <v>57.2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'27.6'!W12</f>
        <v>15.95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1</v>
      </c>
      <c r="R12" s="10"/>
      <c r="S12" s="10"/>
      <c r="T12" s="10"/>
      <c r="U12" s="13">
        <f t="shared" si="0"/>
        <v>3</v>
      </c>
      <c r="V12" s="14">
        <f t="shared" si="1"/>
        <v>12.95</v>
      </c>
      <c r="W12" s="13">
        <v>12.95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'27.6'!W13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'27.6'!W14</f>
        <v>6.1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6.1</v>
      </c>
      <c r="W14" s="13">
        <v>6.1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'27.6'!W15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'27.6'!W16</f>
        <v>20.2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20.2</v>
      </c>
      <c r="W16" s="13">
        <v>20.2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'27.6'!W17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'27.6'!W18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'27.6'!W19</f>
        <v>15.3</v>
      </c>
      <c r="E19" s="10"/>
      <c r="F19" s="10"/>
      <c r="G19" s="11"/>
      <c r="H19" s="10"/>
      <c r="I19" s="10"/>
      <c r="J19" s="10"/>
      <c r="K19" s="10"/>
      <c r="L19" s="10">
        <v>2</v>
      </c>
      <c r="M19" s="10"/>
      <c r="N19" s="10"/>
      <c r="O19" s="10"/>
      <c r="P19" s="10"/>
      <c r="Q19" s="10">
        <v>1.5</v>
      </c>
      <c r="R19" s="10"/>
      <c r="S19" s="10">
        <v>1.5</v>
      </c>
      <c r="T19" s="10"/>
      <c r="U19" s="13">
        <f t="shared" si="0"/>
        <v>5</v>
      </c>
      <c r="V19" s="14">
        <f t="shared" si="1"/>
        <v>10.3</v>
      </c>
      <c r="W19" s="13">
        <v>10.3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'27.6'!W20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'27.6'!W21</f>
        <v>38.85</v>
      </c>
      <c r="E21" s="12">
        <v>10.8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1.5</v>
      </c>
      <c r="R21" s="12"/>
      <c r="S21" s="12">
        <v>1.5</v>
      </c>
      <c r="T21" s="12"/>
      <c r="U21" s="13">
        <f t="shared" si="0"/>
        <v>3</v>
      </c>
      <c r="V21" s="14">
        <f t="shared" si="1"/>
        <v>46.650000000000006</v>
      </c>
      <c r="W21" s="13">
        <v>46.65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'27.6'!W22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'27.6'!W23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'27.6'!W24</f>
        <v>99.5</v>
      </c>
      <c r="E24" s="10">
        <v>37.5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0.5</v>
      </c>
      <c r="S24" s="10"/>
      <c r="T24" s="10"/>
      <c r="U24" s="13">
        <f t="shared" si="0"/>
        <v>27</v>
      </c>
      <c r="V24" s="14">
        <f t="shared" si="1"/>
        <v>110</v>
      </c>
      <c r="W24" s="13">
        <v>110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'27.6'!W25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'27.6'!W26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475.15000000000003</v>
      </c>
      <c r="E27" s="24">
        <f>SUM(E7:E26)</f>
        <v>111.2</v>
      </c>
      <c r="F27" s="13">
        <f t="shared" ref="F27:X27" si="3">SUM(F7:F26)</f>
        <v>2</v>
      </c>
      <c r="G27" s="13">
        <f t="shared" si="3"/>
        <v>9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44.9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49</v>
      </c>
      <c r="R27" s="13">
        <f t="shared" si="3"/>
        <v>0.5</v>
      </c>
      <c r="S27" s="13">
        <f t="shared" si="3"/>
        <v>13</v>
      </c>
      <c r="T27" s="13"/>
      <c r="U27" s="13"/>
      <c r="V27" s="13">
        <f t="shared" si="3"/>
        <v>451.45000000000005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opLeftCell="A4" zoomScaleNormal="100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Y24" sqref="W24:Y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DATE(2017,6,28)</f>
        <v>42914</v>
      </c>
      <c r="E4" s="36">
        <f>D4+1</f>
        <v>42915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'28.6'!W7</f>
        <v>116</v>
      </c>
      <c r="E7">
        <v>30</v>
      </c>
      <c r="F7" s="10"/>
      <c r="G7" s="11">
        <v>10</v>
      </c>
      <c r="H7" s="10"/>
      <c r="I7" s="10">
        <v>36</v>
      </c>
      <c r="J7" s="10"/>
      <c r="K7" s="10"/>
      <c r="L7" s="10"/>
      <c r="M7" s="10"/>
      <c r="N7" s="10"/>
      <c r="O7" s="10"/>
      <c r="P7" s="10"/>
      <c r="Q7" s="10"/>
      <c r="R7" s="10"/>
      <c r="S7" s="10">
        <v>6</v>
      </c>
      <c r="T7" s="10"/>
      <c r="U7" s="13">
        <f>SUM(F7:S7)</f>
        <v>52</v>
      </c>
      <c r="V7" s="14">
        <f>D7+E7-T7-SUM(F7:S7)</f>
        <v>94</v>
      </c>
      <c r="W7" s="13">
        <v>94</v>
      </c>
      <c r="X7" s="15">
        <f>W7-V7</f>
        <v>0</v>
      </c>
    </row>
    <row r="8" spans="1:24" ht="18.75">
      <c r="A8" s="6">
        <v>2</v>
      </c>
      <c r="B8" s="7" t="s">
        <v>13</v>
      </c>
      <c r="C8" s="8" t="s">
        <v>12</v>
      </c>
      <c r="D8" s="13">
        <f>'28.6'!W8</f>
        <v>18.5</v>
      </c>
      <c r="E8" s="10"/>
      <c r="F8" s="10"/>
      <c r="G8" s="10">
        <v>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3</v>
      </c>
      <c r="V8" s="14">
        <f t="shared" ref="V8:V24" si="1">D8+E8-T8-SUM(F8:S8)</f>
        <v>15.5</v>
      </c>
      <c r="W8" s="13">
        <v>15.5</v>
      </c>
      <c r="X8" s="15">
        <f t="shared" ref="X8:X26" si="2">W8-V8</f>
        <v>0</v>
      </c>
    </row>
    <row r="9" spans="1:24" ht="18.75">
      <c r="A9" s="6">
        <v>3</v>
      </c>
      <c r="B9" s="7" t="s">
        <v>14</v>
      </c>
      <c r="C9" s="8" t="s">
        <v>12</v>
      </c>
      <c r="D9" s="13">
        <f>'28.6'!W9</f>
        <v>9.4</v>
      </c>
      <c r="E9" s="10">
        <v>16.8</v>
      </c>
      <c r="F9" s="10"/>
      <c r="G9" s="10">
        <v>2</v>
      </c>
      <c r="H9" s="10"/>
      <c r="I9" s="10">
        <v>8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3">
        <f t="shared" si="0"/>
        <v>10</v>
      </c>
      <c r="V9" s="14">
        <f t="shared" si="1"/>
        <v>16.200000000000003</v>
      </c>
      <c r="W9" s="13">
        <v>16.2</v>
      </c>
      <c r="X9" s="15">
        <f t="shared" si="2"/>
        <v>0</v>
      </c>
    </row>
    <row r="10" spans="1:24" ht="18.75">
      <c r="A10" s="6">
        <v>4</v>
      </c>
      <c r="B10" s="7" t="s">
        <v>15</v>
      </c>
      <c r="C10" s="8" t="s">
        <v>12</v>
      </c>
      <c r="D10" s="13">
        <f>'28.6'!W10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'28.6'!W11</f>
        <v>57.2</v>
      </c>
      <c r="E11">
        <v>24.65</v>
      </c>
      <c r="F11" s="11"/>
      <c r="G11" s="10">
        <v>3</v>
      </c>
      <c r="H11" s="11"/>
      <c r="I11" s="11">
        <v>10</v>
      </c>
      <c r="J11" s="11"/>
      <c r="K11" s="11"/>
      <c r="L11" s="11"/>
      <c r="M11" s="11"/>
      <c r="N11" s="11"/>
      <c r="O11" s="10">
        <v>20</v>
      </c>
      <c r="P11" s="10"/>
      <c r="Q11" s="10"/>
      <c r="R11" s="10"/>
      <c r="S11" s="10"/>
      <c r="T11" s="10"/>
      <c r="U11" s="13">
        <f t="shared" si="0"/>
        <v>33</v>
      </c>
      <c r="V11" s="14">
        <f t="shared" si="1"/>
        <v>48.849999999999994</v>
      </c>
      <c r="W11" s="13">
        <v>48.85</v>
      </c>
      <c r="X11" s="15">
        <f t="shared" si="2"/>
        <v>0</v>
      </c>
    </row>
    <row r="12" spans="1:24" ht="18.75">
      <c r="A12" s="6">
        <v>6</v>
      </c>
      <c r="B12" s="7" t="s">
        <v>67</v>
      </c>
      <c r="C12" s="8" t="s">
        <v>12</v>
      </c>
      <c r="D12" s="13">
        <f>'28.6'!W12</f>
        <v>12.95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12.95</v>
      </c>
      <c r="W12" s="13">
        <v>12.95</v>
      </c>
      <c r="X12" s="15">
        <f t="shared" si="2"/>
        <v>0</v>
      </c>
    </row>
    <row r="13" spans="1:24" ht="18.75">
      <c r="A13" s="6">
        <v>7</v>
      </c>
      <c r="B13" s="7" t="s">
        <v>18</v>
      </c>
      <c r="C13" s="8" t="s">
        <v>12</v>
      </c>
      <c r="D13" s="13">
        <f>'28.6'!W13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'28.6'!W14</f>
        <v>6.1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6.1</v>
      </c>
      <c r="W14" s="13">
        <v>6.1</v>
      </c>
      <c r="X14" s="15">
        <f t="shared" si="2"/>
        <v>0</v>
      </c>
    </row>
    <row r="15" spans="1:24" ht="18.75">
      <c r="A15" s="6">
        <v>9</v>
      </c>
      <c r="B15" s="7" t="s">
        <v>20</v>
      </c>
      <c r="C15" s="8" t="s">
        <v>12</v>
      </c>
      <c r="D15" s="13">
        <f>'28.6'!W15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>
        <v>22.9</v>
      </c>
      <c r="X15" s="15">
        <f t="shared" si="2"/>
        <v>0</v>
      </c>
    </row>
    <row r="16" spans="1:24" ht="18.75">
      <c r="A16" s="6">
        <v>10</v>
      </c>
      <c r="B16" s="7" t="s">
        <v>21</v>
      </c>
      <c r="C16" s="8" t="s">
        <v>12</v>
      </c>
      <c r="D16" s="13">
        <f>'28.6'!W16</f>
        <v>20.2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20.2</v>
      </c>
      <c r="W16" s="13">
        <v>20.2</v>
      </c>
      <c r="X16" s="15">
        <f t="shared" si="2"/>
        <v>0</v>
      </c>
    </row>
    <row r="17" spans="1:24" ht="18.75">
      <c r="A17" s="6">
        <v>11</v>
      </c>
      <c r="B17" s="7" t="s">
        <v>68</v>
      </c>
      <c r="C17" s="8" t="s">
        <v>12</v>
      </c>
      <c r="D17" s="13">
        <f>'28.6'!W17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'28.6'!W18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>
        <v>19.25</v>
      </c>
      <c r="X18" s="15">
        <f t="shared" si="2"/>
        <v>0</v>
      </c>
    </row>
    <row r="19" spans="1:24" ht="18.75">
      <c r="A19" s="6">
        <v>13</v>
      </c>
      <c r="B19" s="7" t="s">
        <v>69</v>
      </c>
      <c r="C19" s="8" t="s">
        <v>12</v>
      </c>
      <c r="D19" s="13">
        <f>'28.6'!W19</f>
        <v>10.3</v>
      </c>
      <c r="E19" s="10"/>
      <c r="F19" s="10"/>
      <c r="G19" s="11"/>
      <c r="H19" s="10"/>
      <c r="I19" s="10">
        <v>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2</v>
      </c>
      <c r="V19" s="14">
        <f t="shared" si="1"/>
        <v>8.3000000000000007</v>
      </c>
      <c r="W19" s="13">
        <v>8.3000000000000007</v>
      </c>
      <c r="X19" s="15">
        <f t="shared" si="2"/>
        <v>0</v>
      </c>
    </row>
    <row r="20" spans="1:24" ht="18.75">
      <c r="A20" s="6">
        <v>14</v>
      </c>
      <c r="B20" s="7" t="s">
        <v>25</v>
      </c>
      <c r="C20" s="8" t="s">
        <v>12</v>
      </c>
      <c r="D20" s="13">
        <f>'28.6'!W20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'28.6'!W21</f>
        <v>46.65</v>
      </c>
      <c r="E21" s="12"/>
      <c r="F21" s="12"/>
      <c r="G21" s="11">
        <v>2</v>
      </c>
      <c r="H21" s="12"/>
      <c r="I21" s="12">
        <v>5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3">
        <f t="shared" si="0"/>
        <v>7</v>
      </c>
      <c r="V21" s="14">
        <f t="shared" si="1"/>
        <v>39.65</v>
      </c>
      <c r="W21" s="13">
        <v>39.65</v>
      </c>
      <c r="X21" s="15">
        <f t="shared" si="2"/>
        <v>0</v>
      </c>
    </row>
    <row r="22" spans="1:24" ht="18.75">
      <c r="A22" s="6">
        <v>16</v>
      </c>
      <c r="B22" s="7" t="s">
        <v>27</v>
      </c>
      <c r="C22" s="8" t="s">
        <v>12</v>
      </c>
      <c r="D22" s="13">
        <f>'28.6'!W22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'28.6'!W23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>
        <v>2</v>
      </c>
      <c r="X23" s="15">
        <f t="shared" si="2"/>
        <v>0</v>
      </c>
    </row>
    <row r="24" spans="1:24" ht="18.75">
      <c r="A24" s="6">
        <v>18</v>
      </c>
      <c r="B24" s="7" t="s">
        <v>74</v>
      </c>
      <c r="C24" s="8" t="s">
        <v>12</v>
      </c>
      <c r="D24" s="13">
        <f>'28.6'!W24</f>
        <v>110</v>
      </c>
      <c r="E24" s="10">
        <v>27</v>
      </c>
      <c r="F24" s="10">
        <v>2</v>
      </c>
      <c r="G24" s="10">
        <v>2</v>
      </c>
      <c r="H24" s="10"/>
      <c r="I24" s="10">
        <v>8</v>
      </c>
      <c r="J24" s="10">
        <v>3</v>
      </c>
      <c r="K24" s="10"/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0"/>
      <c r="U24" s="13">
        <f t="shared" si="0"/>
        <v>32.5</v>
      </c>
      <c r="V24" s="14">
        <f t="shared" si="1"/>
        <v>104.5</v>
      </c>
      <c r="W24" s="13">
        <v>104.5</v>
      </c>
      <c r="X24" s="15">
        <f t="shared" si="2"/>
        <v>0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'28.6'!W25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'28.6'!W26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451.45</v>
      </c>
      <c r="E27" s="24">
        <f>SUM(E7:E26)</f>
        <v>98.449999999999989</v>
      </c>
      <c r="F27" s="13">
        <f t="shared" ref="F27:X27" si="3">SUM(F7:F26)</f>
        <v>2</v>
      </c>
      <c r="G27" s="13">
        <f t="shared" si="3"/>
        <v>22</v>
      </c>
      <c r="H27" s="13">
        <f t="shared" si="3"/>
        <v>0</v>
      </c>
      <c r="I27" s="13">
        <f t="shared" si="3"/>
        <v>69</v>
      </c>
      <c r="J27" s="13">
        <f t="shared" si="3"/>
        <v>3</v>
      </c>
      <c r="K27" s="13">
        <f t="shared" si="3"/>
        <v>0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6</v>
      </c>
      <c r="T27" s="13"/>
      <c r="U27" s="13"/>
      <c r="V27" s="13">
        <f t="shared" si="3"/>
        <v>410.4</v>
      </c>
      <c r="W27" s="13"/>
      <c r="X27" s="13">
        <f t="shared" si="3"/>
        <v>0</v>
      </c>
    </row>
    <row r="157" spans="4:4">
      <c r="D157" t="s">
        <v>65</v>
      </c>
    </row>
  </sheetData>
  <mergeCells count="13">
    <mergeCell ref="V5:V6"/>
    <mergeCell ref="W5:W6"/>
    <mergeCell ref="X5:X6"/>
    <mergeCell ref="B1:X1"/>
    <mergeCell ref="E4:X4"/>
    <mergeCell ref="F5:S5"/>
    <mergeCell ref="T5:T6"/>
    <mergeCell ref="U5:U6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1" width="13.5703125" customWidth="1"/>
    <col min="22" max="22" width="11.140625" customWidth="1"/>
    <col min="23" max="23" width="10.42578125" bestFit="1" customWidth="1"/>
    <col min="24" max="24" width="12.140625" customWidth="1"/>
  </cols>
  <sheetData>
    <row r="1" spans="1:2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8.75">
      <c r="A4" s="1"/>
      <c r="B4" s="1"/>
      <c r="C4" s="1"/>
      <c r="D4" s="4">
        <f>DATE(2017,6,29)</f>
        <v>42915</v>
      </c>
      <c r="E4" s="36">
        <f>D4+1</f>
        <v>42916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33" t="s">
        <v>81</v>
      </c>
      <c r="U5" s="45" t="s">
        <v>76</v>
      </c>
      <c r="V5" s="33" t="s">
        <v>7</v>
      </c>
      <c r="W5" s="33" t="s">
        <v>8</v>
      </c>
      <c r="X5" s="33" t="s">
        <v>9</v>
      </c>
    </row>
    <row r="6" spans="1:24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75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80</v>
      </c>
      <c r="T6" s="34"/>
      <c r="U6" s="46"/>
      <c r="V6" s="34"/>
      <c r="W6" s="34"/>
      <c r="X6" s="34"/>
    </row>
    <row r="7" spans="1:24" ht="18.75">
      <c r="A7" s="6">
        <v>1</v>
      </c>
      <c r="B7" s="7" t="s">
        <v>11</v>
      </c>
      <c r="C7" s="8" t="s">
        <v>12</v>
      </c>
      <c r="D7" s="13">
        <f>'28.6'!W7</f>
        <v>116</v>
      </c>
      <c r="E7">
        <v>30</v>
      </c>
      <c r="F7" s="10">
        <v>8</v>
      </c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3">
        <f>SUM(F7:S7)</f>
        <v>8</v>
      </c>
      <c r="V7" s="14">
        <f>D7+E7-T7-SUM(F7:S7)</f>
        <v>138</v>
      </c>
      <c r="W7" s="13"/>
      <c r="X7" s="15">
        <f>W7-V7</f>
        <v>-138</v>
      </c>
    </row>
    <row r="8" spans="1:24" ht="18.75">
      <c r="A8" s="6">
        <v>2</v>
      </c>
      <c r="B8" s="7" t="s">
        <v>13</v>
      </c>
      <c r="C8" s="8" t="s">
        <v>12</v>
      </c>
      <c r="D8" s="13">
        <f>'28.6'!W8</f>
        <v>18.5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3">
        <f t="shared" ref="U8:U26" si="0">SUM(F8:S8)</f>
        <v>0</v>
      </c>
      <c r="V8" s="14">
        <f t="shared" ref="V8:V24" si="1">D8+E8-T8-SUM(F8:S8)</f>
        <v>18.5</v>
      </c>
      <c r="W8" s="13"/>
      <c r="X8" s="15">
        <f t="shared" ref="X8:X26" si="2">W8-V8</f>
        <v>-18.5</v>
      </c>
    </row>
    <row r="9" spans="1:24" ht="18.75">
      <c r="A9" s="6">
        <v>3</v>
      </c>
      <c r="B9" s="7" t="s">
        <v>14</v>
      </c>
      <c r="C9" s="8" t="s">
        <v>12</v>
      </c>
      <c r="D9" s="13">
        <f>'28.6'!W9</f>
        <v>9.4</v>
      </c>
      <c r="E9" s="10">
        <v>9.6</v>
      </c>
      <c r="F9" s="10">
        <v>3</v>
      </c>
      <c r="G9" s="10"/>
      <c r="H9" s="10"/>
      <c r="I9" s="10"/>
      <c r="J9" s="10"/>
      <c r="K9" s="10"/>
      <c r="L9" s="10"/>
      <c r="M9" s="10"/>
      <c r="N9" s="10">
        <v>3</v>
      </c>
      <c r="O9" s="10"/>
      <c r="P9" s="10"/>
      <c r="Q9" s="10"/>
      <c r="R9" s="10"/>
      <c r="S9" s="10"/>
      <c r="T9" s="10"/>
      <c r="U9" s="13">
        <f t="shared" si="0"/>
        <v>6</v>
      </c>
      <c r="V9" s="14">
        <f t="shared" si="1"/>
        <v>13</v>
      </c>
      <c r="W9" s="13"/>
      <c r="X9" s="15">
        <f t="shared" si="2"/>
        <v>-13</v>
      </c>
    </row>
    <row r="10" spans="1:24" ht="18.75">
      <c r="A10" s="6">
        <v>4</v>
      </c>
      <c r="B10" s="7" t="s">
        <v>15</v>
      </c>
      <c r="C10" s="8" t="s">
        <v>12</v>
      </c>
      <c r="D10" s="13">
        <f>'28.6'!W10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0"/>
      <c r="U10" s="13">
        <f t="shared" si="0"/>
        <v>0</v>
      </c>
      <c r="V10" s="14">
        <f t="shared" si="1"/>
        <v>0</v>
      </c>
      <c r="W10" s="13"/>
      <c r="X10" s="15">
        <f t="shared" si="2"/>
        <v>0</v>
      </c>
    </row>
    <row r="11" spans="1:24" ht="18.75">
      <c r="A11" s="6">
        <v>5</v>
      </c>
      <c r="B11" s="7" t="s">
        <v>16</v>
      </c>
      <c r="C11" s="8" t="s">
        <v>12</v>
      </c>
      <c r="D11" s="13">
        <f>'28.6'!W11</f>
        <v>57.2</v>
      </c>
      <c r="F11" s="11">
        <v>5.35</v>
      </c>
      <c r="G11" s="10"/>
      <c r="H11" s="11"/>
      <c r="I11" s="11"/>
      <c r="J11" s="11"/>
      <c r="K11" s="11"/>
      <c r="L11" s="11">
        <v>1</v>
      </c>
      <c r="M11" s="11"/>
      <c r="N11" s="11">
        <v>2</v>
      </c>
      <c r="O11" s="10">
        <v>20</v>
      </c>
      <c r="P11" s="10"/>
      <c r="Q11" s="10"/>
      <c r="R11" s="10"/>
      <c r="S11" s="10"/>
      <c r="T11" s="10"/>
      <c r="U11" s="13">
        <f t="shared" si="0"/>
        <v>28.35</v>
      </c>
      <c r="V11" s="14">
        <f t="shared" si="1"/>
        <v>28.85</v>
      </c>
      <c r="W11" s="13"/>
      <c r="X11" s="15">
        <f t="shared" si="2"/>
        <v>-28.85</v>
      </c>
    </row>
    <row r="12" spans="1:24" ht="18.75">
      <c r="A12" s="6">
        <v>6</v>
      </c>
      <c r="B12" s="7" t="s">
        <v>67</v>
      </c>
      <c r="C12" s="8" t="s">
        <v>12</v>
      </c>
      <c r="D12" s="13">
        <f>'28.6'!W12</f>
        <v>12.95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0"/>
      <c r="U12" s="13">
        <f t="shared" si="0"/>
        <v>0</v>
      </c>
      <c r="V12" s="14">
        <f t="shared" si="1"/>
        <v>12.95</v>
      </c>
      <c r="W12" s="13"/>
      <c r="X12" s="15">
        <f t="shared" si="2"/>
        <v>-12.95</v>
      </c>
    </row>
    <row r="13" spans="1:24" ht="18.75">
      <c r="A13" s="6">
        <v>7</v>
      </c>
      <c r="B13" s="7" t="s">
        <v>18</v>
      </c>
      <c r="C13" s="8" t="s">
        <v>12</v>
      </c>
      <c r="D13" s="13">
        <f>'28.6'!W13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0"/>
      <c r="U13" s="13">
        <f t="shared" si="0"/>
        <v>0</v>
      </c>
      <c r="V13" s="14">
        <f t="shared" si="1"/>
        <v>0</v>
      </c>
      <c r="W13" s="13"/>
      <c r="X13" s="15">
        <f t="shared" si="2"/>
        <v>0</v>
      </c>
    </row>
    <row r="14" spans="1:24" ht="18.75">
      <c r="A14" s="6">
        <v>8</v>
      </c>
      <c r="B14" s="7" t="s">
        <v>19</v>
      </c>
      <c r="C14" s="8" t="s">
        <v>12</v>
      </c>
      <c r="D14" s="13">
        <f>'28.6'!W14</f>
        <v>6.1</v>
      </c>
      <c r="E14" s="10">
        <v>8.6</v>
      </c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0"/>
      <c r="U14" s="13">
        <f t="shared" si="0"/>
        <v>0</v>
      </c>
      <c r="V14" s="14">
        <f t="shared" si="1"/>
        <v>14.7</v>
      </c>
      <c r="W14" s="13"/>
      <c r="X14" s="15">
        <f t="shared" si="2"/>
        <v>-14.7</v>
      </c>
    </row>
    <row r="15" spans="1:24" ht="18.75">
      <c r="A15" s="6">
        <v>9</v>
      </c>
      <c r="B15" s="7" t="s">
        <v>20</v>
      </c>
      <c r="C15" s="8" t="s">
        <v>12</v>
      </c>
      <c r="D15" s="13">
        <f>'28.6'!W15</f>
        <v>22.9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3">
        <f t="shared" si="0"/>
        <v>0</v>
      </c>
      <c r="V15" s="14">
        <f t="shared" si="1"/>
        <v>22.9</v>
      </c>
      <c r="W15" s="13"/>
      <c r="X15" s="15">
        <f t="shared" si="2"/>
        <v>-22.9</v>
      </c>
    </row>
    <row r="16" spans="1:24" ht="18.75">
      <c r="A16" s="6">
        <v>10</v>
      </c>
      <c r="B16" s="7" t="s">
        <v>21</v>
      </c>
      <c r="C16" s="8" t="s">
        <v>12</v>
      </c>
      <c r="D16" s="13">
        <f>'28.6'!W16</f>
        <v>20.2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3">
        <f t="shared" si="0"/>
        <v>0</v>
      </c>
      <c r="V16" s="14">
        <f t="shared" si="1"/>
        <v>20.2</v>
      </c>
      <c r="W16" s="13"/>
      <c r="X16" s="15">
        <f t="shared" si="2"/>
        <v>-20.2</v>
      </c>
    </row>
    <row r="17" spans="1:24" ht="18.75">
      <c r="A17" s="6">
        <v>11</v>
      </c>
      <c r="B17" s="7" t="s">
        <v>68</v>
      </c>
      <c r="C17" s="8" t="s">
        <v>12</v>
      </c>
      <c r="D17" s="13">
        <f>'28.6'!W17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3">
        <f t="shared" si="0"/>
        <v>0</v>
      </c>
      <c r="V17" s="14">
        <f t="shared" si="1"/>
        <v>0</v>
      </c>
      <c r="W17" s="13"/>
      <c r="X17" s="15">
        <f t="shared" si="2"/>
        <v>0</v>
      </c>
    </row>
    <row r="18" spans="1:24" ht="18.75">
      <c r="A18" s="6">
        <v>12</v>
      </c>
      <c r="B18" s="7" t="s">
        <v>23</v>
      </c>
      <c r="C18" s="8" t="s">
        <v>12</v>
      </c>
      <c r="D18" s="13">
        <f>'28.6'!W18</f>
        <v>19.25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3">
        <f t="shared" si="0"/>
        <v>0</v>
      </c>
      <c r="V18" s="14">
        <f t="shared" si="1"/>
        <v>19.25</v>
      </c>
      <c r="W18" s="13"/>
      <c r="X18" s="15">
        <f t="shared" si="2"/>
        <v>-19.25</v>
      </c>
    </row>
    <row r="19" spans="1:24" ht="18.75">
      <c r="A19" s="6">
        <v>13</v>
      </c>
      <c r="B19" s="7" t="s">
        <v>69</v>
      </c>
      <c r="C19" s="8" t="s">
        <v>12</v>
      </c>
      <c r="D19" s="13">
        <f>'28.6'!W19</f>
        <v>10.3</v>
      </c>
      <c r="E19" s="10">
        <v>11.4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3">
        <f t="shared" si="0"/>
        <v>0</v>
      </c>
      <c r="V19" s="14">
        <f t="shared" si="1"/>
        <v>21.700000000000003</v>
      </c>
      <c r="W19" s="13"/>
      <c r="X19" s="15">
        <f t="shared" si="2"/>
        <v>-21.700000000000003</v>
      </c>
    </row>
    <row r="20" spans="1:24" ht="18.75">
      <c r="A20" s="6">
        <v>14</v>
      </c>
      <c r="B20" s="7" t="s">
        <v>25</v>
      </c>
      <c r="C20" s="8" t="s">
        <v>12</v>
      </c>
      <c r="D20" s="13">
        <f>'28.6'!W20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3">
        <f t="shared" si="0"/>
        <v>0</v>
      </c>
      <c r="V20" s="14">
        <f t="shared" si="1"/>
        <v>0</v>
      </c>
      <c r="W20" s="13"/>
      <c r="X20" s="15">
        <f t="shared" si="2"/>
        <v>0</v>
      </c>
    </row>
    <row r="21" spans="1:24" ht="18.75">
      <c r="A21" s="6">
        <v>15</v>
      </c>
      <c r="B21" s="7" t="s">
        <v>26</v>
      </c>
      <c r="C21" s="8" t="s">
        <v>12</v>
      </c>
      <c r="D21" s="13">
        <f>'28.6'!W21</f>
        <v>46.65</v>
      </c>
      <c r="E21" s="12"/>
      <c r="F21" s="12">
        <v>2.95</v>
      </c>
      <c r="G21" s="11"/>
      <c r="H21" s="12"/>
      <c r="I21" s="12"/>
      <c r="J21" s="12"/>
      <c r="K21" s="12"/>
      <c r="L21" s="12"/>
      <c r="M21" s="12"/>
      <c r="N21" s="12">
        <v>3</v>
      </c>
      <c r="O21" s="12"/>
      <c r="P21" s="12"/>
      <c r="Q21" s="12"/>
      <c r="R21" s="12"/>
      <c r="S21" s="12"/>
      <c r="T21" s="12"/>
      <c r="U21" s="13">
        <f t="shared" si="0"/>
        <v>5.95</v>
      </c>
      <c r="V21" s="14">
        <f t="shared" si="1"/>
        <v>40.699999999999996</v>
      </c>
      <c r="W21" s="13"/>
      <c r="X21" s="15">
        <f t="shared" si="2"/>
        <v>-40.699999999999996</v>
      </c>
    </row>
    <row r="22" spans="1:24" ht="18.75">
      <c r="A22" s="6">
        <v>16</v>
      </c>
      <c r="B22" s="7" t="s">
        <v>27</v>
      </c>
      <c r="C22" s="8" t="s">
        <v>12</v>
      </c>
      <c r="D22" s="13">
        <f>'28.6'!W22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3">
        <f t="shared" si="0"/>
        <v>0</v>
      </c>
      <c r="V22" s="14">
        <f t="shared" si="1"/>
        <v>0</v>
      </c>
      <c r="W22" s="13"/>
      <c r="X22" s="15">
        <f t="shared" si="2"/>
        <v>0</v>
      </c>
    </row>
    <row r="23" spans="1:24" ht="18.75">
      <c r="A23" s="6">
        <v>17</v>
      </c>
      <c r="B23" s="7" t="s">
        <v>73</v>
      </c>
      <c r="C23" s="8" t="s">
        <v>12</v>
      </c>
      <c r="D23" s="13">
        <f>'28.6'!W23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3">
        <f t="shared" si="0"/>
        <v>0</v>
      </c>
      <c r="V23" s="14">
        <f t="shared" si="1"/>
        <v>2</v>
      </c>
      <c r="W23" s="13"/>
      <c r="X23" s="15">
        <f t="shared" si="2"/>
        <v>-2</v>
      </c>
    </row>
    <row r="24" spans="1:24" ht="18.75">
      <c r="A24" s="6">
        <v>18</v>
      </c>
      <c r="B24" s="7" t="s">
        <v>74</v>
      </c>
      <c r="C24" s="8" t="s">
        <v>12</v>
      </c>
      <c r="D24" s="13">
        <f>'28.6'!W24</f>
        <v>110</v>
      </c>
      <c r="E24" s="10">
        <v>36.5</v>
      </c>
      <c r="F24" s="10">
        <v>2</v>
      </c>
      <c r="G24" s="10">
        <v>2</v>
      </c>
      <c r="H24" s="10"/>
      <c r="I24" s="10">
        <v>14</v>
      </c>
      <c r="J24" s="10">
        <v>2</v>
      </c>
      <c r="K24" s="10">
        <v>2</v>
      </c>
      <c r="L24" s="10">
        <v>7</v>
      </c>
      <c r="M24" s="10"/>
      <c r="N24" s="10">
        <v>15</v>
      </c>
      <c r="O24" s="10">
        <v>2.5</v>
      </c>
      <c r="P24" s="10">
        <v>8</v>
      </c>
      <c r="Q24" s="10">
        <v>4</v>
      </c>
      <c r="R24" s="10">
        <v>1</v>
      </c>
      <c r="S24" s="10"/>
      <c r="T24" s="10"/>
      <c r="U24" s="13">
        <f t="shared" si="0"/>
        <v>59.5</v>
      </c>
      <c r="V24" s="14">
        <f t="shared" si="1"/>
        <v>87</v>
      </c>
      <c r="W24" s="13"/>
      <c r="X24" s="15">
        <f t="shared" si="2"/>
        <v>-87</v>
      </c>
    </row>
    <row r="25" spans="1:24" ht="18.75" hidden="1">
      <c r="A25" s="6">
        <v>19</v>
      </c>
      <c r="B25" s="7" t="s">
        <v>22</v>
      </c>
      <c r="C25" s="8" t="s">
        <v>12</v>
      </c>
      <c r="D25" s="13">
        <f>'28.6'!W25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3">
        <f t="shared" si="0"/>
        <v>0</v>
      </c>
      <c r="V25" s="14"/>
      <c r="W25" s="13"/>
      <c r="X25" s="15">
        <f t="shared" si="2"/>
        <v>0</v>
      </c>
    </row>
    <row r="26" spans="1:24" ht="18.75" hidden="1">
      <c r="A26" s="6">
        <v>20</v>
      </c>
      <c r="B26" s="7" t="s">
        <v>30</v>
      </c>
      <c r="C26" s="8" t="s">
        <v>12</v>
      </c>
      <c r="D26" s="13">
        <f>'28.6'!W26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3">
        <f t="shared" si="0"/>
        <v>0</v>
      </c>
      <c r="V26" s="14"/>
      <c r="W26" s="13"/>
      <c r="X26" s="15">
        <f t="shared" si="2"/>
        <v>0</v>
      </c>
    </row>
    <row r="27" spans="1:24" ht="18.75">
      <c r="A27" s="6"/>
      <c r="B27" s="7" t="s">
        <v>31</v>
      </c>
      <c r="C27" s="6"/>
      <c r="D27" s="13">
        <f>SUM(D7:D24)</f>
        <v>451.45</v>
      </c>
      <c r="E27" s="24">
        <f>SUM(E7:E26)</f>
        <v>96.1</v>
      </c>
      <c r="F27" s="13">
        <f t="shared" ref="F27:X27" si="3">SUM(F7:F26)</f>
        <v>21.3</v>
      </c>
      <c r="G27" s="13">
        <f t="shared" si="3"/>
        <v>2</v>
      </c>
      <c r="H27" s="13">
        <f t="shared" si="3"/>
        <v>0</v>
      </c>
      <c r="I27" s="13">
        <f t="shared" si="3"/>
        <v>14</v>
      </c>
      <c r="J27" s="13">
        <f t="shared" si="3"/>
        <v>2</v>
      </c>
      <c r="K27" s="13">
        <f t="shared" si="3"/>
        <v>2</v>
      </c>
      <c r="L27" s="13">
        <f t="shared" si="3"/>
        <v>8</v>
      </c>
      <c r="M27" s="13">
        <f t="shared" si="3"/>
        <v>0</v>
      </c>
      <c r="N27" s="13">
        <f t="shared" si="3"/>
        <v>23</v>
      </c>
      <c r="O27" s="13">
        <f t="shared" si="3"/>
        <v>22.5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/>
      <c r="V27" s="13">
        <f t="shared" si="3"/>
        <v>439.74999999999994</v>
      </c>
      <c r="W27" s="13"/>
      <c r="X27" s="13">
        <f t="shared" si="3"/>
        <v>-439.74999999999994</v>
      </c>
    </row>
    <row r="157" spans="4:4">
      <c r="D157" t="s">
        <v>65</v>
      </c>
    </row>
  </sheetData>
  <mergeCells count="13">
    <mergeCell ref="A5:A6"/>
    <mergeCell ref="B5:B6"/>
    <mergeCell ref="C5:C6"/>
    <mergeCell ref="D5:D6"/>
    <mergeCell ref="E5:E6"/>
    <mergeCell ref="V5:V6"/>
    <mergeCell ref="W5:W6"/>
    <mergeCell ref="X5:X6"/>
    <mergeCell ref="B1:X1"/>
    <mergeCell ref="E4:X4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Q7" sqref="Q7"/>
    </sheetView>
  </sheetViews>
  <sheetFormatPr defaultColWidth="9" defaultRowHeight="15"/>
  <cols>
    <col min="2" max="2" width="22.42578125" customWidth="1"/>
    <col min="4" max="4" width="16.7109375" customWidth="1"/>
    <col min="5" max="5" width="11.7109375" customWidth="1"/>
    <col min="6" max="11" width="13.28515625" customWidth="1"/>
    <col min="12" max="12" width="9" customWidth="1"/>
    <col min="13" max="13" width="9.85546875" customWidth="1"/>
    <col min="14" max="16" width="9" customWidth="1"/>
    <col min="17" max="17" width="10.42578125" customWidth="1"/>
    <col min="18" max="18" width="13.5703125" customWidth="1"/>
  </cols>
  <sheetData>
    <row r="1" spans="1:18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0.25">
      <c r="A3" s="1"/>
      <c r="B3" s="1"/>
      <c r="C3" s="1"/>
      <c r="D3" s="1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>
      <c r="A4" s="1"/>
      <c r="B4" s="1"/>
      <c r="C4" s="1"/>
      <c r="D4" s="4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5" customHeight="1">
      <c r="A5" s="38" t="s">
        <v>1</v>
      </c>
      <c r="B5" s="40" t="s">
        <v>2</v>
      </c>
      <c r="C5" s="38" t="s">
        <v>3</v>
      </c>
      <c r="D5" s="33" t="s">
        <v>77</v>
      </c>
      <c r="E5" s="42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</row>
    <row r="6" spans="1:18" ht="15.75" customHeight="1">
      <c r="A6" s="39"/>
      <c r="B6" s="41"/>
      <c r="C6" s="39"/>
      <c r="D6" s="34"/>
      <c r="E6" s="5" t="s">
        <v>32</v>
      </c>
      <c r="F6" s="5" t="s">
        <v>44</v>
      </c>
      <c r="G6" s="5" t="s">
        <v>60</v>
      </c>
      <c r="H6" s="5" t="s">
        <v>70</v>
      </c>
      <c r="I6" s="5" t="s">
        <v>71</v>
      </c>
      <c r="J6" s="5" t="s">
        <v>41</v>
      </c>
      <c r="K6" s="5" t="s">
        <v>46</v>
      </c>
      <c r="L6" s="5" t="s">
        <v>37</v>
      </c>
      <c r="M6" s="5" t="s">
        <v>75</v>
      </c>
      <c r="N6" s="5" t="s">
        <v>33</v>
      </c>
      <c r="O6" s="5" t="s">
        <v>72</v>
      </c>
      <c r="P6" s="5" t="s">
        <v>36</v>
      </c>
      <c r="Q6" s="5" t="s">
        <v>38</v>
      </c>
      <c r="R6" s="5" t="s">
        <v>80</v>
      </c>
    </row>
    <row r="7" spans="1:18" ht="18.75">
      <c r="A7" s="6">
        <v>1</v>
      </c>
      <c r="B7" s="7" t="s">
        <v>11</v>
      </c>
      <c r="C7" s="8" t="s">
        <v>12</v>
      </c>
      <c r="D7" s="13">
        <f>SUM(E7:Q7)</f>
        <v>876</v>
      </c>
      <c r="E7" s="13">
        <f>'1.6'!F7+'2.6'!F7+'3.6'!F7+'4.6'!F7+'5.6'!F7+'6.6'!F7+'7.6'!F7+'8.6'!F7+'9.6'!F7+'10.6'!F7+'11.6'!F7+'12.6'!F7+'13.6'!F7+'14.6'!F7+'15.6'!F7+'16.6'!F7+'17.6'!F7+'18.6'!F7+'19.6'!F7+'20.6'!F7+'21.6'!F7+'22.6'!F7+'23.6'!F7+'24.6'!F7+'25.6'!F7+'26.6'!F7+'27.6'!F7+'28.6'!F7+'29.6'!F7+'30.6'!F7</f>
        <v>76</v>
      </c>
      <c r="F7" s="13">
        <f>'1.6'!G7+'2.6'!G7+'3.6'!G7+'4.6'!G7+'5.6'!G7+'6.6'!G7+'7.6'!G7+'8.6'!G7+'9.6'!G7+'10.6'!G7+'11.6'!G7+'12.6'!G7+'13.6'!G7+'14.6'!G7+'15.6'!G7+'16.6'!G7+'17.6'!G7+'18.6'!G7+'19.6'!G7+'20.6'!G7+'21.6'!G7+'22.6'!G7+'23.6'!G7+'24.6'!G7+'25.6'!G7+'26.6'!G7+'27.6'!G7+'28.6'!G7+'29.6'!G7+'30.6'!G7</f>
        <v>40</v>
      </c>
      <c r="G7" s="13">
        <f>'1.6'!H7+'2.6'!H7+'3.6'!H7+'4.6'!H7+'5.6'!H7+'6.6'!H7+'7.6'!H7+'8.6'!H7+'9.6'!H7+'10.6'!H7+'11.6'!H7+'12.6'!H7+'13.6'!H7+'14.6'!H7+'15.6'!H7+'16.6'!H7+'17.6'!H7+'18.6'!H7+'19.6'!H7+'20.6'!H7+'21.6'!H7+'22.6'!H7+'23.6'!H7+'24.6'!H7+'25.6'!H7+'26.6'!H7+'27.6'!H7+'28.6'!H7+'29.6'!H7+'30.6'!H7</f>
        <v>48</v>
      </c>
      <c r="H7" s="13">
        <f>'1.6'!I7+'2.6'!I7+'3.6'!I7+'4.6'!I7+'5.6'!I7+'6.6'!I7+'7.6'!I7+'8.6'!I7+'9.6'!I7+'10.6'!I7+'11.6'!I7+'12.6'!I7+'13.6'!I7+'14.6'!I7+'15.6'!I7+'16.6'!I7+'17.6'!I7+'18.6'!I7+'19.6'!I7+'20.6'!I7+'21.6'!I7+'22.6'!I7+'23.6'!I7+'24.6'!I7+'25.6'!I7+'26.6'!I7+'27.6'!I7+'28.6'!I7+'29.6'!I7+'30.6'!I7</f>
        <v>158</v>
      </c>
      <c r="I7" s="13">
        <f>'1.6'!J7+'2.6'!J7+'3.6'!J7+'4.6'!J7+'5.6'!J7+'6.6'!J7+'7.6'!J7+'8.6'!J7+'9.6'!J7+'10.6'!J7+'11.6'!J7+'12.6'!J7+'13.6'!J7+'14.6'!J7+'15.6'!J7+'16.6'!J7+'17.6'!J7+'18.6'!J7+'19.6'!J7+'20.6'!J7+'21.6'!J7+'22.6'!J7+'23.6'!J7+'24.6'!J7+'25.6'!J7+'26.6'!J7+'27.6'!J7+'28.6'!J7+'29.6'!J7+'30.6'!J7</f>
        <v>34</v>
      </c>
      <c r="J7" s="13">
        <f>'1.6'!K7+'2.6'!K7+'3.6'!K7+'4.6'!K7+'5.6'!K7+'6.6'!K7+'7.6'!K7+'8.6'!K7+'9.6'!K7+'10.6'!K7+'11.6'!K7+'12.6'!K7+'13.6'!K7+'14.6'!K7+'15.6'!K7+'16.6'!K7+'17.6'!K7+'18.6'!K7+'19.6'!K7+'20.6'!K7+'21.6'!K7+'22.6'!K7+'23.6'!K7+'24.6'!K7+'25.6'!K7+'26.6'!K7+'27.6'!K7+'28.6'!K7+'29.6'!K7+'30.6'!K7</f>
        <v>48</v>
      </c>
      <c r="K7" s="13">
        <f>'1.6'!L7+'2.6'!L7+'3.6'!L7+'4.6'!L7+'5.6'!L7+'6.6'!L7+'7.6'!L7+'8.6'!L7+'9.6'!L7+'10.6'!L7+'11.6'!L7+'12.6'!L7+'13.6'!L7+'14.6'!L7+'15.6'!L7+'16.6'!L7+'17.6'!L7+'18.6'!L7+'19.6'!L7+'20.6'!L7+'21.6'!L7+'22.6'!L7+'23.6'!L7+'24.6'!L7+'25.6'!L7+'26.6'!L7+'27.6'!L7+'28.6'!L7+'29.6'!L7+'30.6'!L7</f>
        <v>106</v>
      </c>
      <c r="L7" s="13">
        <f>'1.6'!M7+'2.6'!M7+'3.6'!M7+'4.6'!M7+'5.6'!M7+'6.6'!M7+'7.6'!M7+'8.6'!M7+'9.6'!M7+'10.6'!M7+'11.6'!M7+'12.6'!M7+'13.6'!M7+'14.6'!M7+'15.6'!M7+'16.6'!M7+'17.6'!M7+'18.6'!M7+'19.6'!M7+'20.6'!M7+'21.6'!M7+'22.6'!M7+'23.6'!M7+'24.6'!M7+'25.6'!M7+'26.6'!M7+'27.6'!M7+'28.6'!M7+'29.6'!M7+'30.6'!M7</f>
        <v>0</v>
      </c>
      <c r="M7" s="13">
        <f>'1.6'!N7+'2.6'!N7+'3.6'!N7+'4.6'!N7+'5.6'!N7+'6.6'!N7+'7.6'!N7+'8.6'!N7+'9.6'!N7+'10.6'!N7+'11.6'!N7+'12.6'!N7+'13.6'!N7+'14.6'!N7+'15.6'!N7+'16.6'!N7+'17.6'!N7+'18.6'!N7+'19.6'!N7+'20.6'!N7+'21.6'!N7+'22.6'!N7+'23.6'!N7+'24.6'!N7+'25.6'!N7+'26.6'!N7+'27.6'!N7+'28.6'!N7+'29.6'!N7+'30.6'!N7</f>
        <v>0</v>
      </c>
      <c r="N7" s="13">
        <f>'1.6'!O7+'2.6'!O7+'3.6'!O7+'4.6'!O7+'5.6'!O7+'6.6'!O7+'7.6'!O7+'8.6'!O7+'9.6'!O7+'10.6'!O7+'11.6'!O7+'12.6'!O7+'13.6'!O7+'14.6'!O7+'15.6'!O7+'16.6'!O7+'17.6'!O7+'18.6'!O7+'19.6'!O7+'20.6'!O7+'21.6'!O7+'22.6'!O7+'23.6'!O7+'24.6'!O7+'25.6'!O7+'26.6'!O7+'27.6'!O7+'28.6'!O7+'29.6'!O7+'30.6'!O7</f>
        <v>102</v>
      </c>
      <c r="O7" s="13">
        <f>'1.6'!P7+'2.6'!P7+'3.6'!P7+'4.6'!P7+'5.6'!P7+'6.6'!P7+'7.6'!P7+'8.6'!P7+'9.6'!P7+'10.6'!P7+'11.6'!P7+'12.6'!P7+'13.6'!P7+'14.6'!P7+'15.6'!P7+'16.6'!P7+'17.6'!P7+'18.6'!P7+'19.6'!P7+'20.6'!P7+'21.6'!P7+'22.6'!P7+'23.6'!P7+'24.6'!P7+'25.6'!P7+'26.6'!P7+'27.6'!P7+'28.6'!P7+'29.6'!P7+'30.6'!P7</f>
        <v>152</v>
      </c>
      <c r="P7" s="13">
        <f>'1.6'!Q7+'2.6'!Q7+'3.6'!Q7+'4.6'!Q7+'5.6'!Q7+'6.6'!Q7+'7.6'!Q7+'8.6'!Q7+'9.6'!Q7+'10.6'!Q7+'11.6'!Q7+'12.6'!Q7+'13.6'!Q7+'14.6'!Q7+'15.6'!Q7+'16.6'!Q7+'17.6'!Q7+'18.6'!Q7+'19.6'!Q7+'20.6'!Q7+'21.6'!Q7+'22.6'!Q7+'23.6'!Q7+'24.6'!Q7+'25.6'!Q7+'26.6'!Q7+'27.6'!Q7+'28.6'!Q7+'29.6'!Q7+'30.6'!Q7</f>
        <v>108</v>
      </c>
      <c r="Q7" s="13">
        <f>'1.6'!R7+'2.6'!R7+'3.6'!R7+'4.6'!R7+'5.6'!R7+'6.6'!R7+'7.6'!R7+'8.6'!R7+'9.6'!R7+'10.6'!R7+'11.6'!R7+'12.6'!R7+'13.6'!R7+'14.6'!R7+'15.6'!R7+'16.6'!R7+'17.6'!R7+'18.6'!R7+'19.6'!R7+'20.6'!R7+'21.6'!R7+'22.6'!R7+'23.6'!R7+'24.6'!R7+'25.6'!R7+'26.6'!R7+'27.6'!R7+'28.6'!R7+'29.6'!R7+'30.6'!R7</f>
        <v>4</v>
      </c>
      <c r="R7" s="13">
        <f>'1.6'!S7+'2.6'!S7+'3.6'!S7+'4.6'!S7+'5.6'!S7+'6.6'!S7+'7.6'!S7+'8.6'!S7+'9.6'!S7+'10.6'!S7+'11.6'!S7+'12.6'!S7+'13.6'!S7+'14.6'!S7+'15.6'!S7+'16.6'!S7+'17.6'!S7+'18.6'!S7+'19.6'!S7+'20.6'!S7+'21.6'!S7+'22.6'!S7+'23.6'!S7+'24.6'!S7+'25.6'!S7+'26.6'!S7+'27.6'!S7+'28.6'!S7+'29.6'!S7+'30.6'!S7</f>
        <v>26</v>
      </c>
    </row>
    <row r="8" spans="1:18" ht="18.75">
      <c r="A8" s="6">
        <v>2</v>
      </c>
      <c r="B8" s="7" t="s">
        <v>13</v>
      </c>
      <c r="C8" s="8" t="s">
        <v>12</v>
      </c>
      <c r="D8" s="13">
        <f t="shared" ref="D8:D26" si="0">SUM(E8:Q8)</f>
        <v>37.25</v>
      </c>
      <c r="E8" s="13">
        <f>'1.6'!F8+'2.6'!F8+'3.6'!F8+'4.6'!F8+'5.6'!F8+'6.6'!F8+'7.6'!F8+'8.6'!F8+'9.6'!F8+'10.6'!F8+'11.6'!F8+'12.6'!F8+'13.6'!F8+'14.6'!F8+'15.6'!F8+'16.6'!F8+'17.6'!F8+'18.6'!F8+'19.6'!F8+'20.6'!F8+'21.6'!F8+'22.6'!F8+'23.6'!F8+'24.6'!F8+'25.6'!F8+'26.6'!F8+'27.6'!F8+'28.6'!F8+'29.6'!F8+'30.6'!F8</f>
        <v>0</v>
      </c>
      <c r="F8" s="13">
        <f>'1.6'!G8+'2.6'!G8+'3.6'!G8+'4.6'!G8+'5.6'!G8+'6.6'!G8+'7.6'!G8+'8.6'!G8+'9.6'!G8+'10.6'!G8+'11.6'!G8+'12.6'!G8+'13.6'!G8+'14.6'!G8+'15.6'!G8+'16.6'!G8+'17.6'!G8+'18.6'!G8+'19.6'!G8+'20.6'!G8+'21.6'!G8+'22.6'!G8+'23.6'!G8+'24.6'!G8+'25.6'!G8+'26.6'!G8+'27.6'!G8+'28.6'!G8+'29.6'!G8+'30.6'!G8</f>
        <v>5.8</v>
      </c>
      <c r="G8" s="13">
        <f>'1.6'!H8+'2.6'!H8+'3.6'!H8+'4.6'!H8+'5.6'!H8+'6.6'!H8+'7.6'!H8+'8.6'!H8+'9.6'!H8+'10.6'!H8+'11.6'!H8+'12.6'!H8+'13.6'!H8+'14.6'!H8+'15.6'!H8+'16.6'!H8+'17.6'!H8+'18.6'!H8+'19.6'!H8+'20.6'!H8+'21.6'!H8+'22.6'!H8+'23.6'!H8+'24.6'!H8+'25.6'!H8+'26.6'!H8+'27.6'!H8+'28.6'!H8+'29.6'!H8+'30.6'!H8</f>
        <v>0</v>
      </c>
      <c r="H8" s="13">
        <f>'1.6'!I8+'2.6'!I8+'3.6'!I8+'4.6'!I8+'5.6'!I8+'6.6'!I8+'7.6'!I8+'8.6'!I8+'9.6'!I8+'10.6'!I8+'11.6'!I8+'12.6'!I8+'13.6'!I8+'14.6'!I8+'15.6'!I8+'16.6'!I8+'17.6'!I8+'18.6'!I8+'19.6'!I8+'20.6'!I8+'21.6'!I8+'22.6'!I8+'23.6'!I8+'24.6'!I8+'25.6'!I8+'26.6'!I8+'27.6'!I8+'28.6'!I8+'29.6'!I8+'30.6'!I8</f>
        <v>0</v>
      </c>
      <c r="I8" s="13">
        <f>'1.6'!J8+'2.6'!J8+'3.6'!J8+'4.6'!J8+'5.6'!J8+'6.6'!J8+'7.6'!J8+'8.6'!J8+'9.6'!J8+'10.6'!J8+'11.6'!J8+'12.6'!J8+'13.6'!J8+'14.6'!J8+'15.6'!J8+'16.6'!J8+'17.6'!J8+'18.6'!J8+'19.6'!J8+'20.6'!J8+'21.6'!J8+'22.6'!J8+'23.6'!J8+'24.6'!J8+'25.6'!J8+'26.6'!J8+'27.6'!J8+'28.6'!J8+'29.6'!J8+'30.6'!J8</f>
        <v>6</v>
      </c>
      <c r="J8" s="13">
        <f>'1.6'!K8+'2.6'!K8+'3.6'!K8+'4.6'!K8+'5.6'!K8+'6.6'!K8+'7.6'!K8+'8.6'!K8+'9.6'!K8+'10.6'!K8+'11.6'!K8+'12.6'!K8+'13.6'!K8+'14.6'!K8+'15.6'!K8+'16.6'!K8+'17.6'!K8+'18.6'!K8+'19.6'!K8+'20.6'!K8+'21.6'!K8+'22.6'!K8+'23.6'!K8+'24.6'!K8+'25.6'!K8+'26.6'!K8+'27.6'!K8+'28.6'!K8+'29.6'!K8+'30.6'!K8</f>
        <v>0</v>
      </c>
      <c r="K8" s="13">
        <f>'1.6'!L8+'2.6'!L8+'3.6'!L8+'4.6'!L8+'5.6'!L8+'6.6'!L8+'7.6'!L8+'8.6'!L8+'9.6'!L8+'10.6'!L8+'11.6'!L8+'12.6'!L8+'13.6'!L8+'14.6'!L8+'15.6'!L8+'16.6'!L8+'17.6'!L8+'18.6'!L8+'19.6'!L8+'20.6'!L8+'21.6'!L8+'22.6'!L8+'23.6'!L8+'24.6'!L8+'25.6'!L8+'26.6'!L8+'27.6'!L8+'28.6'!L8+'29.6'!L8+'30.6'!L8</f>
        <v>8</v>
      </c>
      <c r="L8" s="13">
        <f>'1.6'!M8+'2.6'!M8+'3.6'!M8+'4.6'!M8+'5.6'!M8+'6.6'!M8+'7.6'!M8+'8.6'!M8+'9.6'!M8+'10.6'!M8+'11.6'!M8+'12.6'!M8+'13.6'!M8+'14.6'!M8+'15.6'!M8+'16.6'!M8+'17.6'!M8+'18.6'!M8+'19.6'!M8+'20.6'!M8+'21.6'!M8+'22.6'!M8+'23.6'!M8+'24.6'!M8+'25.6'!M8+'26.6'!M8+'27.6'!M8+'28.6'!M8+'29.6'!M8+'30.6'!M8</f>
        <v>7.8</v>
      </c>
      <c r="M8" s="13">
        <f>'1.6'!N8+'2.6'!N8+'3.6'!N8+'4.6'!N8+'5.6'!N8+'6.6'!N8+'7.6'!N8+'8.6'!N8+'9.6'!N8+'10.6'!N8+'11.6'!N8+'12.6'!N8+'13.6'!N8+'14.6'!N8+'15.6'!N8+'16.6'!N8+'17.6'!N8+'18.6'!N8+'19.6'!N8+'20.6'!N8+'21.6'!N8+'22.6'!N8+'23.6'!N8+'24.6'!N8+'25.6'!N8+'26.6'!N8+'27.6'!N8+'28.6'!N8+'29.6'!N8+'30.6'!N8</f>
        <v>4.1500000000000004</v>
      </c>
      <c r="N8" s="13">
        <f>'1.6'!O8+'2.6'!O8+'3.6'!O8+'4.6'!O8+'5.6'!O8+'6.6'!O8+'7.6'!O8+'8.6'!O8+'9.6'!O8+'10.6'!O8+'11.6'!O8+'12.6'!O8+'13.6'!O8+'14.6'!O8+'15.6'!O8+'16.6'!O8+'17.6'!O8+'18.6'!O8+'19.6'!O8+'20.6'!O8+'21.6'!O8+'22.6'!O8+'23.6'!O8+'24.6'!O8+'25.6'!O8+'26.6'!O8+'27.6'!O8+'28.6'!O8+'29.6'!O8+'30.6'!O8</f>
        <v>0</v>
      </c>
      <c r="O8" s="13">
        <f>'1.6'!P8+'2.6'!P8+'3.6'!P8+'4.6'!P8+'5.6'!P8+'6.6'!P8+'7.6'!P8+'8.6'!P8+'9.6'!P8+'10.6'!P8+'11.6'!P8+'12.6'!P8+'13.6'!P8+'14.6'!P8+'15.6'!P8+'16.6'!P8+'17.6'!P8+'18.6'!P8+'19.6'!P8+'20.6'!P8+'21.6'!P8+'22.6'!P8+'23.6'!P8+'24.6'!P8+'25.6'!P8+'26.6'!P8+'27.6'!P8+'28.6'!P8+'29.6'!P8+'30.6'!P8</f>
        <v>0</v>
      </c>
      <c r="P8" s="13">
        <f>'1.6'!Q8+'2.6'!Q8+'3.6'!Q8+'4.6'!Q8+'5.6'!Q8+'6.6'!Q8+'7.6'!Q8+'8.6'!Q8+'9.6'!Q8+'10.6'!Q8+'11.6'!Q8+'12.6'!Q8+'13.6'!Q8+'14.6'!Q8+'15.6'!Q8+'16.6'!Q8+'17.6'!Q8+'18.6'!Q8+'19.6'!Q8+'20.6'!Q8+'21.6'!Q8+'22.6'!Q8+'23.6'!Q8+'24.6'!Q8+'25.6'!Q8+'26.6'!Q8+'27.6'!Q8+'28.6'!Q8+'29.6'!Q8+'30.6'!Q8</f>
        <v>5.5</v>
      </c>
      <c r="Q8" s="13">
        <f>'1.6'!R8+'2.6'!R8+'3.6'!R8+'4.6'!R8+'5.6'!R8+'6.6'!R8+'7.6'!R8+'8.6'!R8+'9.6'!R8+'10.6'!R8+'11.6'!R8+'12.6'!R8+'13.6'!R8+'14.6'!R8+'15.6'!R8+'16.6'!R8+'17.6'!R8+'18.6'!R8+'19.6'!R8+'20.6'!R8+'21.6'!R8+'22.6'!R8+'23.6'!R8+'24.6'!R8+'25.6'!R8+'26.6'!R8+'27.6'!R8+'28.6'!R8+'29.6'!R8+'30.6'!R8</f>
        <v>0</v>
      </c>
      <c r="R8" s="13">
        <f>'1.6'!S8+'2.6'!S8+'3.6'!S8+'4.6'!S8+'5.6'!S8+'6.6'!S8+'7.6'!S8+'8.6'!S8+'9.6'!S8+'10.6'!S8+'11.6'!S8+'12.6'!S8+'13.6'!S8+'14.6'!S8+'15.6'!S8+'16.6'!S8+'17.6'!S8+'18.6'!S8+'19.6'!S8+'20.6'!S8+'21.6'!S8+'22.6'!S8+'23.6'!S8+'24.6'!S8+'25.6'!S8+'26.6'!S8+'27.6'!S8+'28.6'!S8+'29.6'!S8+'30.6'!S8</f>
        <v>0</v>
      </c>
    </row>
    <row r="9" spans="1:18" ht="18.75">
      <c r="A9" s="6">
        <v>3</v>
      </c>
      <c r="B9" s="7" t="s">
        <v>14</v>
      </c>
      <c r="C9" s="8" t="s">
        <v>12</v>
      </c>
      <c r="D9" s="13">
        <f t="shared" si="0"/>
        <v>196.4</v>
      </c>
      <c r="E9" s="13">
        <f>'1.6'!F9+'2.6'!F9+'3.6'!F9+'4.6'!F9+'5.6'!F9+'6.6'!F9+'7.6'!F9+'8.6'!F9+'9.6'!F9+'10.6'!F9+'11.6'!F9+'12.6'!F9+'13.6'!F9+'14.6'!F9+'15.6'!F9+'16.6'!F9+'17.6'!F9+'18.6'!F9+'19.6'!F9+'20.6'!F9+'21.6'!F9+'22.6'!F9+'23.6'!F9+'24.6'!F9+'25.6'!F9+'26.6'!F9+'27.6'!F9+'28.6'!F9+'29.6'!F9+'30.6'!F9</f>
        <v>16</v>
      </c>
      <c r="F9" s="13">
        <f>'1.6'!G9+'2.6'!G9+'3.6'!G9+'4.6'!G9+'5.6'!G9+'6.6'!G9+'7.6'!G9+'8.6'!G9+'9.6'!G9+'10.6'!G9+'11.6'!G9+'12.6'!G9+'13.6'!G9+'14.6'!G9+'15.6'!G9+'16.6'!G9+'17.6'!G9+'18.6'!G9+'19.6'!G9+'20.6'!G9+'21.6'!G9+'22.6'!G9+'23.6'!G9+'24.6'!G9+'25.6'!G9+'26.6'!G9+'27.6'!G9+'28.6'!G9+'29.6'!G9+'30.6'!G9</f>
        <v>11.1</v>
      </c>
      <c r="G9" s="13">
        <f>'1.6'!H9+'2.6'!H9+'3.6'!H9+'4.6'!H9+'5.6'!H9+'6.6'!H9+'7.6'!H9+'8.6'!H9+'9.6'!H9+'10.6'!H9+'11.6'!H9+'12.6'!H9+'13.6'!H9+'14.6'!H9+'15.6'!H9+'16.6'!H9+'17.6'!H9+'18.6'!H9+'19.6'!H9+'20.6'!H9+'21.6'!H9+'22.6'!H9+'23.6'!H9+'24.6'!H9+'25.6'!H9+'26.6'!H9+'27.6'!H9+'28.6'!H9+'29.6'!H9+'30.6'!H9</f>
        <v>9.5</v>
      </c>
      <c r="H9" s="13">
        <f>'1.6'!I9+'2.6'!I9+'3.6'!I9+'4.6'!I9+'5.6'!I9+'6.6'!I9+'7.6'!I9+'8.6'!I9+'9.6'!I9+'10.6'!I9+'11.6'!I9+'12.6'!I9+'13.6'!I9+'14.6'!I9+'15.6'!I9+'16.6'!I9+'17.6'!I9+'18.6'!I9+'19.6'!I9+'20.6'!I9+'21.6'!I9+'22.6'!I9+'23.6'!I9+'24.6'!I9+'25.6'!I9+'26.6'!I9+'27.6'!I9+'28.6'!I9+'29.6'!I9+'30.6'!I9</f>
        <v>30</v>
      </c>
      <c r="I9" s="13">
        <f>'1.6'!J9+'2.6'!J9+'3.6'!J9+'4.6'!J9+'5.6'!J9+'6.6'!J9+'7.6'!J9+'8.6'!J9+'9.6'!J9+'10.6'!J9+'11.6'!J9+'12.6'!J9+'13.6'!J9+'14.6'!J9+'15.6'!J9+'16.6'!J9+'17.6'!J9+'18.6'!J9+'19.6'!J9+'20.6'!J9+'21.6'!J9+'22.6'!J9+'23.6'!J9+'24.6'!J9+'25.6'!J9+'26.6'!J9+'27.6'!J9+'28.6'!J9+'29.6'!J9+'30.6'!J9</f>
        <v>9.5</v>
      </c>
      <c r="J9" s="13">
        <f>'1.6'!K9+'2.6'!K9+'3.6'!K9+'4.6'!K9+'5.6'!K9+'6.6'!K9+'7.6'!K9+'8.6'!K9+'9.6'!K9+'10.6'!K9+'11.6'!K9+'12.6'!K9+'13.6'!K9+'14.6'!K9+'15.6'!K9+'16.6'!K9+'17.6'!K9+'18.6'!K9+'19.6'!K9+'20.6'!K9+'21.6'!K9+'22.6'!K9+'23.6'!K9+'24.6'!K9+'25.6'!K9+'26.6'!K9+'27.6'!K9+'28.6'!K9+'29.6'!K9+'30.6'!K9</f>
        <v>22.85</v>
      </c>
      <c r="K9" s="13">
        <f>'1.6'!L9+'2.6'!L9+'3.6'!L9+'4.6'!L9+'5.6'!L9+'6.6'!L9+'7.6'!L9+'8.6'!L9+'9.6'!L9+'10.6'!L9+'11.6'!L9+'12.6'!L9+'13.6'!L9+'14.6'!L9+'15.6'!L9+'16.6'!L9+'17.6'!L9+'18.6'!L9+'19.6'!L9+'20.6'!L9+'21.6'!L9+'22.6'!L9+'23.6'!L9+'24.6'!L9+'25.6'!L9+'26.6'!L9+'27.6'!L9+'28.6'!L9+'29.6'!L9+'30.6'!L9</f>
        <v>18.8</v>
      </c>
      <c r="L9" s="13">
        <f>'1.6'!M9+'2.6'!M9+'3.6'!M9+'4.6'!M9+'5.6'!M9+'6.6'!M9+'7.6'!M9+'8.6'!M9+'9.6'!M9+'10.6'!M9+'11.6'!M9+'12.6'!M9+'13.6'!M9+'14.6'!M9+'15.6'!M9+'16.6'!M9+'17.6'!M9+'18.6'!M9+'19.6'!M9+'20.6'!M9+'21.6'!M9+'22.6'!M9+'23.6'!M9+'24.6'!M9+'25.6'!M9+'26.6'!M9+'27.6'!M9+'28.6'!M9+'29.6'!M9+'30.6'!M9</f>
        <v>19</v>
      </c>
      <c r="M9" s="13">
        <f>'1.6'!N9+'2.6'!N9+'3.6'!N9+'4.6'!N9+'5.6'!N9+'6.6'!N9+'7.6'!N9+'8.6'!N9+'9.6'!N9+'10.6'!N9+'11.6'!N9+'12.6'!N9+'13.6'!N9+'14.6'!N9+'15.6'!N9+'16.6'!N9+'17.6'!N9+'18.6'!N9+'19.6'!N9+'20.6'!N9+'21.6'!N9+'22.6'!N9+'23.6'!N9+'24.6'!N9+'25.6'!N9+'26.6'!N9+'27.6'!N9+'28.6'!N9+'29.6'!N9+'30.6'!N9</f>
        <v>14</v>
      </c>
      <c r="N9" s="13">
        <f>'1.6'!O9+'2.6'!O9+'3.6'!O9+'4.6'!O9+'5.6'!O9+'6.6'!O9+'7.6'!O9+'8.6'!O9+'9.6'!O9+'10.6'!O9+'11.6'!O9+'12.6'!O9+'13.6'!O9+'14.6'!O9+'15.6'!O9+'16.6'!O9+'17.6'!O9+'18.6'!O9+'19.6'!O9+'20.6'!O9+'21.6'!O9+'22.6'!O9+'23.6'!O9+'24.6'!O9+'25.6'!O9+'26.6'!O9+'27.6'!O9+'28.6'!O9+'29.6'!O9+'30.6'!O9</f>
        <v>8</v>
      </c>
      <c r="O9" s="13">
        <f>'1.6'!P9+'2.6'!P9+'3.6'!P9+'4.6'!P9+'5.6'!P9+'6.6'!P9+'7.6'!P9+'8.6'!P9+'9.6'!P9+'10.6'!P9+'11.6'!P9+'12.6'!P9+'13.6'!P9+'14.6'!P9+'15.6'!P9+'16.6'!P9+'17.6'!P9+'18.6'!P9+'19.6'!P9+'20.6'!P9+'21.6'!P9+'22.6'!P9+'23.6'!P9+'24.6'!P9+'25.6'!P9+'26.6'!P9+'27.6'!P9+'28.6'!P9+'29.6'!P9+'30.6'!P9</f>
        <v>23</v>
      </c>
      <c r="P9" s="13">
        <f>'1.6'!Q9+'2.6'!Q9+'3.6'!Q9+'4.6'!Q9+'5.6'!Q9+'6.6'!Q9+'7.6'!Q9+'8.6'!Q9+'9.6'!Q9+'10.6'!Q9+'11.6'!Q9+'12.6'!Q9+'13.6'!Q9+'14.6'!Q9+'15.6'!Q9+'16.6'!Q9+'17.6'!Q9+'18.6'!Q9+'19.6'!Q9+'20.6'!Q9+'21.6'!Q9+'22.6'!Q9+'23.6'!Q9+'24.6'!Q9+'25.6'!Q9+'26.6'!Q9+'27.6'!Q9+'28.6'!Q9+'29.6'!Q9+'30.6'!Q9</f>
        <v>14.65</v>
      </c>
      <c r="Q9" s="13">
        <f>'1.6'!R9+'2.6'!R9+'3.6'!R9+'4.6'!R9+'5.6'!R9+'6.6'!R9+'7.6'!R9+'8.6'!R9+'9.6'!R9+'10.6'!R9+'11.6'!R9+'12.6'!R9+'13.6'!R9+'14.6'!R9+'15.6'!R9+'16.6'!R9+'17.6'!R9+'18.6'!R9+'19.6'!R9+'20.6'!R9+'21.6'!R9+'22.6'!R9+'23.6'!R9+'24.6'!R9+'25.6'!R9+'26.6'!R9+'27.6'!R9+'28.6'!R9+'29.6'!R9+'30.6'!R9</f>
        <v>0</v>
      </c>
      <c r="R9" s="13">
        <f>'1.6'!S9+'2.6'!S9+'3.6'!S9+'4.6'!S9+'5.6'!S9+'6.6'!S9+'7.6'!S9+'8.6'!S9+'9.6'!S9+'10.6'!S9+'11.6'!S9+'12.6'!S9+'13.6'!S9+'14.6'!S9+'15.6'!S9+'16.6'!S9+'17.6'!S9+'18.6'!S9+'19.6'!S9+'20.6'!S9+'21.6'!S9+'22.6'!S9+'23.6'!S9+'24.6'!S9+'25.6'!S9+'26.6'!S9+'27.6'!S9+'28.6'!S9+'29.6'!S9+'30.6'!S9</f>
        <v>8</v>
      </c>
    </row>
    <row r="10" spans="1:18" ht="18.75">
      <c r="A10" s="6">
        <v>4</v>
      </c>
      <c r="B10" s="7" t="s">
        <v>15</v>
      </c>
      <c r="C10" s="8" t="s">
        <v>12</v>
      </c>
      <c r="D10" s="13">
        <f t="shared" si="0"/>
        <v>0</v>
      </c>
      <c r="E10" s="13">
        <f>'1.6'!F10+'2.6'!F10+'3.6'!F10+'4.6'!F10+'5.6'!F10+'6.6'!F10+'7.6'!F10+'8.6'!F10+'9.6'!F10+'10.6'!F10+'11.6'!F10+'12.6'!F10+'13.6'!F10+'14.6'!F10+'15.6'!F10+'16.6'!F10+'17.6'!F10+'18.6'!F10+'19.6'!F10+'20.6'!F10+'21.6'!F10+'22.6'!F10+'23.6'!F10+'24.6'!F10+'25.6'!F10+'26.6'!F10+'27.6'!F10+'28.6'!F10+'29.6'!F10+'30.6'!F10</f>
        <v>0</v>
      </c>
      <c r="F10" s="13">
        <f>'1.6'!G10+'2.6'!G10+'3.6'!G10+'4.6'!G10+'5.6'!G10+'6.6'!G10+'7.6'!G10+'8.6'!G10+'9.6'!G10+'10.6'!G10+'11.6'!G10+'12.6'!G10+'13.6'!G10+'14.6'!G10+'15.6'!G10+'16.6'!G10+'17.6'!G10+'18.6'!G10+'19.6'!G10+'20.6'!G10+'21.6'!G10+'22.6'!G10+'23.6'!G10+'24.6'!G10+'25.6'!G10+'26.6'!G10+'27.6'!G10+'28.6'!G10+'29.6'!G10+'30.6'!G10</f>
        <v>0</v>
      </c>
      <c r="G10" s="13">
        <f>'1.6'!H10+'2.6'!H10+'3.6'!H10+'4.6'!H10+'5.6'!H10+'6.6'!H10+'7.6'!H10+'8.6'!H10+'9.6'!H10+'10.6'!H10+'11.6'!H10+'12.6'!H10+'13.6'!H10+'14.6'!H10+'15.6'!H10+'16.6'!H10+'17.6'!H10+'18.6'!H10+'19.6'!H10+'20.6'!H10+'21.6'!H10+'22.6'!H10+'23.6'!H10+'24.6'!H10+'25.6'!H10+'26.6'!H10+'27.6'!H10+'28.6'!H10+'29.6'!H10+'30.6'!H10</f>
        <v>0</v>
      </c>
      <c r="H10" s="13">
        <f>'1.6'!I10+'2.6'!I10+'3.6'!I10+'4.6'!I10+'5.6'!I10+'6.6'!I10+'7.6'!I10+'8.6'!I10+'9.6'!I10+'10.6'!I10+'11.6'!I10+'12.6'!I10+'13.6'!I10+'14.6'!I10+'15.6'!I10+'16.6'!I10+'17.6'!I10+'18.6'!I10+'19.6'!I10+'20.6'!I10+'21.6'!I10+'22.6'!I10+'23.6'!I10+'24.6'!I10+'25.6'!I10+'26.6'!I10+'27.6'!I10+'28.6'!I10+'29.6'!I10+'30.6'!I10</f>
        <v>0</v>
      </c>
      <c r="I10" s="13">
        <f>'1.6'!J10+'2.6'!J10+'3.6'!J10+'4.6'!J10+'5.6'!J10+'6.6'!J10+'7.6'!J10+'8.6'!J10+'9.6'!J10+'10.6'!J10+'11.6'!J10+'12.6'!J10+'13.6'!J10+'14.6'!J10+'15.6'!J10+'16.6'!J10+'17.6'!J10+'18.6'!J10+'19.6'!J10+'20.6'!J10+'21.6'!J10+'22.6'!J10+'23.6'!J10+'24.6'!J10+'25.6'!J10+'26.6'!J10+'27.6'!J10+'28.6'!J10+'29.6'!J10+'30.6'!J10</f>
        <v>0</v>
      </c>
      <c r="J10" s="13">
        <f>'1.6'!K10+'2.6'!K10+'3.6'!K10+'4.6'!K10+'5.6'!K10+'6.6'!K10+'7.6'!K10+'8.6'!K10+'9.6'!K10+'10.6'!K10+'11.6'!K10+'12.6'!K10+'13.6'!K10+'14.6'!K10+'15.6'!K10+'16.6'!K10+'17.6'!K10+'18.6'!K10+'19.6'!K10+'20.6'!K10+'21.6'!K10+'22.6'!K10+'23.6'!K10+'24.6'!K10+'25.6'!K10+'26.6'!K10+'27.6'!K10+'28.6'!K10+'29.6'!K10+'30.6'!K10</f>
        <v>0</v>
      </c>
      <c r="K10" s="13">
        <f>'1.6'!L10+'2.6'!L10+'3.6'!L10+'4.6'!L10+'5.6'!L10+'6.6'!L10+'7.6'!L10+'8.6'!L10+'9.6'!L10+'10.6'!L10+'11.6'!L10+'12.6'!L10+'13.6'!L10+'14.6'!L10+'15.6'!L10+'16.6'!L10+'17.6'!L10+'18.6'!L10+'19.6'!L10+'20.6'!L10+'21.6'!L10+'22.6'!L10+'23.6'!L10+'24.6'!L10+'25.6'!L10+'26.6'!L10+'27.6'!L10+'28.6'!L10+'29.6'!L10+'30.6'!L10</f>
        <v>0</v>
      </c>
      <c r="L10" s="13">
        <f>'1.6'!M10+'2.6'!M10+'3.6'!M10+'4.6'!M10+'5.6'!M10+'6.6'!M10+'7.6'!M10+'8.6'!M10+'9.6'!M10+'10.6'!M10+'11.6'!M10+'12.6'!M10+'13.6'!M10+'14.6'!M10+'15.6'!M10+'16.6'!M10+'17.6'!M10+'18.6'!M10+'19.6'!M10+'20.6'!M10+'21.6'!M10+'22.6'!M10+'23.6'!M10+'24.6'!M10+'25.6'!M10+'26.6'!M10+'27.6'!M10+'28.6'!M10+'29.6'!M10+'30.6'!M10</f>
        <v>0</v>
      </c>
      <c r="M10" s="13">
        <f>'1.6'!N10+'2.6'!N10+'3.6'!N10+'4.6'!N10+'5.6'!N10+'6.6'!N10+'7.6'!N10+'8.6'!N10+'9.6'!N10+'10.6'!N10+'11.6'!N10+'12.6'!N10+'13.6'!N10+'14.6'!N10+'15.6'!N10+'16.6'!N10+'17.6'!N10+'18.6'!N10+'19.6'!N10+'20.6'!N10+'21.6'!N10+'22.6'!N10+'23.6'!N10+'24.6'!N10+'25.6'!N10+'26.6'!N10+'27.6'!N10+'28.6'!N10+'29.6'!N10+'30.6'!N10</f>
        <v>0</v>
      </c>
      <c r="N10" s="13">
        <f>'1.6'!O10+'2.6'!O10+'3.6'!O10+'4.6'!O10+'5.6'!O10+'6.6'!O10+'7.6'!O10+'8.6'!O10+'9.6'!O10+'10.6'!O10+'11.6'!O10+'12.6'!O10+'13.6'!O10+'14.6'!O10+'15.6'!O10+'16.6'!O10+'17.6'!O10+'18.6'!O10+'19.6'!O10+'20.6'!O10+'21.6'!O10+'22.6'!O10+'23.6'!O10+'24.6'!O10+'25.6'!O10+'26.6'!O10+'27.6'!O10+'28.6'!O10+'29.6'!O10+'30.6'!O10</f>
        <v>0</v>
      </c>
      <c r="O10" s="13">
        <f>'1.6'!P10+'2.6'!P10+'3.6'!P10+'4.6'!P10+'5.6'!P10+'6.6'!P10+'7.6'!P10+'8.6'!P10+'9.6'!P10+'10.6'!P10+'11.6'!P10+'12.6'!P10+'13.6'!P10+'14.6'!P10+'15.6'!P10+'16.6'!P10+'17.6'!P10+'18.6'!P10+'19.6'!P10+'20.6'!P10+'21.6'!P10+'22.6'!P10+'23.6'!P10+'24.6'!P10+'25.6'!P10+'26.6'!P10+'27.6'!P10+'28.6'!P10+'29.6'!P10+'30.6'!P10</f>
        <v>0</v>
      </c>
      <c r="P10" s="13">
        <f>'1.6'!Q10+'2.6'!Q10+'3.6'!Q10+'4.6'!Q10+'5.6'!Q10+'6.6'!Q10+'7.6'!Q10+'8.6'!Q10+'9.6'!Q10+'10.6'!Q10+'11.6'!Q10+'12.6'!Q10+'13.6'!Q10+'14.6'!Q10+'15.6'!Q10+'16.6'!Q10+'17.6'!Q10+'18.6'!Q10+'19.6'!Q10+'20.6'!Q10+'21.6'!Q10+'22.6'!Q10+'23.6'!Q10+'24.6'!Q10+'25.6'!Q10+'26.6'!Q10+'27.6'!Q10+'28.6'!Q10+'29.6'!Q10+'30.6'!Q10</f>
        <v>0</v>
      </c>
      <c r="Q10" s="13">
        <f>'1.6'!R10+'2.6'!R10+'3.6'!R10+'4.6'!R10+'5.6'!R10+'6.6'!R10+'7.6'!R10+'8.6'!R10+'9.6'!R10+'10.6'!R10+'11.6'!R10+'12.6'!R10+'13.6'!R10+'14.6'!R10+'15.6'!R10+'16.6'!R10+'17.6'!R10+'18.6'!R10+'19.6'!R10+'20.6'!R10+'21.6'!R10+'22.6'!R10+'23.6'!R10+'24.6'!R10+'25.6'!R10+'26.6'!R10+'27.6'!R10+'28.6'!R10+'29.6'!R10+'30.6'!R10</f>
        <v>0</v>
      </c>
      <c r="R10" s="13">
        <f>'1.6'!S10+'2.6'!S10+'3.6'!S10+'4.6'!S10+'5.6'!S10+'6.6'!S10+'7.6'!S10+'8.6'!S10+'9.6'!S10+'10.6'!S10+'11.6'!S10+'12.6'!S10+'13.6'!S10+'14.6'!S10+'15.6'!S10+'16.6'!S10+'17.6'!S10+'18.6'!S10+'19.6'!S10+'20.6'!S10+'21.6'!S10+'22.6'!S10+'23.6'!S10+'24.6'!S10+'25.6'!S10+'26.6'!S10+'27.6'!S10+'28.6'!S10+'29.6'!S10+'30.6'!S10</f>
        <v>0</v>
      </c>
    </row>
    <row r="11" spans="1:18" ht="18.75">
      <c r="A11" s="6">
        <v>5</v>
      </c>
      <c r="B11" s="7" t="s">
        <v>16</v>
      </c>
      <c r="C11" s="8" t="s">
        <v>12</v>
      </c>
      <c r="D11" s="13">
        <f t="shared" si="0"/>
        <v>298.25</v>
      </c>
      <c r="E11" s="13">
        <f>'1.6'!F11+'2.6'!F11+'3.6'!F11+'4.6'!F11+'5.6'!F11+'6.6'!F11+'7.6'!F11+'8.6'!F11+'9.6'!F11+'10.6'!F11+'11.6'!F11+'12.6'!F11+'13.6'!F11+'14.6'!F11+'15.6'!F11+'16.6'!F11+'17.6'!F11+'18.6'!F11+'19.6'!F11+'20.6'!F11+'21.6'!F11+'22.6'!F11+'23.6'!F11+'24.6'!F11+'25.6'!F11+'26.6'!F11+'27.6'!F11+'28.6'!F11+'29.6'!F11+'30.6'!F11</f>
        <v>35.35</v>
      </c>
      <c r="F11" s="13">
        <f>'1.6'!G11+'2.6'!G11+'3.6'!G11+'4.6'!G11+'5.6'!G11+'6.6'!G11+'7.6'!G11+'8.6'!G11+'9.6'!G11+'10.6'!G11+'11.6'!G11+'12.6'!G11+'13.6'!G11+'14.6'!G11+'15.6'!G11+'16.6'!G11+'17.6'!G11+'18.6'!G11+'19.6'!G11+'20.6'!G11+'21.6'!G11+'22.6'!G11+'23.6'!G11+'24.6'!G11+'25.6'!G11+'26.6'!G11+'27.6'!G11+'28.6'!G11+'29.6'!G11+'30.6'!G11</f>
        <v>14</v>
      </c>
      <c r="G11" s="13">
        <f>'1.6'!H11+'2.6'!H11+'3.6'!H11+'4.6'!H11+'5.6'!H11+'6.6'!H11+'7.6'!H11+'8.6'!H11+'9.6'!H11+'10.6'!H11+'11.6'!H11+'12.6'!H11+'13.6'!H11+'14.6'!H11+'15.6'!H11+'16.6'!H11+'17.6'!H11+'18.6'!H11+'19.6'!H11+'20.6'!H11+'21.6'!H11+'22.6'!H11+'23.6'!H11+'24.6'!H11+'25.6'!H11+'26.6'!H11+'27.6'!H11+'28.6'!H11+'29.6'!H11+'30.6'!H11</f>
        <v>14</v>
      </c>
      <c r="H11" s="13">
        <f>'1.6'!I11+'2.6'!I11+'3.6'!I11+'4.6'!I11+'5.6'!I11+'6.6'!I11+'7.6'!I11+'8.6'!I11+'9.6'!I11+'10.6'!I11+'11.6'!I11+'12.6'!I11+'13.6'!I11+'14.6'!I11+'15.6'!I11+'16.6'!I11+'17.6'!I11+'18.6'!I11+'19.6'!I11+'20.6'!I11+'21.6'!I11+'22.6'!I11+'23.6'!I11+'24.6'!I11+'25.6'!I11+'26.6'!I11+'27.6'!I11+'28.6'!I11+'29.6'!I11+'30.6'!I11</f>
        <v>39</v>
      </c>
      <c r="I11" s="13">
        <f>'1.6'!J11+'2.6'!J11+'3.6'!J11+'4.6'!J11+'5.6'!J11+'6.6'!J11+'7.6'!J11+'8.6'!J11+'9.6'!J11+'10.6'!J11+'11.6'!J11+'12.6'!J11+'13.6'!J11+'14.6'!J11+'15.6'!J11+'16.6'!J11+'17.6'!J11+'18.6'!J11+'19.6'!J11+'20.6'!J11+'21.6'!J11+'22.6'!J11+'23.6'!J11+'24.6'!J11+'25.6'!J11+'26.6'!J11+'27.6'!J11+'28.6'!J11+'29.6'!J11+'30.6'!J11</f>
        <v>14</v>
      </c>
      <c r="J11" s="13">
        <f>'1.6'!K11+'2.6'!K11+'3.6'!K11+'4.6'!K11+'5.6'!K11+'6.6'!K11+'7.6'!K11+'8.6'!K11+'9.6'!K11+'10.6'!K11+'11.6'!K11+'12.6'!K11+'13.6'!K11+'14.6'!K11+'15.6'!K11+'16.6'!K11+'17.6'!K11+'18.6'!K11+'19.6'!K11+'20.6'!K11+'21.6'!K11+'22.6'!K11+'23.6'!K11+'24.6'!K11+'25.6'!K11+'26.6'!K11+'27.6'!K11+'28.6'!K11+'29.6'!K11+'30.6'!K11</f>
        <v>11</v>
      </c>
      <c r="K11" s="13">
        <f>'1.6'!L11+'2.6'!L11+'3.6'!L11+'4.6'!L11+'5.6'!L11+'6.6'!L11+'7.6'!L11+'8.6'!L11+'9.6'!L11+'10.6'!L11+'11.6'!L11+'12.6'!L11+'13.6'!L11+'14.6'!L11+'15.6'!L11+'16.6'!L11+'17.6'!L11+'18.6'!L11+'19.6'!L11+'20.6'!L11+'21.6'!L11+'22.6'!L11+'23.6'!L11+'24.6'!L11+'25.6'!L11+'26.6'!L11+'27.6'!L11+'28.6'!L11+'29.6'!L11+'30.6'!L11</f>
        <v>30.7</v>
      </c>
      <c r="L11" s="13">
        <f>'1.6'!M11+'2.6'!M11+'3.6'!M11+'4.6'!M11+'5.6'!M11+'6.6'!M11+'7.6'!M11+'8.6'!M11+'9.6'!M11+'10.6'!M11+'11.6'!M11+'12.6'!M11+'13.6'!M11+'14.6'!M11+'15.6'!M11+'16.6'!M11+'17.6'!M11+'18.6'!M11+'19.6'!M11+'20.6'!M11+'21.6'!M11+'22.6'!M11+'23.6'!M11+'24.6'!M11+'25.6'!M11+'26.6'!M11+'27.6'!M11+'28.6'!M11+'29.6'!M11+'30.6'!M11</f>
        <v>24.7</v>
      </c>
      <c r="M11" s="13">
        <f>'1.6'!N11+'2.6'!N11+'3.6'!N11+'4.6'!N11+'5.6'!N11+'6.6'!N11+'7.6'!N11+'8.6'!N11+'9.6'!N11+'10.6'!N11+'11.6'!N11+'12.6'!N11+'13.6'!N11+'14.6'!N11+'15.6'!N11+'16.6'!N11+'17.6'!N11+'18.6'!N11+'19.6'!N11+'20.6'!N11+'21.6'!N11+'22.6'!N11+'23.6'!N11+'24.6'!N11+'25.6'!N11+'26.6'!N11+'27.6'!N11+'28.6'!N11+'29.6'!N11+'30.6'!N11</f>
        <v>11</v>
      </c>
      <c r="N11" s="13">
        <f>'1.6'!O11+'2.6'!O11+'3.6'!O11+'4.6'!O11+'5.6'!O11+'6.6'!O11+'7.6'!O11+'8.6'!O11+'9.6'!O11+'10.6'!O11+'11.6'!O11+'12.6'!O11+'13.6'!O11+'14.6'!O11+'15.6'!O11+'16.6'!O11+'17.6'!O11+'18.6'!O11+'19.6'!O11+'20.6'!O11+'21.6'!O11+'22.6'!O11+'23.6'!O11+'24.6'!O11+'25.6'!O11+'26.6'!O11+'27.6'!O11+'28.6'!O11+'29.6'!O11+'30.6'!O11</f>
        <v>60</v>
      </c>
      <c r="O11" s="13">
        <f>'1.6'!P11+'2.6'!P11+'3.6'!P11+'4.6'!P11+'5.6'!P11+'6.6'!P11+'7.6'!P11+'8.6'!P11+'9.6'!P11+'10.6'!P11+'11.6'!P11+'12.6'!P11+'13.6'!P11+'14.6'!P11+'15.6'!P11+'16.6'!P11+'17.6'!P11+'18.6'!P11+'19.6'!P11+'20.6'!P11+'21.6'!P11+'22.6'!P11+'23.6'!P11+'24.6'!P11+'25.6'!P11+'26.6'!P11+'27.6'!P11+'28.6'!P11+'29.6'!P11+'30.6'!P11</f>
        <v>22.5</v>
      </c>
      <c r="P11" s="13">
        <f>'1.6'!Q11+'2.6'!Q11+'3.6'!Q11+'4.6'!Q11+'5.6'!Q11+'6.6'!Q11+'7.6'!Q11+'8.6'!Q11+'9.6'!Q11+'10.6'!Q11+'11.6'!Q11+'12.6'!Q11+'13.6'!Q11+'14.6'!Q11+'15.6'!Q11+'16.6'!Q11+'17.6'!Q11+'18.6'!Q11+'19.6'!Q11+'20.6'!Q11+'21.6'!Q11+'22.6'!Q11+'23.6'!Q11+'24.6'!Q11+'25.6'!Q11+'26.6'!Q11+'27.6'!Q11+'28.6'!Q11+'29.6'!Q11+'30.6'!Q11</f>
        <v>22</v>
      </c>
      <c r="Q11" s="13">
        <f>'1.6'!R11+'2.6'!R11+'3.6'!R11+'4.6'!R11+'5.6'!R11+'6.6'!R11+'7.6'!R11+'8.6'!R11+'9.6'!R11+'10.6'!R11+'11.6'!R11+'12.6'!R11+'13.6'!R11+'14.6'!R11+'15.6'!R11+'16.6'!R11+'17.6'!R11+'18.6'!R11+'19.6'!R11+'20.6'!R11+'21.6'!R11+'22.6'!R11+'23.6'!R11+'24.6'!R11+'25.6'!R11+'26.6'!R11+'27.6'!R11+'28.6'!R11+'29.6'!R11+'30.6'!R11</f>
        <v>0</v>
      </c>
      <c r="R11" s="13">
        <f>'1.6'!S11+'2.6'!S11+'3.6'!S11+'4.6'!S11+'5.6'!S11+'6.6'!S11+'7.6'!S11+'8.6'!S11+'9.6'!S11+'10.6'!S11+'11.6'!S11+'12.6'!S11+'13.6'!S11+'14.6'!S11+'15.6'!S11+'16.6'!S11+'17.6'!S11+'18.6'!S11+'19.6'!S11+'20.6'!S11+'21.6'!S11+'22.6'!S11+'23.6'!S11+'24.6'!S11+'25.6'!S11+'26.6'!S11+'27.6'!S11+'28.6'!S11+'29.6'!S11+'30.6'!S11</f>
        <v>14</v>
      </c>
    </row>
    <row r="12" spans="1:18" ht="18.75">
      <c r="A12" s="6">
        <v>6</v>
      </c>
      <c r="B12" s="7" t="s">
        <v>67</v>
      </c>
      <c r="C12" s="8" t="s">
        <v>12</v>
      </c>
      <c r="D12" s="13">
        <f t="shared" si="0"/>
        <v>29</v>
      </c>
      <c r="E12" s="13">
        <f>'1.6'!F12+'2.6'!F12+'3.6'!F12+'4.6'!F12+'5.6'!F12+'6.6'!F12+'7.6'!F12+'8.6'!F12+'9.6'!F12+'10.6'!F12+'11.6'!F12+'12.6'!F12+'13.6'!F12+'14.6'!F12+'15.6'!F12+'16.6'!F12+'17.6'!F12+'18.6'!F12+'19.6'!F12+'20.6'!F12+'21.6'!F12+'22.6'!F12+'23.6'!F12+'24.6'!F12+'25.6'!F12+'26.6'!F12+'27.6'!F12+'28.6'!F12+'29.6'!F12+'30.6'!F12</f>
        <v>0</v>
      </c>
      <c r="F12" s="13">
        <f>'1.6'!G12+'2.6'!G12+'3.6'!G12+'4.6'!G12+'5.6'!G12+'6.6'!G12+'7.6'!G12+'8.6'!G12+'9.6'!G12+'10.6'!G12+'11.6'!G12+'12.6'!G12+'13.6'!G12+'14.6'!G12+'15.6'!G12+'16.6'!G12+'17.6'!G12+'18.6'!G12+'19.6'!G12+'20.6'!G12+'21.6'!G12+'22.6'!G12+'23.6'!G12+'24.6'!G12+'25.6'!G12+'26.6'!G12+'27.6'!G12+'28.6'!G12+'29.6'!G12+'30.6'!G12</f>
        <v>0</v>
      </c>
      <c r="G12" s="13">
        <f>'1.6'!H12+'2.6'!H12+'3.6'!H12+'4.6'!H12+'5.6'!H12+'6.6'!H12+'7.6'!H12+'8.6'!H12+'9.6'!H12+'10.6'!H12+'11.6'!H12+'12.6'!H12+'13.6'!H12+'14.6'!H12+'15.6'!H12+'16.6'!H12+'17.6'!H12+'18.6'!H12+'19.6'!H12+'20.6'!H12+'21.6'!H12+'22.6'!H12+'23.6'!H12+'24.6'!H12+'25.6'!H12+'26.6'!H12+'27.6'!H12+'28.6'!H12+'29.6'!H12+'30.6'!H12</f>
        <v>0</v>
      </c>
      <c r="H12" s="13">
        <f>'1.6'!I12+'2.6'!I12+'3.6'!I12+'4.6'!I12+'5.6'!I12+'6.6'!I12+'7.6'!I12+'8.6'!I12+'9.6'!I12+'10.6'!I12+'11.6'!I12+'12.6'!I12+'13.6'!I12+'14.6'!I12+'15.6'!I12+'16.6'!I12+'17.6'!I12+'18.6'!I12+'19.6'!I12+'20.6'!I12+'21.6'!I12+'22.6'!I12+'23.6'!I12+'24.6'!I12+'25.6'!I12+'26.6'!I12+'27.6'!I12+'28.6'!I12+'29.6'!I12+'30.6'!I12</f>
        <v>0</v>
      </c>
      <c r="I12" s="13">
        <f>'1.6'!J12+'2.6'!J12+'3.6'!J12+'4.6'!J12+'5.6'!J12+'6.6'!J12+'7.6'!J12+'8.6'!J12+'9.6'!J12+'10.6'!J12+'11.6'!J12+'12.6'!J12+'13.6'!J12+'14.6'!J12+'15.6'!J12+'16.6'!J12+'17.6'!J12+'18.6'!J12+'19.6'!J12+'20.6'!J12+'21.6'!J12+'22.6'!J12+'23.6'!J12+'24.6'!J12+'25.6'!J12+'26.6'!J12+'27.6'!J12+'28.6'!J12+'29.6'!J12+'30.6'!J12</f>
        <v>4.5</v>
      </c>
      <c r="J12" s="13">
        <f>'1.6'!K12+'2.6'!K12+'3.6'!K12+'4.6'!K12+'5.6'!K12+'6.6'!K12+'7.6'!K12+'8.6'!K12+'9.6'!K12+'10.6'!K12+'11.6'!K12+'12.6'!K12+'13.6'!K12+'14.6'!K12+'15.6'!K12+'16.6'!K12+'17.6'!K12+'18.6'!K12+'19.6'!K12+'20.6'!K12+'21.6'!K12+'22.6'!K12+'23.6'!K12+'24.6'!K12+'25.6'!K12+'26.6'!K12+'27.6'!K12+'28.6'!K12+'29.6'!K12+'30.6'!K12</f>
        <v>5</v>
      </c>
      <c r="K12" s="13">
        <f>'1.6'!L12+'2.6'!L12+'3.6'!L12+'4.6'!L12+'5.6'!L12+'6.6'!L12+'7.6'!L12+'8.6'!L12+'9.6'!L12+'10.6'!L12+'11.6'!L12+'12.6'!L12+'13.6'!L12+'14.6'!L12+'15.6'!L12+'16.6'!L12+'17.6'!L12+'18.6'!L12+'19.6'!L12+'20.6'!L12+'21.6'!L12+'22.6'!L12+'23.6'!L12+'24.6'!L12+'25.6'!L12+'26.6'!L12+'27.6'!L12+'28.6'!L12+'29.6'!L12+'30.6'!L12</f>
        <v>8</v>
      </c>
      <c r="L12" s="13">
        <f>'1.6'!M12+'2.6'!M12+'3.6'!M12+'4.6'!M12+'5.6'!M12+'6.6'!M12+'7.6'!M12+'8.6'!M12+'9.6'!M12+'10.6'!M12+'11.6'!M12+'12.6'!M12+'13.6'!M12+'14.6'!M12+'15.6'!M12+'16.6'!M12+'17.6'!M12+'18.6'!M12+'19.6'!M12+'20.6'!M12+'21.6'!M12+'22.6'!M12+'23.6'!M12+'24.6'!M12+'25.6'!M12+'26.6'!M12+'27.6'!M12+'28.6'!M12+'29.6'!M12+'30.6'!M12</f>
        <v>0</v>
      </c>
      <c r="M12" s="13">
        <f>'1.6'!N12+'2.6'!N12+'3.6'!N12+'4.6'!N12+'5.6'!N12+'6.6'!N12+'7.6'!N12+'8.6'!N12+'9.6'!N12+'10.6'!N12+'11.6'!N12+'12.6'!N12+'13.6'!N12+'14.6'!N12+'15.6'!N12+'16.6'!N12+'17.6'!N12+'18.6'!N12+'19.6'!N12+'20.6'!N12+'21.6'!N12+'22.6'!N12+'23.6'!N12+'24.6'!N12+'25.6'!N12+'26.6'!N12+'27.6'!N12+'28.6'!N12+'29.6'!N12+'30.6'!N12</f>
        <v>4</v>
      </c>
      <c r="N12" s="13">
        <f>'1.6'!O12+'2.6'!O12+'3.6'!O12+'4.6'!O12+'5.6'!O12+'6.6'!O12+'7.6'!O12+'8.6'!O12+'9.6'!O12+'10.6'!O12+'11.6'!O12+'12.6'!O12+'13.6'!O12+'14.6'!O12+'15.6'!O12+'16.6'!O12+'17.6'!O12+'18.6'!O12+'19.6'!O12+'20.6'!O12+'21.6'!O12+'22.6'!O12+'23.6'!O12+'24.6'!O12+'25.6'!O12+'26.6'!O12+'27.6'!O12+'28.6'!O12+'29.6'!O12+'30.6'!O12</f>
        <v>1.5</v>
      </c>
      <c r="O12" s="13">
        <f>'1.6'!P12+'2.6'!P12+'3.6'!P12+'4.6'!P12+'5.6'!P12+'6.6'!P12+'7.6'!P12+'8.6'!P12+'9.6'!P12+'10.6'!P12+'11.6'!P12+'12.6'!P12+'13.6'!P12+'14.6'!P12+'15.6'!P12+'16.6'!P12+'17.6'!P12+'18.6'!P12+'19.6'!P12+'20.6'!P12+'21.6'!P12+'22.6'!P12+'23.6'!P12+'24.6'!P12+'25.6'!P12+'26.6'!P12+'27.6'!P12+'28.6'!P12+'29.6'!P12+'30.6'!P12</f>
        <v>0</v>
      </c>
      <c r="P12" s="13">
        <f>'1.6'!Q12+'2.6'!Q12+'3.6'!Q12+'4.6'!Q12+'5.6'!Q12+'6.6'!Q12+'7.6'!Q12+'8.6'!Q12+'9.6'!Q12+'10.6'!Q12+'11.6'!Q12+'12.6'!Q12+'13.6'!Q12+'14.6'!Q12+'15.6'!Q12+'16.6'!Q12+'17.6'!Q12+'18.6'!Q12+'19.6'!Q12+'20.6'!Q12+'21.6'!Q12+'22.6'!Q12+'23.6'!Q12+'24.6'!Q12+'25.6'!Q12+'26.6'!Q12+'27.6'!Q12+'28.6'!Q12+'29.6'!Q12+'30.6'!Q12</f>
        <v>6</v>
      </c>
      <c r="Q12" s="13">
        <f>'1.6'!R12+'2.6'!R12+'3.6'!R12+'4.6'!R12+'5.6'!R12+'6.6'!R12+'7.6'!R12+'8.6'!R12+'9.6'!R12+'10.6'!R12+'11.6'!R12+'12.6'!R12+'13.6'!R12+'14.6'!R12+'15.6'!R12+'16.6'!R12+'17.6'!R12+'18.6'!R12+'19.6'!R12+'20.6'!R12+'21.6'!R12+'22.6'!R12+'23.6'!R12+'24.6'!R12+'25.6'!R12+'26.6'!R12+'27.6'!R12+'28.6'!R12+'29.6'!R12+'30.6'!R12</f>
        <v>0</v>
      </c>
      <c r="R12" s="13">
        <f>'1.6'!S12+'2.6'!S12+'3.6'!S12+'4.6'!S12+'5.6'!S12+'6.6'!S12+'7.6'!S12+'8.6'!S12+'9.6'!S12+'10.6'!S12+'11.6'!S12+'12.6'!S12+'13.6'!S12+'14.6'!S12+'15.6'!S12+'16.6'!S12+'17.6'!S12+'18.6'!S12+'19.6'!S12+'20.6'!S12+'21.6'!S12+'22.6'!S12+'23.6'!S12+'24.6'!S12+'25.6'!S12+'26.6'!S12+'27.6'!S12+'28.6'!S12+'29.6'!S12+'30.6'!S12</f>
        <v>0</v>
      </c>
    </row>
    <row r="13" spans="1:18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13">
        <f>'1.6'!F13+'2.6'!F13+'3.6'!F13+'4.6'!F13+'5.6'!F13+'6.6'!F13+'7.6'!F13+'8.6'!F13+'9.6'!F13+'10.6'!F13+'11.6'!F13+'12.6'!F13+'13.6'!F13+'14.6'!F13+'15.6'!F13+'16.6'!F13+'17.6'!F13+'18.6'!F13+'19.6'!F13+'20.6'!F13+'21.6'!F13+'22.6'!F13+'23.6'!F13+'24.6'!F13+'25.6'!F13+'26.6'!F13+'27.6'!F13+'28.6'!F13+'29.6'!F13+'30.6'!F13</f>
        <v>0</v>
      </c>
      <c r="F13" s="13">
        <f>'1.6'!G13+'2.6'!G13+'3.6'!G13+'4.6'!G13+'5.6'!G13+'6.6'!G13+'7.6'!G13+'8.6'!G13+'9.6'!G13+'10.6'!G13+'11.6'!G13+'12.6'!G13+'13.6'!G13+'14.6'!G13+'15.6'!G13+'16.6'!G13+'17.6'!G13+'18.6'!G13+'19.6'!G13+'20.6'!G13+'21.6'!G13+'22.6'!G13+'23.6'!G13+'24.6'!G13+'25.6'!G13+'26.6'!G13+'27.6'!G13+'28.6'!G13+'29.6'!G13+'30.6'!G13</f>
        <v>0</v>
      </c>
      <c r="G13" s="13">
        <f>'1.6'!H13+'2.6'!H13+'3.6'!H13+'4.6'!H13+'5.6'!H13+'6.6'!H13+'7.6'!H13+'8.6'!H13+'9.6'!H13+'10.6'!H13+'11.6'!H13+'12.6'!H13+'13.6'!H13+'14.6'!H13+'15.6'!H13+'16.6'!H13+'17.6'!H13+'18.6'!H13+'19.6'!H13+'20.6'!H13+'21.6'!H13+'22.6'!H13+'23.6'!H13+'24.6'!H13+'25.6'!H13+'26.6'!H13+'27.6'!H13+'28.6'!H13+'29.6'!H13+'30.6'!H13</f>
        <v>0</v>
      </c>
      <c r="H13" s="13">
        <f>'1.6'!I13+'2.6'!I13+'3.6'!I13+'4.6'!I13+'5.6'!I13+'6.6'!I13+'7.6'!I13+'8.6'!I13+'9.6'!I13+'10.6'!I13+'11.6'!I13+'12.6'!I13+'13.6'!I13+'14.6'!I13+'15.6'!I13+'16.6'!I13+'17.6'!I13+'18.6'!I13+'19.6'!I13+'20.6'!I13+'21.6'!I13+'22.6'!I13+'23.6'!I13+'24.6'!I13+'25.6'!I13+'26.6'!I13+'27.6'!I13+'28.6'!I13+'29.6'!I13+'30.6'!I13</f>
        <v>0</v>
      </c>
      <c r="I13" s="13">
        <f>'1.6'!J13+'2.6'!J13+'3.6'!J13+'4.6'!J13+'5.6'!J13+'6.6'!J13+'7.6'!J13+'8.6'!J13+'9.6'!J13+'10.6'!J13+'11.6'!J13+'12.6'!J13+'13.6'!J13+'14.6'!J13+'15.6'!J13+'16.6'!J13+'17.6'!J13+'18.6'!J13+'19.6'!J13+'20.6'!J13+'21.6'!J13+'22.6'!J13+'23.6'!J13+'24.6'!J13+'25.6'!J13+'26.6'!J13+'27.6'!J13+'28.6'!J13+'29.6'!J13+'30.6'!J13</f>
        <v>0</v>
      </c>
      <c r="J13" s="13">
        <f>'1.6'!K13+'2.6'!K13+'3.6'!K13+'4.6'!K13+'5.6'!K13+'6.6'!K13+'7.6'!K13+'8.6'!K13+'9.6'!K13+'10.6'!K13+'11.6'!K13+'12.6'!K13+'13.6'!K13+'14.6'!K13+'15.6'!K13+'16.6'!K13+'17.6'!K13+'18.6'!K13+'19.6'!K13+'20.6'!K13+'21.6'!K13+'22.6'!K13+'23.6'!K13+'24.6'!K13+'25.6'!K13+'26.6'!K13+'27.6'!K13+'28.6'!K13+'29.6'!K13+'30.6'!K13</f>
        <v>0</v>
      </c>
      <c r="K13" s="13">
        <f>'1.6'!L13+'2.6'!L13+'3.6'!L13+'4.6'!L13+'5.6'!L13+'6.6'!L13+'7.6'!L13+'8.6'!L13+'9.6'!L13+'10.6'!L13+'11.6'!L13+'12.6'!L13+'13.6'!L13+'14.6'!L13+'15.6'!L13+'16.6'!L13+'17.6'!L13+'18.6'!L13+'19.6'!L13+'20.6'!L13+'21.6'!L13+'22.6'!L13+'23.6'!L13+'24.6'!L13+'25.6'!L13+'26.6'!L13+'27.6'!L13+'28.6'!L13+'29.6'!L13+'30.6'!L13</f>
        <v>0</v>
      </c>
      <c r="L13" s="13">
        <f>'1.6'!M13+'2.6'!M13+'3.6'!M13+'4.6'!M13+'5.6'!M13+'6.6'!M13+'7.6'!M13+'8.6'!M13+'9.6'!M13+'10.6'!M13+'11.6'!M13+'12.6'!M13+'13.6'!M13+'14.6'!M13+'15.6'!M13+'16.6'!M13+'17.6'!M13+'18.6'!M13+'19.6'!M13+'20.6'!M13+'21.6'!M13+'22.6'!M13+'23.6'!M13+'24.6'!M13+'25.6'!M13+'26.6'!M13+'27.6'!M13+'28.6'!M13+'29.6'!M13+'30.6'!M13</f>
        <v>0</v>
      </c>
      <c r="M13" s="13">
        <f>'1.6'!N13+'2.6'!N13+'3.6'!N13+'4.6'!N13+'5.6'!N13+'6.6'!N13+'7.6'!N13+'8.6'!N13+'9.6'!N13+'10.6'!N13+'11.6'!N13+'12.6'!N13+'13.6'!N13+'14.6'!N13+'15.6'!N13+'16.6'!N13+'17.6'!N13+'18.6'!N13+'19.6'!N13+'20.6'!N13+'21.6'!N13+'22.6'!N13+'23.6'!N13+'24.6'!N13+'25.6'!N13+'26.6'!N13+'27.6'!N13+'28.6'!N13+'29.6'!N13+'30.6'!N13</f>
        <v>0</v>
      </c>
      <c r="N13" s="13">
        <f>'1.6'!O13+'2.6'!O13+'3.6'!O13+'4.6'!O13+'5.6'!O13+'6.6'!O13+'7.6'!O13+'8.6'!O13+'9.6'!O13+'10.6'!O13+'11.6'!O13+'12.6'!O13+'13.6'!O13+'14.6'!O13+'15.6'!O13+'16.6'!O13+'17.6'!O13+'18.6'!O13+'19.6'!O13+'20.6'!O13+'21.6'!O13+'22.6'!O13+'23.6'!O13+'24.6'!O13+'25.6'!O13+'26.6'!O13+'27.6'!O13+'28.6'!O13+'29.6'!O13+'30.6'!O13</f>
        <v>0</v>
      </c>
      <c r="O13" s="13">
        <f>'1.6'!P13+'2.6'!P13+'3.6'!P13+'4.6'!P13+'5.6'!P13+'6.6'!P13+'7.6'!P13+'8.6'!P13+'9.6'!P13+'10.6'!P13+'11.6'!P13+'12.6'!P13+'13.6'!P13+'14.6'!P13+'15.6'!P13+'16.6'!P13+'17.6'!P13+'18.6'!P13+'19.6'!P13+'20.6'!P13+'21.6'!P13+'22.6'!P13+'23.6'!P13+'24.6'!P13+'25.6'!P13+'26.6'!P13+'27.6'!P13+'28.6'!P13+'29.6'!P13+'30.6'!P13</f>
        <v>0</v>
      </c>
      <c r="P13" s="13">
        <f>'1.6'!Q13+'2.6'!Q13+'3.6'!Q13+'4.6'!Q13+'5.6'!Q13+'6.6'!Q13+'7.6'!Q13+'8.6'!Q13+'9.6'!Q13+'10.6'!Q13+'11.6'!Q13+'12.6'!Q13+'13.6'!Q13+'14.6'!Q13+'15.6'!Q13+'16.6'!Q13+'17.6'!Q13+'18.6'!Q13+'19.6'!Q13+'20.6'!Q13+'21.6'!Q13+'22.6'!Q13+'23.6'!Q13+'24.6'!Q13+'25.6'!Q13+'26.6'!Q13+'27.6'!Q13+'28.6'!Q13+'29.6'!Q13+'30.6'!Q13</f>
        <v>0</v>
      </c>
      <c r="Q13" s="13">
        <f>'1.6'!R13+'2.6'!R13+'3.6'!R13+'4.6'!R13+'5.6'!R13+'6.6'!R13+'7.6'!R13+'8.6'!R13+'9.6'!R13+'10.6'!R13+'11.6'!R13+'12.6'!R13+'13.6'!R13+'14.6'!R13+'15.6'!R13+'16.6'!R13+'17.6'!R13+'18.6'!R13+'19.6'!R13+'20.6'!R13+'21.6'!R13+'22.6'!R13+'23.6'!R13+'24.6'!R13+'25.6'!R13+'26.6'!R13+'27.6'!R13+'28.6'!R13+'29.6'!R13+'30.6'!R13</f>
        <v>0</v>
      </c>
      <c r="R13" s="13">
        <f>'1.6'!S13+'2.6'!S13+'3.6'!S13+'4.6'!S13+'5.6'!S13+'6.6'!S13+'7.6'!S13+'8.6'!S13+'9.6'!S13+'10.6'!S13+'11.6'!S13+'12.6'!S13+'13.6'!S13+'14.6'!S13+'15.6'!S13+'16.6'!S13+'17.6'!S13+'18.6'!S13+'19.6'!S13+'20.6'!S13+'21.6'!S13+'22.6'!S13+'23.6'!S13+'24.6'!S13+'25.6'!S13+'26.6'!S13+'27.6'!S13+'28.6'!S13+'29.6'!S13+'30.6'!S13</f>
        <v>0</v>
      </c>
    </row>
    <row r="14" spans="1:18" ht="18.75">
      <c r="A14" s="6">
        <v>8</v>
      </c>
      <c r="B14" s="7" t="s">
        <v>19</v>
      </c>
      <c r="C14" s="8" t="s">
        <v>12</v>
      </c>
      <c r="D14" s="13">
        <f t="shared" si="0"/>
        <v>8</v>
      </c>
      <c r="E14" s="13">
        <f>'1.6'!F14+'2.6'!F14+'3.6'!F14+'4.6'!F14+'5.6'!F14+'6.6'!F14+'7.6'!F14+'8.6'!F14+'9.6'!F14+'10.6'!F14+'11.6'!F14+'12.6'!F14+'13.6'!F14+'14.6'!F14+'15.6'!F14+'16.6'!F14+'17.6'!F14+'18.6'!F14+'19.6'!F14+'20.6'!F14+'21.6'!F14+'22.6'!F14+'23.6'!F14+'24.6'!F14+'25.6'!F14+'26.6'!F14+'27.6'!F14+'28.6'!F14+'29.6'!F14+'30.6'!F14</f>
        <v>0</v>
      </c>
      <c r="F14" s="13">
        <f>'1.6'!G14+'2.6'!G14+'3.6'!G14+'4.6'!G14+'5.6'!G14+'6.6'!G14+'7.6'!G14+'8.6'!G14+'9.6'!G14+'10.6'!G14+'11.6'!G14+'12.6'!G14+'13.6'!G14+'14.6'!G14+'15.6'!G14+'16.6'!G14+'17.6'!G14+'18.6'!G14+'19.6'!G14+'20.6'!G14+'21.6'!G14+'22.6'!G14+'23.6'!G14+'24.6'!G14+'25.6'!G14+'26.6'!G14+'27.6'!G14+'28.6'!G14+'29.6'!G14+'30.6'!G14</f>
        <v>0</v>
      </c>
      <c r="G14" s="13">
        <f>'1.6'!H14+'2.6'!H14+'3.6'!H14+'4.6'!H14+'5.6'!H14+'6.6'!H14+'7.6'!H14+'8.6'!H14+'9.6'!H14+'10.6'!H14+'11.6'!H14+'12.6'!H14+'13.6'!H14+'14.6'!H14+'15.6'!H14+'16.6'!H14+'17.6'!H14+'18.6'!H14+'19.6'!H14+'20.6'!H14+'21.6'!H14+'22.6'!H14+'23.6'!H14+'24.6'!H14+'25.6'!H14+'26.6'!H14+'27.6'!H14+'28.6'!H14+'29.6'!H14+'30.6'!H14</f>
        <v>0</v>
      </c>
      <c r="H14" s="13">
        <f>'1.6'!I14+'2.6'!I14+'3.6'!I14+'4.6'!I14+'5.6'!I14+'6.6'!I14+'7.6'!I14+'8.6'!I14+'9.6'!I14+'10.6'!I14+'11.6'!I14+'12.6'!I14+'13.6'!I14+'14.6'!I14+'15.6'!I14+'16.6'!I14+'17.6'!I14+'18.6'!I14+'19.6'!I14+'20.6'!I14+'21.6'!I14+'22.6'!I14+'23.6'!I14+'24.6'!I14+'25.6'!I14+'26.6'!I14+'27.6'!I14+'28.6'!I14+'29.6'!I14+'30.6'!I14</f>
        <v>0</v>
      </c>
      <c r="I14" s="13">
        <f>'1.6'!J14+'2.6'!J14+'3.6'!J14+'4.6'!J14+'5.6'!J14+'6.6'!J14+'7.6'!J14+'8.6'!J14+'9.6'!J14+'10.6'!J14+'11.6'!J14+'12.6'!J14+'13.6'!J14+'14.6'!J14+'15.6'!J14+'16.6'!J14+'17.6'!J14+'18.6'!J14+'19.6'!J14+'20.6'!J14+'21.6'!J14+'22.6'!J14+'23.6'!J14+'24.6'!J14+'25.6'!J14+'26.6'!J14+'27.6'!J14+'28.6'!J14+'29.6'!J14+'30.6'!J14</f>
        <v>0</v>
      </c>
      <c r="J14" s="13">
        <f>'1.6'!K14+'2.6'!K14+'3.6'!K14+'4.6'!K14+'5.6'!K14+'6.6'!K14+'7.6'!K14+'8.6'!K14+'9.6'!K14+'10.6'!K14+'11.6'!K14+'12.6'!K14+'13.6'!K14+'14.6'!K14+'15.6'!K14+'16.6'!K14+'17.6'!K14+'18.6'!K14+'19.6'!K14+'20.6'!K14+'21.6'!K14+'22.6'!K14+'23.6'!K14+'24.6'!K14+'25.6'!K14+'26.6'!K14+'27.6'!K14+'28.6'!K14+'29.6'!K14+'30.6'!K14</f>
        <v>8</v>
      </c>
      <c r="K14" s="13">
        <f>'1.6'!L14+'2.6'!L14+'3.6'!L14+'4.6'!L14+'5.6'!L14+'6.6'!L14+'7.6'!L14+'8.6'!L14+'9.6'!L14+'10.6'!L14+'11.6'!L14+'12.6'!L14+'13.6'!L14+'14.6'!L14+'15.6'!L14+'16.6'!L14+'17.6'!L14+'18.6'!L14+'19.6'!L14+'20.6'!L14+'21.6'!L14+'22.6'!L14+'23.6'!L14+'24.6'!L14+'25.6'!L14+'26.6'!L14+'27.6'!L14+'28.6'!L14+'29.6'!L14+'30.6'!L14</f>
        <v>0</v>
      </c>
      <c r="L14" s="13">
        <f>'1.6'!M14+'2.6'!M14+'3.6'!M14+'4.6'!M14+'5.6'!M14+'6.6'!M14+'7.6'!M14+'8.6'!M14+'9.6'!M14+'10.6'!M14+'11.6'!M14+'12.6'!M14+'13.6'!M14+'14.6'!M14+'15.6'!M14+'16.6'!M14+'17.6'!M14+'18.6'!M14+'19.6'!M14+'20.6'!M14+'21.6'!M14+'22.6'!M14+'23.6'!M14+'24.6'!M14+'25.6'!M14+'26.6'!M14+'27.6'!M14+'28.6'!M14+'29.6'!M14+'30.6'!M14</f>
        <v>0</v>
      </c>
      <c r="M14" s="13">
        <f>'1.6'!N14+'2.6'!N14+'3.6'!N14+'4.6'!N14+'5.6'!N14+'6.6'!N14+'7.6'!N14+'8.6'!N14+'9.6'!N14+'10.6'!N14+'11.6'!N14+'12.6'!N14+'13.6'!N14+'14.6'!N14+'15.6'!N14+'16.6'!N14+'17.6'!N14+'18.6'!N14+'19.6'!N14+'20.6'!N14+'21.6'!N14+'22.6'!N14+'23.6'!N14+'24.6'!N14+'25.6'!N14+'26.6'!N14+'27.6'!N14+'28.6'!N14+'29.6'!N14+'30.6'!N14</f>
        <v>0</v>
      </c>
      <c r="N14" s="13">
        <f>'1.6'!O14+'2.6'!O14+'3.6'!O14+'4.6'!O14+'5.6'!O14+'6.6'!O14+'7.6'!O14+'8.6'!O14+'9.6'!O14+'10.6'!O14+'11.6'!O14+'12.6'!O14+'13.6'!O14+'14.6'!O14+'15.6'!O14+'16.6'!O14+'17.6'!O14+'18.6'!O14+'19.6'!O14+'20.6'!O14+'21.6'!O14+'22.6'!O14+'23.6'!O14+'24.6'!O14+'25.6'!O14+'26.6'!O14+'27.6'!O14+'28.6'!O14+'29.6'!O14+'30.6'!O14</f>
        <v>0</v>
      </c>
      <c r="O14" s="13">
        <f>'1.6'!P14+'2.6'!P14+'3.6'!P14+'4.6'!P14+'5.6'!P14+'6.6'!P14+'7.6'!P14+'8.6'!P14+'9.6'!P14+'10.6'!P14+'11.6'!P14+'12.6'!P14+'13.6'!P14+'14.6'!P14+'15.6'!P14+'16.6'!P14+'17.6'!P14+'18.6'!P14+'19.6'!P14+'20.6'!P14+'21.6'!P14+'22.6'!P14+'23.6'!P14+'24.6'!P14+'25.6'!P14+'26.6'!P14+'27.6'!P14+'28.6'!P14+'29.6'!P14+'30.6'!P14</f>
        <v>0</v>
      </c>
      <c r="P14" s="13">
        <f>'1.6'!Q14+'2.6'!Q14+'3.6'!Q14+'4.6'!Q14+'5.6'!Q14+'6.6'!Q14+'7.6'!Q14+'8.6'!Q14+'9.6'!Q14+'10.6'!Q14+'11.6'!Q14+'12.6'!Q14+'13.6'!Q14+'14.6'!Q14+'15.6'!Q14+'16.6'!Q14+'17.6'!Q14+'18.6'!Q14+'19.6'!Q14+'20.6'!Q14+'21.6'!Q14+'22.6'!Q14+'23.6'!Q14+'24.6'!Q14+'25.6'!Q14+'26.6'!Q14+'27.6'!Q14+'28.6'!Q14+'29.6'!Q14+'30.6'!Q14</f>
        <v>0</v>
      </c>
      <c r="Q14" s="13">
        <f>'1.6'!R14+'2.6'!R14+'3.6'!R14+'4.6'!R14+'5.6'!R14+'6.6'!R14+'7.6'!R14+'8.6'!R14+'9.6'!R14+'10.6'!R14+'11.6'!R14+'12.6'!R14+'13.6'!R14+'14.6'!R14+'15.6'!R14+'16.6'!R14+'17.6'!R14+'18.6'!R14+'19.6'!R14+'20.6'!R14+'21.6'!R14+'22.6'!R14+'23.6'!R14+'24.6'!R14+'25.6'!R14+'26.6'!R14+'27.6'!R14+'28.6'!R14+'29.6'!R14+'30.6'!R14</f>
        <v>0</v>
      </c>
      <c r="R14" s="13">
        <f>'1.6'!S14+'2.6'!S14+'3.6'!S14+'4.6'!S14+'5.6'!S14+'6.6'!S14+'7.6'!S14+'8.6'!S14+'9.6'!S14+'10.6'!S14+'11.6'!S14+'12.6'!S14+'13.6'!S14+'14.6'!S14+'15.6'!S14+'16.6'!S14+'17.6'!S14+'18.6'!S14+'19.6'!S14+'20.6'!S14+'21.6'!S14+'22.6'!S14+'23.6'!S14+'24.6'!S14+'25.6'!S14+'26.6'!S14+'27.6'!S14+'28.6'!S14+'29.6'!S14+'30.6'!S14</f>
        <v>0</v>
      </c>
    </row>
    <row r="15" spans="1:18" ht="18.75">
      <c r="A15" s="6">
        <v>9</v>
      </c>
      <c r="B15" s="7" t="s">
        <v>20</v>
      </c>
      <c r="C15" s="8" t="s">
        <v>12</v>
      </c>
      <c r="D15" s="13">
        <f t="shared" si="0"/>
        <v>6</v>
      </c>
      <c r="E15" s="13">
        <f>'1.6'!F15+'2.6'!F15+'3.6'!F15+'4.6'!F15+'5.6'!F15+'6.6'!F15+'7.6'!F15+'8.6'!F15+'9.6'!F15+'10.6'!F15+'11.6'!F15+'12.6'!F15+'13.6'!F15+'14.6'!F15+'15.6'!F15+'16.6'!F15+'17.6'!F15+'18.6'!F15+'19.6'!F15+'20.6'!F15+'21.6'!F15+'22.6'!F15+'23.6'!F15+'24.6'!F15+'25.6'!F15+'26.6'!F15+'27.6'!F15+'28.6'!F15+'29.6'!F15+'30.6'!F15</f>
        <v>0</v>
      </c>
      <c r="F15" s="13">
        <f>'1.6'!G15+'2.6'!G15+'3.6'!G15+'4.6'!G15+'5.6'!G15+'6.6'!G15+'7.6'!G15+'8.6'!G15+'9.6'!G15+'10.6'!G15+'11.6'!G15+'12.6'!G15+'13.6'!G15+'14.6'!G15+'15.6'!G15+'16.6'!G15+'17.6'!G15+'18.6'!G15+'19.6'!G15+'20.6'!G15+'21.6'!G15+'22.6'!G15+'23.6'!G15+'24.6'!G15+'25.6'!G15+'26.6'!G15+'27.6'!G15+'28.6'!G15+'29.6'!G15+'30.6'!G15</f>
        <v>0</v>
      </c>
      <c r="G15" s="13">
        <f>'1.6'!H15+'2.6'!H15+'3.6'!H15+'4.6'!H15+'5.6'!H15+'6.6'!H15+'7.6'!H15+'8.6'!H15+'9.6'!H15+'10.6'!H15+'11.6'!H15+'12.6'!H15+'13.6'!H15+'14.6'!H15+'15.6'!H15+'16.6'!H15+'17.6'!H15+'18.6'!H15+'19.6'!H15+'20.6'!H15+'21.6'!H15+'22.6'!H15+'23.6'!H15+'24.6'!H15+'25.6'!H15+'26.6'!H15+'27.6'!H15+'28.6'!H15+'29.6'!H15+'30.6'!H15</f>
        <v>0</v>
      </c>
      <c r="H15" s="13">
        <f>'1.6'!I15+'2.6'!I15+'3.6'!I15+'4.6'!I15+'5.6'!I15+'6.6'!I15+'7.6'!I15+'8.6'!I15+'9.6'!I15+'10.6'!I15+'11.6'!I15+'12.6'!I15+'13.6'!I15+'14.6'!I15+'15.6'!I15+'16.6'!I15+'17.6'!I15+'18.6'!I15+'19.6'!I15+'20.6'!I15+'21.6'!I15+'22.6'!I15+'23.6'!I15+'24.6'!I15+'25.6'!I15+'26.6'!I15+'27.6'!I15+'28.6'!I15+'29.6'!I15+'30.6'!I15</f>
        <v>0</v>
      </c>
      <c r="I15" s="13">
        <f>'1.6'!J15+'2.6'!J15+'3.6'!J15+'4.6'!J15+'5.6'!J15+'6.6'!J15+'7.6'!J15+'8.6'!J15+'9.6'!J15+'10.6'!J15+'11.6'!J15+'12.6'!J15+'13.6'!J15+'14.6'!J15+'15.6'!J15+'16.6'!J15+'17.6'!J15+'18.6'!J15+'19.6'!J15+'20.6'!J15+'21.6'!J15+'22.6'!J15+'23.6'!J15+'24.6'!J15+'25.6'!J15+'26.6'!J15+'27.6'!J15+'28.6'!J15+'29.6'!J15+'30.6'!J15</f>
        <v>0</v>
      </c>
      <c r="J15" s="13">
        <f>'1.6'!K15+'2.6'!K15+'3.6'!K15+'4.6'!K15+'5.6'!K15+'6.6'!K15+'7.6'!K15+'8.6'!K15+'9.6'!K15+'10.6'!K15+'11.6'!K15+'12.6'!K15+'13.6'!K15+'14.6'!K15+'15.6'!K15+'16.6'!K15+'17.6'!K15+'18.6'!K15+'19.6'!K15+'20.6'!K15+'21.6'!K15+'22.6'!K15+'23.6'!K15+'24.6'!K15+'25.6'!K15+'26.6'!K15+'27.6'!K15+'28.6'!K15+'29.6'!K15+'30.6'!K15</f>
        <v>6</v>
      </c>
      <c r="K15" s="13">
        <f>'1.6'!L15+'2.6'!L15+'3.6'!L15+'4.6'!L15+'5.6'!L15+'6.6'!L15+'7.6'!L15+'8.6'!L15+'9.6'!L15+'10.6'!L15+'11.6'!L15+'12.6'!L15+'13.6'!L15+'14.6'!L15+'15.6'!L15+'16.6'!L15+'17.6'!L15+'18.6'!L15+'19.6'!L15+'20.6'!L15+'21.6'!L15+'22.6'!L15+'23.6'!L15+'24.6'!L15+'25.6'!L15+'26.6'!L15+'27.6'!L15+'28.6'!L15+'29.6'!L15+'30.6'!L15</f>
        <v>0</v>
      </c>
      <c r="L15" s="13">
        <f>'1.6'!M15+'2.6'!M15+'3.6'!M15+'4.6'!M15+'5.6'!M15+'6.6'!M15+'7.6'!M15+'8.6'!M15+'9.6'!M15+'10.6'!M15+'11.6'!M15+'12.6'!M15+'13.6'!M15+'14.6'!M15+'15.6'!M15+'16.6'!M15+'17.6'!M15+'18.6'!M15+'19.6'!M15+'20.6'!M15+'21.6'!M15+'22.6'!M15+'23.6'!M15+'24.6'!M15+'25.6'!M15+'26.6'!M15+'27.6'!M15+'28.6'!M15+'29.6'!M15+'30.6'!M15</f>
        <v>0</v>
      </c>
      <c r="M15" s="13">
        <f>'1.6'!N15+'2.6'!N15+'3.6'!N15+'4.6'!N15+'5.6'!N15+'6.6'!N15+'7.6'!N15+'8.6'!N15+'9.6'!N15+'10.6'!N15+'11.6'!N15+'12.6'!N15+'13.6'!N15+'14.6'!N15+'15.6'!N15+'16.6'!N15+'17.6'!N15+'18.6'!N15+'19.6'!N15+'20.6'!N15+'21.6'!N15+'22.6'!N15+'23.6'!N15+'24.6'!N15+'25.6'!N15+'26.6'!N15+'27.6'!N15+'28.6'!N15+'29.6'!N15+'30.6'!N15</f>
        <v>0</v>
      </c>
      <c r="N15" s="13">
        <f>'1.6'!O15+'2.6'!O15+'3.6'!O15+'4.6'!O15+'5.6'!O15+'6.6'!O15+'7.6'!O15+'8.6'!O15+'9.6'!O15+'10.6'!O15+'11.6'!O15+'12.6'!O15+'13.6'!O15+'14.6'!O15+'15.6'!O15+'16.6'!O15+'17.6'!O15+'18.6'!O15+'19.6'!O15+'20.6'!O15+'21.6'!O15+'22.6'!O15+'23.6'!O15+'24.6'!O15+'25.6'!O15+'26.6'!O15+'27.6'!O15+'28.6'!O15+'29.6'!O15+'30.6'!O15</f>
        <v>0</v>
      </c>
      <c r="O15" s="13">
        <f>'1.6'!P15+'2.6'!P15+'3.6'!P15+'4.6'!P15+'5.6'!P15+'6.6'!P15+'7.6'!P15+'8.6'!P15+'9.6'!P15+'10.6'!P15+'11.6'!P15+'12.6'!P15+'13.6'!P15+'14.6'!P15+'15.6'!P15+'16.6'!P15+'17.6'!P15+'18.6'!P15+'19.6'!P15+'20.6'!P15+'21.6'!P15+'22.6'!P15+'23.6'!P15+'24.6'!P15+'25.6'!P15+'26.6'!P15+'27.6'!P15+'28.6'!P15+'29.6'!P15+'30.6'!P15</f>
        <v>0</v>
      </c>
      <c r="P15" s="13">
        <f>'1.6'!Q15+'2.6'!Q15+'3.6'!Q15+'4.6'!Q15+'5.6'!Q15+'6.6'!Q15+'7.6'!Q15+'8.6'!Q15+'9.6'!Q15+'10.6'!Q15+'11.6'!Q15+'12.6'!Q15+'13.6'!Q15+'14.6'!Q15+'15.6'!Q15+'16.6'!Q15+'17.6'!Q15+'18.6'!Q15+'19.6'!Q15+'20.6'!Q15+'21.6'!Q15+'22.6'!Q15+'23.6'!Q15+'24.6'!Q15+'25.6'!Q15+'26.6'!Q15+'27.6'!Q15+'28.6'!Q15+'29.6'!Q15+'30.6'!Q15</f>
        <v>0</v>
      </c>
      <c r="Q15" s="13">
        <f>'1.6'!R15+'2.6'!R15+'3.6'!R15+'4.6'!R15+'5.6'!R15+'6.6'!R15+'7.6'!R15+'8.6'!R15+'9.6'!R15+'10.6'!R15+'11.6'!R15+'12.6'!R15+'13.6'!R15+'14.6'!R15+'15.6'!R15+'16.6'!R15+'17.6'!R15+'18.6'!R15+'19.6'!R15+'20.6'!R15+'21.6'!R15+'22.6'!R15+'23.6'!R15+'24.6'!R15+'25.6'!R15+'26.6'!R15+'27.6'!R15+'28.6'!R15+'29.6'!R15+'30.6'!R15</f>
        <v>0</v>
      </c>
      <c r="R15" s="13">
        <f>'1.6'!S15+'2.6'!S15+'3.6'!S15+'4.6'!S15+'5.6'!S15+'6.6'!S15+'7.6'!S15+'8.6'!S15+'9.6'!S15+'10.6'!S15+'11.6'!S15+'12.6'!S15+'13.6'!S15+'14.6'!S15+'15.6'!S15+'16.6'!S15+'17.6'!S15+'18.6'!S15+'19.6'!S15+'20.6'!S15+'21.6'!S15+'22.6'!S15+'23.6'!S15+'24.6'!S15+'25.6'!S15+'26.6'!S15+'27.6'!S15+'28.6'!S15+'29.6'!S15+'30.6'!S15</f>
        <v>0</v>
      </c>
    </row>
    <row r="16" spans="1:18" ht="18.75">
      <c r="A16" s="6">
        <v>10</v>
      </c>
      <c r="B16" s="7" t="s">
        <v>21</v>
      </c>
      <c r="C16" s="8" t="s">
        <v>12</v>
      </c>
      <c r="D16" s="13">
        <f t="shared" si="0"/>
        <v>18</v>
      </c>
      <c r="E16" s="13">
        <f>'1.6'!F16+'2.6'!F16+'3.6'!F16+'4.6'!F16+'5.6'!F16+'6.6'!F16+'7.6'!F16+'8.6'!F16+'9.6'!F16+'10.6'!F16+'11.6'!F16+'12.6'!F16+'13.6'!F16+'14.6'!F16+'15.6'!F16+'16.6'!F16+'17.6'!F16+'18.6'!F16+'19.6'!F16+'20.6'!F16+'21.6'!F16+'22.6'!F16+'23.6'!F16+'24.6'!F16+'25.6'!F16+'26.6'!F16+'27.6'!F16+'28.6'!F16+'29.6'!F16+'30.6'!F16</f>
        <v>0</v>
      </c>
      <c r="F16" s="13">
        <f>'1.6'!G16+'2.6'!G16+'3.6'!G16+'4.6'!G16+'5.6'!G16+'6.6'!G16+'7.6'!G16+'8.6'!G16+'9.6'!G16+'10.6'!G16+'11.6'!G16+'12.6'!G16+'13.6'!G16+'14.6'!G16+'15.6'!G16+'16.6'!G16+'17.6'!G16+'18.6'!G16+'19.6'!G16+'20.6'!G16+'21.6'!G16+'22.6'!G16+'23.6'!G16+'24.6'!G16+'25.6'!G16+'26.6'!G16+'27.6'!G16+'28.6'!G16+'29.6'!G16+'30.6'!G16</f>
        <v>0</v>
      </c>
      <c r="G16" s="13">
        <f>'1.6'!H16+'2.6'!H16+'3.6'!H16+'4.6'!H16+'5.6'!H16+'6.6'!H16+'7.6'!H16+'8.6'!H16+'9.6'!H16+'10.6'!H16+'11.6'!H16+'12.6'!H16+'13.6'!H16+'14.6'!H16+'15.6'!H16+'16.6'!H16+'17.6'!H16+'18.6'!H16+'19.6'!H16+'20.6'!H16+'21.6'!H16+'22.6'!H16+'23.6'!H16+'24.6'!H16+'25.6'!H16+'26.6'!H16+'27.6'!H16+'28.6'!H16+'29.6'!H16+'30.6'!H16</f>
        <v>0</v>
      </c>
      <c r="H16" s="13">
        <f>'1.6'!I16+'2.6'!I16+'3.6'!I16+'4.6'!I16+'5.6'!I16+'6.6'!I16+'7.6'!I16+'8.6'!I16+'9.6'!I16+'10.6'!I16+'11.6'!I16+'12.6'!I16+'13.6'!I16+'14.6'!I16+'15.6'!I16+'16.6'!I16+'17.6'!I16+'18.6'!I16+'19.6'!I16+'20.6'!I16+'21.6'!I16+'22.6'!I16+'23.6'!I16+'24.6'!I16+'25.6'!I16+'26.6'!I16+'27.6'!I16+'28.6'!I16+'29.6'!I16+'30.6'!I16</f>
        <v>0</v>
      </c>
      <c r="I16" s="13">
        <f>'1.6'!J16+'2.6'!J16+'3.6'!J16+'4.6'!J16+'5.6'!J16+'6.6'!J16+'7.6'!J16+'8.6'!J16+'9.6'!J16+'10.6'!J16+'11.6'!J16+'12.6'!J16+'13.6'!J16+'14.6'!J16+'15.6'!J16+'16.6'!J16+'17.6'!J16+'18.6'!J16+'19.6'!J16+'20.6'!J16+'21.6'!J16+'22.6'!J16+'23.6'!J16+'24.6'!J16+'25.6'!J16+'26.6'!J16+'27.6'!J16+'28.6'!J16+'29.6'!J16+'30.6'!J16</f>
        <v>0</v>
      </c>
      <c r="J16" s="13">
        <f>'1.6'!K16+'2.6'!K16+'3.6'!K16+'4.6'!K16+'5.6'!K16+'6.6'!K16+'7.6'!K16+'8.6'!K16+'9.6'!K16+'10.6'!K16+'11.6'!K16+'12.6'!K16+'13.6'!K16+'14.6'!K16+'15.6'!K16+'16.6'!K16+'17.6'!K16+'18.6'!K16+'19.6'!K16+'20.6'!K16+'21.6'!K16+'22.6'!K16+'23.6'!K16+'24.6'!K16+'25.6'!K16+'26.6'!K16+'27.6'!K16+'28.6'!K16+'29.6'!K16+'30.6'!K16</f>
        <v>18</v>
      </c>
      <c r="K16" s="13">
        <f>'1.6'!L16+'2.6'!L16+'3.6'!L16+'4.6'!L16+'5.6'!L16+'6.6'!L16+'7.6'!L16+'8.6'!L16+'9.6'!L16+'10.6'!L16+'11.6'!L16+'12.6'!L16+'13.6'!L16+'14.6'!L16+'15.6'!L16+'16.6'!L16+'17.6'!L16+'18.6'!L16+'19.6'!L16+'20.6'!L16+'21.6'!L16+'22.6'!L16+'23.6'!L16+'24.6'!L16+'25.6'!L16+'26.6'!L16+'27.6'!L16+'28.6'!L16+'29.6'!L16+'30.6'!L16</f>
        <v>0</v>
      </c>
      <c r="L16" s="13">
        <f>'1.6'!M16+'2.6'!M16+'3.6'!M16+'4.6'!M16+'5.6'!M16+'6.6'!M16+'7.6'!M16+'8.6'!M16+'9.6'!M16+'10.6'!M16+'11.6'!M16+'12.6'!M16+'13.6'!M16+'14.6'!M16+'15.6'!M16+'16.6'!M16+'17.6'!M16+'18.6'!M16+'19.6'!M16+'20.6'!M16+'21.6'!M16+'22.6'!M16+'23.6'!M16+'24.6'!M16+'25.6'!M16+'26.6'!M16+'27.6'!M16+'28.6'!M16+'29.6'!M16+'30.6'!M16</f>
        <v>0</v>
      </c>
      <c r="M16" s="13">
        <f>'1.6'!N16+'2.6'!N16+'3.6'!N16+'4.6'!N16+'5.6'!N16+'6.6'!N16+'7.6'!N16+'8.6'!N16+'9.6'!N16+'10.6'!N16+'11.6'!N16+'12.6'!N16+'13.6'!N16+'14.6'!N16+'15.6'!N16+'16.6'!N16+'17.6'!N16+'18.6'!N16+'19.6'!N16+'20.6'!N16+'21.6'!N16+'22.6'!N16+'23.6'!N16+'24.6'!N16+'25.6'!N16+'26.6'!N16+'27.6'!N16+'28.6'!N16+'29.6'!N16+'30.6'!N16</f>
        <v>0</v>
      </c>
      <c r="N16" s="13">
        <f>'1.6'!O16+'2.6'!O16+'3.6'!O16+'4.6'!O16+'5.6'!O16+'6.6'!O16+'7.6'!O16+'8.6'!O16+'9.6'!O16+'10.6'!O16+'11.6'!O16+'12.6'!O16+'13.6'!O16+'14.6'!O16+'15.6'!O16+'16.6'!O16+'17.6'!O16+'18.6'!O16+'19.6'!O16+'20.6'!O16+'21.6'!O16+'22.6'!O16+'23.6'!O16+'24.6'!O16+'25.6'!O16+'26.6'!O16+'27.6'!O16+'28.6'!O16+'29.6'!O16+'30.6'!O16</f>
        <v>0</v>
      </c>
      <c r="O16" s="13">
        <f>'1.6'!P16+'2.6'!P16+'3.6'!P16+'4.6'!P16+'5.6'!P16+'6.6'!P16+'7.6'!P16+'8.6'!P16+'9.6'!P16+'10.6'!P16+'11.6'!P16+'12.6'!P16+'13.6'!P16+'14.6'!P16+'15.6'!P16+'16.6'!P16+'17.6'!P16+'18.6'!P16+'19.6'!P16+'20.6'!P16+'21.6'!P16+'22.6'!P16+'23.6'!P16+'24.6'!P16+'25.6'!P16+'26.6'!P16+'27.6'!P16+'28.6'!P16+'29.6'!P16+'30.6'!P16</f>
        <v>0</v>
      </c>
      <c r="P16" s="13">
        <f>'1.6'!Q16+'2.6'!Q16+'3.6'!Q16+'4.6'!Q16+'5.6'!Q16+'6.6'!Q16+'7.6'!Q16+'8.6'!Q16+'9.6'!Q16+'10.6'!Q16+'11.6'!Q16+'12.6'!Q16+'13.6'!Q16+'14.6'!Q16+'15.6'!Q16+'16.6'!Q16+'17.6'!Q16+'18.6'!Q16+'19.6'!Q16+'20.6'!Q16+'21.6'!Q16+'22.6'!Q16+'23.6'!Q16+'24.6'!Q16+'25.6'!Q16+'26.6'!Q16+'27.6'!Q16+'28.6'!Q16+'29.6'!Q16+'30.6'!Q16</f>
        <v>0</v>
      </c>
      <c r="Q16" s="13">
        <f>'1.6'!R16+'2.6'!R16+'3.6'!R16+'4.6'!R16+'5.6'!R16+'6.6'!R16+'7.6'!R16+'8.6'!R16+'9.6'!R16+'10.6'!R16+'11.6'!R16+'12.6'!R16+'13.6'!R16+'14.6'!R16+'15.6'!R16+'16.6'!R16+'17.6'!R16+'18.6'!R16+'19.6'!R16+'20.6'!R16+'21.6'!R16+'22.6'!R16+'23.6'!R16+'24.6'!R16+'25.6'!R16+'26.6'!R16+'27.6'!R16+'28.6'!R16+'29.6'!R16+'30.6'!R16</f>
        <v>0</v>
      </c>
      <c r="R16" s="13">
        <f>'1.6'!S16+'2.6'!S16+'3.6'!S16+'4.6'!S16+'5.6'!S16+'6.6'!S16+'7.6'!S16+'8.6'!S16+'9.6'!S16+'10.6'!S16+'11.6'!S16+'12.6'!S16+'13.6'!S16+'14.6'!S16+'15.6'!S16+'16.6'!S16+'17.6'!S16+'18.6'!S16+'19.6'!S16+'20.6'!S16+'21.6'!S16+'22.6'!S16+'23.6'!S16+'24.6'!S16+'25.6'!S16+'26.6'!S16+'27.6'!S16+'28.6'!S16+'29.6'!S16+'30.6'!S16</f>
        <v>0</v>
      </c>
    </row>
    <row r="17" spans="1:18" ht="18.75">
      <c r="A17" s="6">
        <v>11</v>
      </c>
      <c r="B17" s="7" t="s">
        <v>68</v>
      </c>
      <c r="C17" s="8" t="s">
        <v>12</v>
      </c>
      <c r="D17" s="13">
        <f t="shared" si="0"/>
        <v>0</v>
      </c>
      <c r="E17" s="13">
        <f>'1.6'!F17+'2.6'!F17+'3.6'!F17+'4.6'!F17+'5.6'!F17+'6.6'!F17+'7.6'!F17+'8.6'!F17+'9.6'!F17+'10.6'!F17+'11.6'!F17+'12.6'!F17+'13.6'!F17+'14.6'!F17+'15.6'!F17+'16.6'!F17+'17.6'!F17+'18.6'!F17+'19.6'!F17+'20.6'!F17+'21.6'!F17+'22.6'!F17+'23.6'!F17+'24.6'!F17+'25.6'!F17+'26.6'!F17+'27.6'!F17+'28.6'!F17+'29.6'!F17+'30.6'!F17</f>
        <v>0</v>
      </c>
      <c r="F17" s="13">
        <f>'1.6'!G17+'2.6'!G17+'3.6'!G17+'4.6'!G17+'5.6'!G17+'6.6'!G17+'7.6'!G17+'8.6'!G17+'9.6'!G17+'10.6'!G17+'11.6'!G17+'12.6'!G17+'13.6'!G17+'14.6'!G17+'15.6'!G17+'16.6'!G17+'17.6'!G17+'18.6'!G17+'19.6'!G17+'20.6'!G17+'21.6'!G17+'22.6'!G17+'23.6'!G17+'24.6'!G17+'25.6'!G17+'26.6'!G17+'27.6'!G17+'28.6'!G17+'29.6'!G17+'30.6'!G17</f>
        <v>0</v>
      </c>
      <c r="G17" s="13">
        <f>'1.6'!H17+'2.6'!H17+'3.6'!H17+'4.6'!H17+'5.6'!H17+'6.6'!H17+'7.6'!H17+'8.6'!H17+'9.6'!H17+'10.6'!H17+'11.6'!H17+'12.6'!H17+'13.6'!H17+'14.6'!H17+'15.6'!H17+'16.6'!H17+'17.6'!H17+'18.6'!H17+'19.6'!H17+'20.6'!H17+'21.6'!H17+'22.6'!H17+'23.6'!H17+'24.6'!H17+'25.6'!H17+'26.6'!H17+'27.6'!H17+'28.6'!H17+'29.6'!H17+'30.6'!H17</f>
        <v>0</v>
      </c>
      <c r="H17" s="13">
        <f>'1.6'!I17+'2.6'!I17+'3.6'!I17+'4.6'!I17+'5.6'!I17+'6.6'!I17+'7.6'!I17+'8.6'!I17+'9.6'!I17+'10.6'!I17+'11.6'!I17+'12.6'!I17+'13.6'!I17+'14.6'!I17+'15.6'!I17+'16.6'!I17+'17.6'!I17+'18.6'!I17+'19.6'!I17+'20.6'!I17+'21.6'!I17+'22.6'!I17+'23.6'!I17+'24.6'!I17+'25.6'!I17+'26.6'!I17+'27.6'!I17+'28.6'!I17+'29.6'!I17+'30.6'!I17</f>
        <v>0</v>
      </c>
      <c r="I17" s="13">
        <f>'1.6'!J17+'2.6'!J17+'3.6'!J17+'4.6'!J17+'5.6'!J17+'6.6'!J17+'7.6'!J17+'8.6'!J17+'9.6'!J17+'10.6'!J17+'11.6'!J17+'12.6'!J17+'13.6'!J17+'14.6'!J17+'15.6'!J17+'16.6'!J17+'17.6'!J17+'18.6'!J17+'19.6'!J17+'20.6'!J17+'21.6'!J17+'22.6'!J17+'23.6'!J17+'24.6'!J17+'25.6'!J17+'26.6'!J17+'27.6'!J17+'28.6'!J17+'29.6'!J17+'30.6'!J17</f>
        <v>0</v>
      </c>
      <c r="J17" s="13">
        <f>'1.6'!K17+'2.6'!K17+'3.6'!K17+'4.6'!K17+'5.6'!K17+'6.6'!K17+'7.6'!K17+'8.6'!K17+'9.6'!K17+'10.6'!K17+'11.6'!K17+'12.6'!K17+'13.6'!K17+'14.6'!K17+'15.6'!K17+'16.6'!K17+'17.6'!K17+'18.6'!K17+'19.6'!K17+'20.6'!K17+'21.6'!K17+'22.6'!K17+'23.6'!K17+'24.6'!K17+'25.6'!K17+'26.6'!K17+'27.6'!K17+'28.6'!K17+'29.6'!K17+'30.6'!K17</f>
        <v>0</v>
      </c>
      <c r="K17" s="13">
        <f>'1.6'!L17+'2.6'!L17+'3.6'!L17+'4.6'!L17+'5.6'!L17+'6.6'!L17+'7.6'!L17+'8.6'!L17+'9.6'!L17+'10.6'!L17+'11.6'!L17+'12.6'!L17+'13.6'!L17+'14.6'!L17+'15.6'!L17+'16.6'!L17+'17.6'!L17+'18.6'!L17+'19.6'!L17+'20.6'!L17+'21.6'!L17+'22.6'!L17+'23.6'!L17+'24.6'!L17+'25.6'!L17+'26.6'!L17+'27.6'!L17+'28.6'!L17+'29.6'!L17+'30.6'!L17</f>
        <v>0</v>
      </c>
      <c r="L17" s="13">
        <f>'1.6'!M17+'2.6'!M17+'3.6'!M17+'4.6'!M17+'5.6'!M17+'6.6'!M17+'7.6'!M17+'8.6'!M17+'9.6'!M17+'10.6'!M17+'11.6'!M17+'12.6'!M17+'13.6'!M17+'14.6'!M17+'15.6'!M17+'16.6'!M17+'17.6'!M17+'18.6'!M17+'19.6'!M17+'20.6'!M17+'21.6'!M17+'22.6'!M17+'23.6'!M17+'24.6'!M17+'25.6'!M17+'26.6'!M17+'27.6'!M17+'28.6'!M17+'29.6'!M17+'30.6'!M17</f>
        <v>0</v>
      </c>
      <c r="M17" s="13">
        <f>'1.6'!N17+'2.6'!N17+'3.6'!N17+'4.6'!N17+'5.6'!N17+'6.6'!N17+'7.6'!N17+'8.6'!N17+'9.6'!N17+'10.6'!N17+'11.6'!N17+'12.6'!N17+'13.6'!N17+'14.6'!N17+'15.6'!N17+'16.6'!N17+'17.6'!N17+'18.6'!N17+'19.6'!N17+'20.6'!N17+'21.6'!N17+'22.6'!N17+'23.6'!N17+'24.6'!N17+'25.6'!N17+'26.6'!N17+'27.6'!N17+'28.6'!N17+'29.6'!N17+'30.6'!N17</f>
        <v>0</v>
      </c>
      <c r="N17" s="13">
        <f>'1.6'!O17+'2.6'!O17+'3.6'!O17+'4.6'!O17+'5.6'!O17+'6.6'!O17+'7.6'!O17+'8.6'!O17+'9.6'!O17+'10.6'!O17+'11.6'!O17+'12.6'!O17+'13.6'!O17+'14.6'!O17+'15.6'!O17+'16.6'!O17+'17.6'!O17+'18.6'!O17+'19.6'!O17+'20.6'!O17+'21.6'!O17+'22.6'!O17+'23.6'!O17+'24.6'!O17+'25.6'!O17+'26.6'!O17+'27.6'!O17+'28.6'!O17+'29.6'!O17+'30.6'!O17</f>
        <v>0</v>
      </c>
      <c r="O17" s="13">
        <f>'1.6'!P17+'2.6'!P17+'3.6'!P17+'4.6'!P17+'5.6'!P17+'6.6'!P17+'7.6'!P17+'8.6'!P17+'9.6'!P17+'10.6'!P17+'11.6'!P17+'12.6'!P17+'13.6'!P17+'14.6'!P17+'15.6'!P17+'16.6'!P17+'17.6'!P17+'18.6'!P17+'19.6'!P17+'20.6'!P17+'21.6'!P17+'22.6'!P17+'23.6'!P17+'24.6'!P17+'25.6'!P17+'26.6'!P17+'27.6'!P17+'28.6'!P17+'29.6'!P17+'30.6'!P17</f>
        <v>0</v>
      </c>
      <c r="P17" s="13">
        <f>'1.6'!Q17+'2.6'!Q17+'3.6'!Q17+'4.6'!Q17+'5.6'!Q17+'6.6'!Q17+'7.6'!Q17+'8.6'!Q17+'9.6'!Q17+'10.6'!Q17+'11.6'!Q17+'12.6'!Q17+'13.6'!Q17+'14.6'!Q17+'15.6'!Q17+'16.6'!Q17+'17.6'!Q17+'18.6'!Q17+'19.6'!Q17+'20.6'!Q17+'21.6'!Q17+'22.6'!Q17+'23.6'!Q17+'24.6'!Q17+'25.6'!Q17+'26.6'!Q17+'27.6'!Q17+'28.6'!Q17+'29.6'!Q17+'30.6'!Q17</f>
        <v>0</v>
      </c>
      <c r="Q17" s="13">
        <f>'1.6'!R17+'2.6'!R17+'3.6'!R17+'4.6'!R17+'5.6'!R17+'6.6'!R17+'7.6'!R17+'8.6'!R17+'9.6'!R17+'10.6'!R17+'11.6'!R17+'12.6'!R17+'13.6'!R17+'14.6'!R17+'15.6'!R17+'16.6'!R17+'17.6'!R17+'18.6'!R17+'19.6'!R17+'20.6'!R17+'21.6'!R17+'22.6'!R17+'23.6'!R17+'24.6'!R17+'25.6'!R17+'26.6'!R17+'27.6'!R17+'28.6'!R17+'29.6'!R17+'30.6'!R17</f>
        <v>0</v>
      </c>
      <c r="R17" s="13">
        <f>'1.6'!S17+'2.6'!S17+'3.6'!S17+'4.6'!S17+'5.6'!S17+'6.6'!S17+'7.6'!S17+'8.6'!S17+'9.6'!S17+'10.6'!S17+'11.6'!S17+'12.6'!S17+'13.6'!S17+'14.6'!S17+'15.6'!S17+'16.6'!S17+'17.6'!S17+'18.6'!S17+'19.6'!S17+'20.6'!S17+'21.6'!S17+'22.6'!S17+'23.6'!S17+'24.6'!S17+'25.6'!S17+'26.6'!S17+'27.6'!S17+'28.6'!S17+'29.6'!S17+'30.6'!S17</f>
        <v>3</v>
      </c>
    </row>
    <row r="18" spans="1:18" ht="18.75">
      <c r="A18" s="6">
        <v>12</v>
      </c>
      <c r="B18" s="7" t="s">
        <v>23</v>
      </c>
      <c r="C18" s="8" t="s">
        <v>12</v>
      </c>
      <c r="D18" s="13">
        <f t="shared" si="0"/>
        <v>6</v>
      </c>
      <c r="E18" s="13">
        <f>'1.6'!F18+'2.6'!F18+'3.6'!F18+'4.6'!F18+'5.6'!F18+'6.6'!F18+'7.6'!F18+'8.6'!F18+'9.6'!F18+'10.6'!F18+'11.6'!F18+'12.6'!F18+'13.6'!F18+'14.6'!F18+'15.6'!F18+'16.6'!F18+'17.6'!F18+'18.6'!F18+'19.6'!F18+'20.6'!F18+'21.6'!F18+'22.6'!F18+'23.6'!F18+'24.6'!F18+'25.6'!F18+'26.6'!F18+'27.6'!F18+'28.6'!F18+'29.6'!F18+'30.6'!F18</f>
        <v>0</v>
      </c>
      <c r="F18" s="13">
        <f>'1.6'!G18+'2.6'!G18+'3.6'!G18+'4.6'!G18+'5.6'!G18+'6.6'!G18+'7.6'!G18+'8.6'!G18+'9.6'!G18+'10.6'!G18+'11.6'!G18+'12.6'!G18+'13.6'!G18+'14.6'!G18+'15.6'!G18+'16.6'!G18+'17.6'!G18+'18.6'!G18+'19.6'!G18+'20.6'!G18+'21.6'!G18+'22.6'!G18+'23.6'!G18+'24.6'!G18+'25.6'!G18+'26.6'!G18+'27.6'!G18+'28.6'!G18+'29.6'!G18+'30.6'!G18</f>
        <v>0</v>
      </c>
      <c r="G18" s="13">
        <f>'1.6'!H18+'2.6'!H18+'3.6'!H18+'4.6'!H18+'5.6'!H18+'6.6'!H18+'7.6'!H18+'8.6'!H18+'9.6'!H18+'10.6'!H18+'11.6'!H18+'12.6'!H18+'13.6'!H18+'14.6'!H18+'15.6'!H18+'16.6'!H18+'17.6'!H18+'18.6'!H18+'19.6'!H18+'20.6'!H18+'21.6'!H18+'22.6'!H18+'23.6'!H18+'24.6'!H18+'25.6'!H18+'26.6'!H18+'27.6'!H18+'28.6'!H18+'29.6'!H18+'30.6'!H18</f>
        <v>0</v>
      </c>
      <c r="H18" s="13">
        <f>'1.6'!I18+'2.6'!I18+'3.6'!I18+'4.6'!I18+'5.6'!I18+'6.6'!I18+'7.6'!I18+'8.6'!I18+'9.6'!I18+'10.6'!I18+'11.6'!I18+'12.6'!I18+'13.6'!I18+'14.6'!I18+'15.6'!I18+'16.6'!I18+'17.6'!I18+'18.6'!I18+'19.6'!I18+'20.6'!I18+'21.6'!I18+'22.6'!I18+'23.6'!I18+'24.6'!I18+'25.6'!I18+'26.6'!I18+'27.6'!I18+'28.6'!I18+'29.6'!I18+'30.6'!I18</f>
        <v>0</v>
      </c>
      <c r="I18" s="13">
        <f>'1.6'!J18+'2.6'!J18+'3.6'!J18+'4.6'!J18+'5.6'!J18+'6.6'!J18+'7.6'!J18+'8.6'!J18+'9.6'!J18+'10.6'!J18+'11.6'!J18+'12.6'!J18+'13.6'!J18+'14.6'!J18+'15.6'!J18+'16.6'!J18+'17.6'!J18+'18.6'!J18+'19.6'!J18+'20.6'!J18+'21.6'!J18+'22.6'!J18+'23.6'!J18+'24.6'!J18+'25.6'!J18+'26.6'!J18+'27.6'!J18+'28.6'!J18+'29.6'!J18+'30.6'!J18</f>
        <v>0</v>
      </c>
      <c r="J18" s="13">
        <f>'1.6'!K18+'2.6'!K18+'3.6'!K18+'4.6'!K18+'5.6'!K18+'6.6'!K18+'7.6'!K18+'8.6'!K18+'9.6'!K18+'10.6'!K18+'11.6'!K18+'12.6'!K18+'13.6'!K18+'14.6'!K18+'15.6'!K18+'16.6'!K18+'17.6'!K18+'18.6'!K18+'19.6'!K18+'20.6'!K18+'21.6'!K18+'22.6'!K18+'23.6'!K18+'24.6'!K18+'25.6'!K18+'26.6'!K18+'27.6'!K18+'28.6'!K18+'29.6'!K18+'30.6'!K18</f>
        <v>0</v>
      </c>
      <c r="K18" s="13">
        <f>'1.6'!L18+'2.6'!L18+'3.6'!L18+'4.6'!L18+'5.6'!L18+'6.6'!L18+'7.6'!L18+'8.6'!L18+'9.6'!L18+'10.6'!L18+'11.6'!L18+'12.6'!L18+'13.6'!L18+'14.6'!L18+'15.6'!L18+'16.6'!L18+'17.6'!L18+'18.6'!L18+'19.6'!L18+'20.6'!L18+'21.6'!L18+'22.6'!L18+'23.6'!L18+'24.6'!L18+'25.6'!L18+'26.6'!L18+'27.6'!L18+'28.6'!L18+'29.6'!L18+'30.6'!L18</f>
        <v>0</v>
      </c>
      <c r="L18" s="13">
        <f>'1.6'!M18+'2.6'!M18+'3.6'!M18+'4.6'!M18+'5.6'!M18+'6.6'!M18+'7.6'!M18+'8.6'!M18+'9.6'!M18+'10.6'!M18+'11.6'!M18+'12.6'!M18+'13.6'!M18+'14.6'!M18+'15.6'!M18+'16.6'!M18+'17.6'!M18+'18.6'!M18+'19.6'!M18+'20.6'!M18+'21.6'!M18+'22.6'!M18+'23.6'!M18+'24.6'!M18+'25.6'!M18+'26.6'!M18+'27.6'!M18+'28.6'!M18+'29.6'!M18+'30.6'!M18</f>
        <v>0</v>
      </c>
      <c r="M18" s="13">
        <f>'1.6'!N18+'2.6'!N18+'3.6'!N18+'4.6'!N18+'5.6'!N18+'6.6'!N18+'7.6'!N18+'8.6'!N18+'9.6'!N18+'10.6'!N18+'11.6'!N18+'12.6'!N18+'13.6'!N18+'14.6'!N18+'15.6'!N18+'16.6'!N18+'17.6'!N18+'18.6'!N18+'19.6'!N18+'20.6'!N18+'21.6'!N18+'22.6'!N18+'23.6'!N18+'24.6'!N18+'25.6'!N18+'26.6'!N18+'27.6'!N18+'28.6'!N18+'29.6'!N18+'30.6'!N18</f>
        <v>6</v>
      </c>
      <c r="N18" s="13">
        <f>'1.6'!O18+'2.6'!O18+'3.6'!O18+'4.6'!O18+'5.6'!O18+'6.6'!O18+'7.6'!O18+'8.6'!O18+'9.6'!O18+'10.6'!O18+'11.6'!O18+'12.6'!O18+'13.6'!O18+'14.6'!O18+'15.6'!O18+'16.6'!O18+'17.6'!O18+'18.6'!O18+'19.6'!O18+'20.6'!O18+'21.6'!O18+'22.6'!O18+'23.6'!O18+'24.6'!O18+'25.6'!O18+'26.6'!O18+'27.6'!O18+'28.6'!O18+'29.6'!O18+'30.6'!O18</f>
        <v>0</v>
      </c>
      <c r="O18" s="13">
        <f>'1.6'!P18+'2.6'!P18+'3.6'!P18+'4.6'!P18+'5.6'!P18+'6.6'!P18+'7.6'!P18+'8.6'!P18+'9.6'!P18+'10.6'!P18+'11.6'!P18+'12.6'!P18+'13.6'!P18+'14.6'!P18+'15.6'!P18+'16.6'!P18+'17.6'!P18+'18.6'!P18+'19.6'!P18+'20.6'!P18+'21.6'!P18+'22.6'!P18+'23.6'!P18+'24.6'!P18+'25.6'!P18+'26.6'!P18+'27.6'!P18+'28.6'!P18+'29.6'!P18+'30.6'!P18</f>
        <v>0</v>
      </c>
      <c r="P18" s="13">
        <f>'1.6'!Q18+'2.6'!Q18+'3.6'!Q18+'4.6'!Q18+'5.6'!Q18+'6.6'!Q18+'7.6'!Q18+'8.6'!Q18+'9.6'!Q18+'10.6'!Q18+'11.6'!Q18+'12.6'!Q18+'13.6'!Q18+'14.6'!Q18+'15.6'!Q18+'16.6'!Q18+'17.6'!Q18+'18.6'!Q18+'19.6'!Q18+'20.6'!Q18+'21.6'!Q18+'22.6'!Q18+'23.6'!Q18+'24.6'!Q18+'25.6'!Q18+'26.6'!Q18+'27.6'!Q18+'28.6'!Q18+'29.6'!Q18+'30.6'!Q18</f>
        <v>0</v>
      </c>
      <c r="Q18" s="13">
        <f>'1.6'!R18+'2.6'!R18+'3.6'!R18+'4.6'!R18+'5.6'!R18+'6.6'!R18+'7.6'!R18+'8.6'!R18+'9.6'!R18+'10.6'!R18+'11.6'!R18+'12.6'!R18+'13.6'!R18+'14.6'!R18+'15.6'!R18+'16.6'!R18+'17.6'!R18+'18.6'!R18+'19.6'!R18+'20.6'!R18+'21.6'!R18+'22.6'!R18+'23.6'!R18+'24.6'!R18+'25.6'!R18+'26.6'!R18+'27.6'!R18+'28.6'!R18+'29.6'!R18+'30.6'!R18</f>
        <v>0</v>
      </c>
      <c r="R18" s="13">
        <f>'1.6'!S18+'2.6'!S18+'3.6'!S18+'4.6'!S18+'5.6'!S18+'6.6'!S18+'7.6'!S18+'8.6'!S18+'9.6'!S18+'10.6'!S18+'11.6'!S18+'12.6'!S18+'13.6'!S18+'14.6'!S18+'15.6'!S18+'16.6'!S18+'17.6'!S18+'18.6'!S18+'19.6'!S18+'20.6'!S18+'21.6'!S18+'22.6'!S18+'23.6'!S18+'24.6'!S18+'25.6'!S18+'26.6'!S18+'27.6'!S18+'28.6'!S18+'29.6'!S18+'30.6'!S18</f>
        <v>0</v>
      </c>
    </row>
    <row r="19" spans="1:18" ht="18.75">
      <c r="A19" s="6">
        <v>13</v>
      </c>
      <c r="B19" s="7" t="s">
        <v>69</v>
      </c>
      <c r="C19" s="8" t="s">
        <v>12</v>
      </c>
      <c r="D19" s="13">
        <f t="shared" si="0"/>
        <v>19</v>
      </c>
      <c r="E19" s="13">
        <f>'1.6'!F19+'2.6'!F19+'3.6'!F19+'4.6'!F19+'5.6'!F19+'6.6'!F19+'7.6'!F19+'8.6'!F19+'9.6'!F19+'10.6'!F19+'11.6'!F19+'12.6'!F19+'13.6'!F19+'14.6'!F19+'15.6'!F19+'16.6'!F19+'17.6'!F19+'18.6'!F19+'19.6'!F19+'20.6'!F19+'21.6'!F19+'22.6'!F19+'23.6'!F19+'24.6'!F19+'25.6'!F19+'26.6'!F19+'27.6'!F19+'28.6'!F19+'29.6'!F19+'30.6'!F19</f>
        <v>0</v>
      </c>
      <c r="F19" s="13">
        <f>'1.6'!G19+'2.6'!G19+'3.6'!G19+'4.6'!G19+'5.6'!G19+'6.6'!G19+'7.6'!G19+'8.6'!G19+'9.6'!G19+'10.6'!G19+'11.6'!G19+'12.6'!G19+'13.6'!G19+'14.6'!G19+'15.6'!G19+'16.6'!G19+'17.6'!G19+'18.6'!G19+'19.6'!G19+'20.6'!G19+'21.6'!G19+'22.6'!G19+'23.6'!G19+'24.6'!G19+'25.6'!G19+'26.6'!G19+'27.6'!G19+'28.6'!G19+'29.6'!G19+'30.6'!G19</f>
        <v>0</v>
      </c>
      <c r="G19" s="13">
        <f>'1.6'!H19+'2.6'!H19+'3.6'!H19+'4.6'!H19+'5.6'!H19+'6.6'!H19+'7.6'!H19+'8.6'!H19+'9.6'!H19+'10.6'!H19+'11.6'!H19+'12.6'!H19+'13.6'!H19+'14.6'!H19+'15.6'!H19+'16.6'!H19+'17.6'!H19+'18.6'!H19+'19.6'!H19+'20.6'!H19+'21.6'!H19+'22.6'!H19+'23.6'!H19+'24.6'!H19+'25.6'!H19+'26.6'!H19+'27.6'!H19+'28.6'!H19+'29.6'!H19+'30.6'!H19</f>
        <v>0</v>
      </c>
      <c r="H19" s="13">
        <f>'1.6'!I19+'2.6'!I19+'3.6'!I19+'4.6'!I19+'5.6'!I19+'6.6'!I19+'7.6'!I19+'8.6'!I19+'9.6'!I19+'10.6'!I19+'11.6'!I19+'12.6'!I19+'13.6'!I19+'14.6'!I19+'15.6'!I19+'16.6'!I19+'17.6'!I19+'18.6'!I19+'19.6'!I19+'20.6'!I19+'21.6'!I19+'22.6'!I19+'23.6'!I19+'24.6'!I19+'25.6'!I19+'26.6'!I19+'27.6'!I19+'28.6'!I19+'29.6'!I19+'30.6'!I19</f>
        <v>2</v>
      </c>
      <c r="I19" s="13">
        <f>'1.6'!J19+'2.6'!J19+'3.6'!J19+'4.6'!J19+'5.6'!J19+'6.6'!J19+'7.6'!J19+'8.6'!J19+'9.6'!J19+'10.6'!J19+'11.6'!J19+'12.6'!J19+'13.6'!J19+'14.6'!J19+'15.6'!J19+'16.6'!J19+'17.6'!J19+'18.6'!J19+'19.6'!J19+'20.6'!J19+'21.6'!J19+'22.6'!J19+'23.6'!J19+'24.6'!J19+'25.6'!J19+'26.6'!J19+'27.6'!J19+'28.6'!J19+'29.6'!J19+'30.6'!J19</f>
        <v>0</v>
      </c>
      <c r="J19" s="13">
        <f>'1.6'!K19+'2.6'!K19+'3.6'!K19+'4.6'!K19+'5.6'!K19+'6.6'!K19+'7.6'!K19+'8.6'!K19+'9.6'!K19+'10.6'!K19+'11.6'!K19+'12.6'!K19+'13.6'!K19+'14.6'!K19+'15.6'!K19+'16.6'!K19+'17.6'!K19+'18.6'!K19+'19.6'!K19+'20.6'!K19+'21.6'!K19+'22.6'!K19+'23.6'!K19+'24.6'!K19+'25.6'!K19+'26.6'!K19+'27.6'!K19+'28.6'!K19+'29.6'!K19+'30.6'!K19</f>
        <v>0</v>
      </c>
      <c r="K19" s="13">
        <f>'1.6'!L19+'2.6'!L19+'3.6'!L19+'4.6'!L19+'5.6'!L19+'6.6'!L19+'7.6'!L19+'8.6'!L19+'9.6'!L19+'10.6'!L19+'11.6'!L19+'12.6'!L19+'13.6'!L19+'14.6'!L19+'15.6'!L19+'16.6'!L19+'17.6'!L19+'18.6'!L19+'19.6'!L19+'20.6'!L19+'21.6'!L19+'22.6'!L19+'23.6'!L19+'24.6'!L19+'25.6'!L19+'26.6'!L19+'27.6'!L19+'28.6'!L19+'29.6'!L19+'30.6'!L19</f>
        <v>11</v>
      </c>
      <c r="L19" s="13">
        <f>'1.6'!M19+'2.6'!M19+'3.6'!M19+'4.6'!M19+'5.6'!M19+'6.6'!M19+'7.6'!M19+'8.6'!M19+'9.6'!M19+'10.6'!M19+'11.6'!M19+'12.6'!M19+'13.6'!M19+'14.6'!M19+'15.6'!M19+'16.6'!M19+'17.6'!M19+'18.6'!M19+'19.6'!M19+'20.6'!M19+'21.6'!M19+'22.6'!M19+'23.6'!M19+'24.6'!M19+'25.6'!M19+'26.6'!M19+'27.6'!M19+'28.6'!M19+'29.6'!M19+'30.6'!M19</f>
        <v>0</v>
      </c>
      <c r="M19" s="13">
        <f>'1.6'!N19+'2.6'!N19+'3.6'!N19+'4.6'!N19+'5.6'!N19+'6.6'!N19+'7.6'!N19+'8.6'!N19+'9.6'!N19+'10.6'!N19+'11.6'!N19+'12.6'!N19+'13.6'!N19+'14.6'!N19+'15.6'!N19+'16.6'!N19+'17.6'!N19+'18.6'!N19+'19.6'!N19+'20.6'!N19+'21.6'!N19+'22.6'!N19+'23.6'!N19+'24.6'!N19+'25.6'!N19+'26.6'!N19+'27.6'!N19+'28.6'!N19+'29.6'!N19+'30.6'!N19</f>
        <v>0</v>
      </c>
      <c r="N19" s="13">
        <f>'1.6'!O19+'2.6'!O19+'3.6'!O19+'4.6'!O19+'5.6'!O19+'6.6'!O19+'7.6'!O19+'8.6'!O19+'9.6'!O19+'10.6'!O19+'11.6'!O19+'12.6'!O19+'13.6'!O19+'14.6'!O19+'15.6'!O19+'16.6'!O19+'17.6'!O19+'18.6'!O19+'19.6'!O19+'20.6'!O19+'21.6'!O19+'22.6'!O19+'23.6'!O19+'24.6'!O19+'25.6'!O19+'26.6'!O19+'27.6'!O19+'28.6'!O19+'29.6'!O19+'30.6'!O19</f>
        <v>0</v>
      </c>
      <c r="O19" s="13">
        <f>'1.6'!P19+'2.6'!P19+'3.6'!P19+'4.6'!P19+'5.6'!P19+'6.6'!P19+'7.6'!P19+'8.6'!P19+'9.6'!P19+'10.6'!P19+'11.6'!P19+'12.6'!P19+'13.6'!P19+'14.6'!P19+'15.6'!P19+'16.6'!P19+'17.6'!P19+'18.6'!P19+'19.6'!P19+'20.6'!P19+'21.6'!P19+'22.6'!P19+'23.6'!P19+'24.6'!P19+'25.6'!P19+'26.6'!P19+'27.6'!P19+'28.6'!P19+'29.6'!P19+'30.6'!P19</f>
        <v>2</v>
      </c>
      <c r="P19" s="13">
        <f>'1.6'!Q19+'2.6'!Q19+'3.6'!Q19+'4.6'!Q19+'5.6'!Q19+'6.6'!Q19+'7.6'!Q19+'8.6'!Q19+'9.6'!Q19+'10.6'!Q19+'11.6'!Q19+'12.6'!Q19+'13.6'!Q19+'14.6'!Q19+'15.6'!Q19+'16.6'!Q19+'17.6'!Q19+'18.6'!Q19+'19.6'!Q19+'20.6'!Q19+'21.6'!Q19+'22.6'!Q19+'23.6'!Q19+'24.6'!Q19+'25.6'!Q19+'26.6'!Q19+'27.6'!Q19+'28.6'!Q19+'29.6'!Q19+'30.6'!Q19</f>
        <v>4</v>
      </c>
      <c r="Q19" s="13">
        <f>'1.6'!R19+'2.6'!R19+'3.6'!R19+'4.6'!R19+'5.6'!R19+'6.6'!R19+'7.6'!R19+'8.6'!R19+'9.6'!R19+'10.6'!R19+'11.6'!R19+'12.6'!R19+'13.6'!R19+'14.6'!R19+'15.6'!R19+'16.6'!R19+'17.6'!R19+'18.6'!R19+'19.6'!R19+'20.6'!R19+'21.6'!R19+'22.6'!R19+'23.6'!R19+'24.6'!R19+'25.6'!R19+'26.6'!R19+'27.6'!R19+'28.6'!R19+'29.6'!R19+'30.6'!R19</f>
        <v>0</v>
      </c>
      <c r="R19" s="13">
        <f>'1.6'!S19+'2.6'!S19+'3.6'!S19+'4.6'!S19+'5.6'!S19+'6.6'!S19+'7.6'!S19+'8.6'!S19+'9.6'!S19+'10.6'!S19+'11.6'!S19+'12.6'!S19+'13.6'!S19+'14.6'!S19+'15.6'!S19+'16.6'!S19+'17.6'!S19+'18.6'!S19+'19.6'!S19+'20.6'!S19+'21.6'!S19+'22.6'!S19+'23.6'!S19+'24.6'!S19+'25.6'!S19+'26.6'!S19+'27.6'!S19+'28.6'!S19+'29.6'!S19+'30.6'!S19</f>
        <v>4</v>
      </c>
    </row>
    <row r="20" spans="1:18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13">
        <f>'1.6'!F20+'2.6'!F20+'3.6'!F20+'4.6'!F20+'5.6'!F20+'6.6'!F20+'7.6'!F20+'8.6'!F20+'9.6'!F20+'10.6'!F20+'11.6'!F20+'12.6'!F20+'13.6'!F20+'14.6'!F20+'15.6'!F20+'16.6'!F20+'17.6'!F20+'18.6'!F20+'19.6'!F20+'20.6'!F20+'21.6'!F20+'22.6'!F20+'23.6'!F20+'24.6'!F20+'25.6'!F20+'26.6'!F20+'27.6'!F20+'28.6'!F20+'29.6'!F20+'30.6'!F20</f>
        <v>0</v>
      </c>
      <c r="F20" s="13">
        <f>'1.6'!G20+'2.6'!G20+'3.6'!G20+'4.6'!G20+'5.6'!G20+'6.6'!G20+'7.6'!G20+'8.6'!G20+'9.6'!G20+'10.6'!G20+'11.6'!G20+'12.6'!G20+'13.6'!G20+'14.6'!G20+'15.6'!G20+'16.6'!G20+'17.6'!G20+'18.6'!G20+'19.6'!G20+'20.6'!G20+'21.6'!G20+'22.6'!G20+'23.6'!G20+'24.6'!G20+'25.6'!G20+'26.6'!G20+'27.6'!G20+'28.6'!G20+'29.6'!G20+'30.6'!G20</f>
        <v>0</v>
      </c>
      <c r="G20" s="13">
        <f>'1.6'!H20+'2.6'!H20+'3.6'!H20+'4.6'!H20+'5.6'!H20+'6.6'!H20+'7.6'!H20+'8.6'!H20+'9.6'!H20+'10.6'!H20+'11.6'!H20+'12.6'!H20+'13.6'!H20+'14.6'!H20+'15.6'!H20+'16.6'!H20+'17.6'!H20+'18.6'!H20+'19.6'!H20+'20.6'!H20+'21.6'!H20+'22.6'!H20+'23.6'!H20+'24.6'!H20+'25.6'!H20+'26.6'!H20+'27.6'!H20+'28.6'!H20+'29.6'!H20+'30.6'!H20</f>
        <v>0</v>
      </c>
      <c r="H20" s="13">
        <f>'1.6'!I20+'2.6'!I20+'3.6'!I20+'4.6'!I20+'5.6'!I20+'6.6'!I20+'7.6'!I20+'8.6'!I20+'9.6'!I20+'10.6'!I20+'11.6'!I20+'12.6'!I20+'13.6'!I20+'14.6'!I20+'15.6'!I20+'16.6'!I20+'17.6'!I20+'18.6'!I20+'19.6'!I20+'20.6'!I20+'21.6'!I20+'22.6'!I20+'23.6'!I20+'24.6'!I20+'25.6'!I20+'26.6'!I20+'27.6'!I20+'28.6'!I20+'29.6'!I20+'30.6'!I20</f>
        <v>0</v>
      </c>
      <c r="I20" s="13">
        <f>'1.6'!J20+'2.6'!J20+'3.6'!J20+'4.6'!J20+'5.6'!J20+'6.6'!J20+'7.6'!J20+'8.6'!J20+'9.6'!J20+'10.6'!J20+'11.6'!J20+'12.6'!J20+'13.6'!J20+'14.6'!J20+'15.6'!J20+'16.6'!J20+'17.6'!J20+'18.6'!J20+'19.6'!J20+'20.6'!J20+'21.6'!J20+'22.6'!J20+'23.6'!J20+'24.6'!J20+'25.6'!J20+'26.6'!J20+'27.6'!J20+'28.6'!J20+'29.6'!J20+'30.6'!J20</f>
        <v>0</v>
      </c>
      <c r="J20" s="13">
        <f>'1.6'!K20+'2.6'!K20+'3.6'!K20+'4.6'!K20+'5.6'!K20+'6.6'!K20+'7.6'!K20+'8.6'!K20+'9.6'!K20+'10.6'!K20+'11.6'!K20+'12.6'!K20+'13.6'!K20+'14.6'!K20+'15.6'!K20+'16.6'!K20+'17.6'!K20+'18.6'!K20+'19.6'!K20+'20.6'!K20+'21.6'!K20+'22.6'!K20+'23.6'!K20+'24.6'!K20+'25.6'!K20+'26.6'!K20+'27.6'!K20+'28.6'!K20+'29.6'!K20+'30.6'!K20</f>
        <v>0</v>
      </c>
      <c r="K20" s="13">
        <f>'1.6'!L20+'2.6'!L20+'3.6'!L20+'4.6'!L20+'5.6'!L20+'6.6'!L20+'7.6'!L20+'8.6'!L20+'9.6'!L20+'10.6'!L20+'11.6'!L20+'12.6'!L20+'13.6'!L20+'14.6'!L20+'15.6'!L20+'16.6'!L20+'17.6'!L20+'18.6'!L20+'19.6'!L20+'20.6'!L20+'21.6'!L20+'22.6'!L20+'23.6'!L20+'24.6'!L20+'25.6'!L20+'26.6'!L20+'27.6'!L20+'28.6'!L20+'29.6'!L20+'30.6'!L20</f>
        <v>0</v>
      </c>
      <c r="L20" s="13">
        <f>'1.6'!M20+'2.6'!M20+'3.6'!M20+'4.6'!M20+'5.6'!M20+'6.6'!M20+'7.6'!M20+'8.6'!M20+'9.6'!M20+'10.6'!M20+'11.6'!M20+'12.6'!M20+'13.6'!M20+'14.6'!M20+'15.6'!M20+'16.6'!M20+'17.6'!M20+'18.6'!M20+'19.6'!M20+'20.6'!M20+'21.6'!M20+'22.6'!M20+'23.6'!M20+'24.6'!M20+'25.6'!M20+'26.6'!M20+'27.6'!M20+'28.6'!M20+'29.6'!M20+'30.6'!M20</f>
        <v>0</v>
      </c>
      <c r="M20" s="13">
        <f>'1.6'!N20+'2.6'!N20+'3.6'!N20+'4.6'!N20+'5.6'!N20+'6.6'!N20+'7.6'!N20+'8.6'!N20+'9.6'!N20+'10.6'!N20+'11.6'!N20+'12.6'!N20+'13.6'!N20+'14.6'!N20+'15.6'!N20+'16.6'!N20+'17.6'!N20+'18.6'!N20+'19.6'!N20+'20.6'!N20+'21.6'!N20+'22.6'!N20+'23.6'!N20+'24.6'!N20+'25.6'!N20+'26.6'!N20+'27.6'!N20+'28.6'!N20+'29.6'!N20+'30.6'!N20</f>
        <v>0</v>
      </c>
      <c r="N20" s="13">
        <f>'1.6'!O20+'2.6'!O20+'3.6'!O20+'4.6'!O20+'5.6'!O20+'6.6'!O20+'7.6'!O20+'8.6'!O20+'9.6'!O20+'10.6'!O20+'11.6'!O20+'12.6'!O20+'13.6'!O20+'14.6'!O20+'15.6'!O20+'16.6'!O20+'17.6'!O20+'18.6'!O20+'19.6'!O20+'20.6'!O20+'21.6'!O20+'22.6'!O20+'23.6'!O20+'24.6'!O20+'25.6'!O20+'26.6'!O20+'27.6'!O20+'28.6'!O20+'29.6'!O20+'30.6'!O20</f>
        <v>0</v>
      </c>
      <c r="O20" s="13">
        <f>'1.6'!P20+'2.6'!P20+'3.6'!P20+'4.6'!P20+'5.6'!P20+'6.6'!P20+'7.6'!P20+'8.6'!P20+'9.6'!P20+'10.6'!P20+'11.6'!P20+'12.6'!P20+'13.6'!P20+'14.6'!P20+'15.6'!P20+'16.6'!P20+'17.6'!P20+'18.6'!P20+'19.6'!P20+'20.6'!P20+'21.6'!P20+'22.6'!P20+'23.6'!P20+'24.6'!P20+'25.6'!P20+'26.6'!P20+'27.6'!P20+'28.6'!P20+'29.6'!P20+'30.6'!P20</f>
        <v>0</v>
      </c>
      <c r="P20" s="13">
        <f>'1.6'!Q20+'2.6'!Q20+'3.6'!Q20+'4.6'!Q20+'5.6'!Q20+'6.6'!Q20+'7.6'!Q20+'8.6'!Q20+'9.6'!Q20+'10.6'!Q20+'11.6'!Q20+'12.6'!Q20+'13.6'!Q20+'14.6'!Q20+'15.6'!Q20+'16.6'!Q20+'17.6'!Q20+'18.6'!Q20+'19.6'!Q20+'20.6'!Q20+'21.6'!Q20+'22.6'!Q20+'23.6'!Q20+'24.6'!Q20+'25.6'!Q20+'26.6'!Q20+'27.6'!Q20+'28.6'!Q20+'29.6'!Q20+'30.6'!Q20</f>
        <v>0</v>
      </c>
      <c r="Q20" s="13">
        <f>'1.6'!R20+'2.6'!R20+'3.6'!R20+'4.6'!R20+'5.6'!R20+'6.6'!R20+'7.6'!R20+'8.6'!R20+'9.6'!R20+'10.6'!R20+'11.6'!R20+'12.6'!R20+'13.6'!R20+'14.6'!R20+'15.6'!R20+'16.6'!R20+'17.6'!R20+'18.6'!R20+'19.6'!R20+'20.6'!R20+'21.6'!R20+'22.6'!R20+'23.6'!R20+'24.6'!R20+'25.6'!R20+'26.6'!R20+'27.6'!R20+'28.6'!R20+'29.6'!R20+'30.6'!R20</f>
        <v>0</v>
      </c>
      <c r="R20" s="13">
        <f>'1.6'!S20+'2.6'!S20+'3.6'!S20+'4.6'!S20+'5.6'!S20+'6.6'!S20+'7.6'!S20+'8.6'!S20+'9.6'!S20+'10.6'!S20+'11.6'!S20+'12.6'!S20+'13.6'!S20+'14.6'!S20+'15.6'!S20+'16.6'!S20+'17.6'!S20+'18.6'!S20+'19.6'!S20+'20.6'!S20+'21.6'!S20+'22.6'!S20+'23.6'!S20+'24.6'!S20+'25.6'!S20+'26.6'!S20+'27.6'!S20+'28.6'!S20+'29.6'!S20+'30.6'!S20</f>
        <v>0</v>
      </c>
    </row>
    <row r="21" spans="1:18" ht="18.75">
      <c r="A21" s="6">
        <v>15</v>
      </c>
      <c r="B21" s="7" t="s">
        <v>26</v>
      </c>
      <c r="C21" s="8" t="s">
        <v>12</v>
      </c>
      <c r="D21" s="13">
        <f t="shared" si="0"/>
        <v>55.85</v>
      </c>
      <c r="E21" s="13">
        <f>'1.6'!F21+'2.6'!F21+'3.6'!F21+'4.6'!F21+'5.6'!F21+'6.6'!F21+'7.6'!F21+'8.6'!F21+'9.6'!F21+'10.6'!F21+'11.6'!F21+'12.6'!F21+'13.6'!F21+'14.6'!F21+'15.6'!F21+'16.6'!F21+'17.6'!F21+'18.6'!F21+'19.6'!F21+'20.6'!F21+'21.6'!F21+'22.6'!F21+'23.6'!F21+'24.6'!F21+'25.6'!F21+'26.6'!F21+'27.6'!F21+'28.6'!F21+'29.6'!F21+'30.6'!F21</f>
        <v>5.95</v>
      </c>
      <c r="F21" s="13">
        <f>'1.6'!G21+'2.6'!G21+'3.6'!G21+'4.6'!G21+'5.6'!G21+'6.6'!G21+'7.6'!G21+'8.6'!G21+'9.6'!G21+'10.6'!G21+'11.6'!G21+'12.6'!G21+'13.6'!G21+'14.6'!G21+'15.6'!G21+'16.6'!G21+'17.6'!G21+'18.6'!G21+'19.6'!G21+'20.6'!G21+'21.6'!G21+'22.6'!G21+'23.6'!G21+'24.6'!G21+'25.6'!G21+'26.6'!G21+'27.6'!G21+'28.6'!G21+'29.6'!G21+'30.6'!G21</f>
        <v>2</v>
      </c>
      <c r="G21" s="13">
        <f>'1.6'!H21+'2.6'!H21+'3.6'!H21+'4.6'!H21+'5.6'!H21+'6.6'!H21+'7.6'!H21+'8.6'!H21+'9.6'!H21+'10.6'!H21+'11.6'!H21+'12.6'!H21+'13.6'!H21+'14.6'!H21+'15.6'!H21+'16.6'!H21+'17.6'!H21+'18.6'!H21+'19.6'!H21+'20.6'!H21+'21.6'!H21+'22.6'!H21+'23.6'!H21+'24.6'!H21+'25.6'!H21+'26.6'!H21+'27.6'!H21+'28.6'!H21+'29.6'!H21+'30.6'!H21</f>
        <v>0</v>
      </c>
      <c r="H21" s="13">
        <f>'1.6'!I21+'2.6'!I21+'3.6'!I21+'4.6'!I21+'5.6'!I21+'6.6'!I21+'7.6'!I21+'8.6'!I21+'9.6'!I21+'10.6'!I21+'11.6'!I21+'12.6'!I21+'13.6'!I21+'14.6'!I21+'15.6'!I21+'16.6'!I21+'17.6'!I21+'18.6'!I21+'19.6'!I21+'20.6'!I21+'21.6'!I21+'22.6'!I21+'23.6'!I21+'24.6'!I21+'25.6'!I21+'26.6'!I21+'27.6'!I21+'28.6'!I21+'29.6'!I21+'30.6'!I21</f>
        <v>19</v>
      </c>
      <c r="I21" s="13">
        <f>'1.6'!J21+'2.6'!J21+'3.6'!J21+'4.6'!J21+'5.6'!J21+'6.6'!J21+'7.6'!J21+'8.6'!J21+'9.6'!J21+'10.6'!J21+'11.6'!J21+'12.6'!J21+'13.6'!J21+'14.6'!J21+'15.6'!J21+'16.6'!J21+'17.6'!J21+'18.6'!J21+'19.6'!J21+'20.6'!J21+'21.6'!J21+'22.6'!J21+'23.6'!J21+'24.6'!J21+'25.6'!J21+'26.6'!J21+'27.6'!J21+'28.6'!J21+'29.6'!J21+'30.6'!J21</f>
        <v>4</v>
      </c>
      <c r="J21" s="13">
        <f>'1.6'!K21+'2.6'!K21+'3.6'!K21+'4.6'!K21+'5.6'!K21+'6.6'!K21+'7.6'!K21+'8.6'!K21+'9.6'!K21+'10.6'!K21+'11.6'!K21+'12.6'!K21+'13.6'!K21+'14.6'!K21+'15.6'!K21+'16.6'!K21+'17.6'!K21+'18.6'!K21+'19.6'!K21+'20.6'!K21+'21.6'!K21+'22.6'!K21+'23.6'!K21+'24.6'!K21+'25.6'!K21+'26.6'!K21+'27.6'!K21+'28.6'!K21+'29.6'!K21+'30.6'!K21</f>
        <v>0</v>
      </c>
      <c r="K21" s="13">
        <f>'1.6'!L21+'2.6'!L21+'3.6'!L21+'4.6'!L21+'5.6'!L21+'6.6'!L21+'7.6'!L21+'8.6'!L21+'9.6'!L21+'10.6'!L21+'11.6'!L21+'12.6'!L21+'13.6'!L21+'14.6'!L21+'15.6'!L21+'16.6'!L21+'17.6'!L21+'18.6'!L21+'19.6'!L21+'20.6'!L21+'21.6'!L21+'22.6'!L21+'23.6'!L21+'24.6'!L21+'25.6'!L21+'26.6'!L21+'27.6'!L21+'28.6'!L21+'29.6'!L21+'30.6'!L21</f>
        <v>0</v>
      </c>
      <c r="L21" s="13">
        <f>'1.6'!M21+'2.6'!M21+'3.6'!M21+'4.6'!M21+'5.6'!M21+'6.6'!M21+'7.6'!M21+'8.6'!M21+'9.6'!M21+'10.6'!M21+'11.6'!M21+'12.6'!M21+'13.6'!M21+'14.6'!M21+'15.6'!M21+'16.6'!M21+'17.6'!M21+'18.6'!M21+'19.6'!M21+'20.6'!M21+'21.6'!M21+'22.6'!M21+'23.6'!M21+'24.6'!M21+'25.6'!M21+'26.6'!M21+'27.6'!M21+'28.6'!M21+'29.6'!M21+'30.6'!M21</f>
        <v>0</v>
      </c>
      <c r="M21" s="13">
        <f>'1.6'!N21+'2.6'!N21+'3.6'!N21+'4.6'!N21+'5.6'!N21+'6.6'!N21+'7.6'!N21+'8.6'!N21+'9.6'!N21+'10.6'!N21+'11.6'!N21+'12.6'!N21+'13.6'!N21+'14.6'!N21+'15.6'!N21+'16.6'!N21+'17.6'!N21+'18.6'!N21+'19.6'!N21+'20.6'!N21+'21.6'!N21+'22.6'!N21+'23.6'!N21+'24.6'!N21+'25.6'!N21+'26.6'!N21+'27.6'!N21+'28.6'!N21+'29.6'!N21+'30.6'!N21</f>
        <v>8</v>
      </c>
      <c r="N21" s="13">
        <f>'1.6'!O21+'2.6'!O21+'3.6'!O21+'4.6'!O21+'5.6'!O21+'6.6'!O21+'7.6'!O21+'8.6'!O21+'9.6'!O21+'10.6'!O21+'11.6'!O21+'12.6'!O21+'13.6'!O21+'14.6'!O21+'15.6'!O21+'16.6'!O21+'17.6'!O21+'18.6'!O21+'19.6'!O21+'20.6'!O21+'21.6'!O21+'22.6'!O21+'23.6'!O21+'24.6'!O21+'25.6'!O21+'26.6'!O21+'27.6'!O21+'28.6'!O21+'29.6'!O21+'30.6'!O21</f>
        <v>3.9</v>
      </c>
      <c r="O21" s="13">
        <f>'1.6'!P21+'2.6'!P21+'3.6'!P21+'4.6'!P21+'5.6'!P21+'6.6'!P21+'7.6'!P21+'8.6'!P21+'9.6'!P21+'10.6'!P21+'11.6'!P21+'12.6'!P21+'13.6'!P21+'14.6'!P21+'15.6'!P21+'16.6'!P21+'17.6'!P21+'18.6'!P21+'19.6'!P21+'20.6'!P21+'21.6'!P21+'22.6'!P21+'23.6'!P21+'24.6'!P21+'25.6'!P21+'26.6'!P21+'27.6'!P21+'28.6'!P21+'29.6'!P21+'30.6'!P21</f>
        <v>7</v>
      </c>
      <c r="P21" s="13">
        <f>'1.6'!Q21+'2.6'!Q21+'3.6'!Q21+'4.6'!Q21+'5.6'!Q21+'6.6'!Q21+'7.6'!Q21+'8.6'!Q21+'9.6'!Q21+'10.6'!Q21+'11.6'!Q21+'12.6'!Q21+'13.6'!Q21+'14.6'!Q21+'15.6'!Q21+'16.6'!Q21+'17.6'!Q21+'18.6'!Q21+'19.6'!Q21+'20.6'!Q21+'21.6'!Q21+'22.6'!Q21+'23.6'!Q21+'24.6'!Q21+'25.6'!Q21+'26.6'!Q21+'27.6'!Q21+'28.6'!Q21+'29.6'!Q21+'30.6'!Q21</f>
        <v>6</v>
      </c>
      <c r="Q21" s="13">
        <f>'1.6'!R21+'2.6'!R21+'3.6'!R21+'4.6'!R21+'5.6'!R21+'6.6'!R21+'7.6'!R21+'8.6'!R21+'9.6'!R21+'10.6'!R21+'11.6'!R21+'12.6'!R21+'13.6'!R21+'14.6'!R21+'15.6'!R21+'16.6'!R21+'17.6'!R21+'18.6'!R21+'19.6'!R21+'20.6'!R21+'21.6'!R21+'22.6'!R21+'23.6'!R21+'24.6'!R21+'25.6'!R21+'26.6'!R21+'27.6'!R21+'28.6'!R21+'29.6'!R21+'30.6'!R21</f>
        <v>0</v>
      </c>
      <c r="R21" s="13">
        <f>'1.6'!S21+'2.6'!S21+'3.6'!S21+'4.6'!S21+'5.6'!S21+'6.6'!S21+'7.6'!S21+'8.6'!S21+'9.6'!S21+'10.6'!S21+'11.6'!S21+'12.6'!S21+'13.6'!S21+'14.6'!S21+'15.6'!S21+'16.6'!S21+'17.6'!S21+'18.6'!S21+'19.6'!S21+'20.6'!S21+'21.6'!S21+'22.6'!S21+'23.6'!S21+'24.6'!S21+'25.6'!S21+'26.6'!S21+'27.6'!S21+'28.6'!S21+'29.6'!S21+'30.6'!S21</f>
        <v>3</v>
      </c>
    </row>
    <row r="22" spans="1:18" ht="18.75">
      <c r="A22" s="6">
        <v>16</v>
      </c>
      <c r="B22" s="7" t="s">
        <v>27</v>
      </c>
      <c r="C22" s="8" t="s">
        <v>12</v>
      </c>
      <c r="D22" s="13">
        <f t="shared" si="0"/>
        <v>2</v>
      </c>
      <c r="E22" s="13">
        <f>'1.6'!F22+'2.6'!F22+'3.6'!F22+'4.6'!F22+'5.6'!F22+'6.6'!F22+'7.6'!F22+'8.6'!F22+'9.6'!F22+'10.6'!F22+'11.6'!F22+'12.6'!F22+'13.6'!F22+'14.6'!F22+'15.6'!F22+'16.6'!F22+'17.6'!F22+'18.6'!F22+'19.6'!F22+'20.6'!F22+'21.6'!F22+'22.6'!F22+'23.6'!F22+'24.6'!F22+'25.6'!F22+'26.6'!F22+'27.6'!F22+'28.6'!F22+'29.6'!F22+'30.6'!F22</f>
        <v>2</v>
      </c>
      <c r="F22" s="13">
        <f>'1.6'!G22+'2.6'!G22+'3.6'!G22+'4.6'!G22+'5.6'!G22+'6.6'!G22+'7.6'!G22+'8.6'!G22+'9.6'!G22+'10.6'!G22+'11.6'!G22+'12.6'!G22+'13.6'!G22+'14.6'!G22+'15.6'!G22+'16.6'!G22+'17.6'!G22+'18.6'!G22+'19.6'!G22+'20.6'!G22+'21.6'!G22+'22.6'!G22+'23.6'!G22+'24.6'!G22+'25.6'!G22+'26.6'!G22+'27.6'!G22+'28.6'!G22+'29.6'!G22+'30.6'!G22</f>
        <v>0</v>
      </c>
      <c r="G22" s="13">
        <f>'1.6'!H22+'2.6'!H22+'3.6'!H22+'4.6'!H22+'5.6'!H22+'6.6'!H22+'7.6'!H22+'8.6'!H22+'9.6'!H22+'10.6'!H22+'11.6'!H22+'12.6'!H22+'13.6'!H22+'14.6'!H22+'15.6'!H22+'16.6'!H22+'17.6'!H22+'18.6'!H22+'19.6'!H22+'20.6'!H22+'21.6'!H22+'22.6'!H22+'23.6'!H22+'24.6'!H22+'25.6'!H22+'26.6'!H22+'27.6'!H22+'28.6'!H22+'29.6'!H22+'30.6'!H22</f>
        <v>0</v>
      </c>
      <c r="H22" s="13">
        <f>'1.6'!I22+'2.6'!I22+'3.6'!I22+'4.6'!I22+'5.6'!I22+'6.6'!I22+'7.6'!I22+'8.6'!I22+'9.6'!I22+'10.6'!I22+'11.6'!I22+'12.6'!I22+'13.6'!I22+'14.6'!I22+'15.6'!I22+'16.6'!I22+'17.6'!I22+'18.6'!I22+'19.6'!I22+'20.6'!I22+'21.6'!I22+'22.6'!I22+'23.6'!I22+'24.6'!I22+'25.6'!I22+'26.6'!I22+'27.6'!I22+'28.6'!I22+'29.6'!I22+'30.6'!I22</f>
        <v>0</v>
      </c>
      <c r="I22" s="13">
        <f>'1.6'!J22+'2.6'!J22+'3.6'!J22+'4.6'!J22+'5.6'!J22+'6.6'!J22+'7.6'!J22+'8.6'!J22+'9.6'!J22+'10.6'!J22+'11.6'!J22+'12.6'!J22+'13.6'!J22+'14.6'!J22+'15.6'!J22+'16.6'!J22+'17.6'!J22+'18.6'!J22+'19.6'!J22+'20.6'!J22+'21.6'!J22+'22.6'!J22+'23.6'!J22+'24.6'!J22+'25.6'!J22+'26.6'!J22+'27.6'!J22+'28.6'!J22+'29.6'!J22+'30.6'!J22</f>
        <v>0</v>
      </c>
      <c r="J22" s="13">
        <f>'1.6'!K22+'2.6'!K22+'3.6'!K22+'4.6'!K22+'5.6'!K22+'6.6'!K22+'7.6'!K22+'8.6'!K22+'9.6'!K22+'10.6'!K22+'11.6'!K22+'12.6'!K22+'13.6'!K22+'14.6'!K22+'15.6'!K22+'16.6'!K22+'17.6'!K22+'18.6'!K22+'19.6'!K22+'20.6'!K22+'21.6'!K22+'22.6'!K22+'23.6'!K22+'24.6'!K22+'25.6'!K22+'26.6'!K22+'27.6'!K22+'28.6'!K22+'29.6'!K22+'30.6'!K22</f>
        <v>0</v>
      </c>
      <c r="K22" s="13">
        <f>'1.6'!L22+'2.6'!L22+'3.6'!L22+'4.6'!L22+'5.6'!L22+'6.6'!L22+'7.6'!L22+'8.6'!L22+'9.6'!L22+'10.6'!L22+'11.6'!L22+'12.6'!L22+'13.6'!L22+'14.6'!L22+'15.6'!L22+'16.6'!L22+'17.6'!L22+'18.6'!L22+'19.6'!L22+'20.6'!L22+'21.6'!L22+'22.6'!L22+'23.6'!L22+'24.6'!L22+'25.6'!L22+'26.6'!L22+'27.6'!L22+'28.6'!L22+'29.6'!L22+'30.6'!L22</f>
        <v>0</v>
      </c>
      <c r="L22" s="13">
        <f>'1.6'!M22+'2.6'!M22+'3.6'!M22+'4.6'!M22+'5.6'!M22+'6.6'!M22+'7.6'!M22+'8.6'!M22+'9.6'!M22+'10.6'!M22+'11.6'!M22+'12.6'!M22+'13.6'!M22+'14.6'!M22+'15.6'!M22+'16.6'!M22+'17.6'!M22+'18.6'!M22+'19.6'!M22+'20.6'!M22+'21.6'!M22+'22.6'!M22+'23.6'!M22+'24.6'!M22+'25.6'!M22+'26.6'!M22+'27.6'!M22+'28.6'!M22+'29.6'!M22+'30.6'!M22</f>
        <v>0</v>
      </c>
      <c r="M22" s="13">
        <f>'1.6'!N22+'2.6'!N22+'3.6'!N22+'4.6'!N22+'5.6'!N22+'6.6'!N22+'7.6'!N22+'8.6'!N22+'9.6'!N22+'10.6'!N22+'11.6'!N22+'12.6'!N22+'13.6'!N22+'14.6'!N22+'15.6'!N22+'16.6'!N22+'17.6'!N22+'18.6'!N22+'19.6'!N22+'20.6'!N22+'21.6'!N22+'22.6'!N22+'23.6'!N22+'24.6'!N22+'25.6'!N22+'26.6'!N22+'27.6'!N22+'28.6'!N22+'29.6'!N22+'30.6'!N22</f>
        <v>0</v>
      </c>
      <c r="N22" s="13">
        <f>'1.6'!O22+'2.6'!O22+'3.6'!O22+'4.6'!O22+'5.6'!O22+'6.6'!O22+'7.6'!O22+'8.6'!O22+'9.6'!O22+'10.6'!O22+'11.6'!O22+'12.6'!O22+'13.6'!O22+'14.6'!O22+'15.6'!O22+'16.6'!O22+'17.6'!O22+'18.6'!O22+'19.6'!O22+'20.6'!O22+'21.6'!O22+'22.6'!O22+'23.6'!O22+'24.6'!O22+'25.6'!O22+'26.6'!O22+'27.6'!O22+'28.6'!O22+'29.6'!O22+'30.6'!O22</f>
        <v>0</v>
      </c>
      <c r="O22" s="13">
        <f>'1.6'!P22+'2.6'!P22+'3.6'!P22+'4.6'!P22+'5.6'!P22+'6.6'!P22+'7.6'!P22+'8.6'!P22+'9.6'!P22+'10.6'!P22+'11.6'!P22+'12.6'!P22+'13.6'!P22+'14.6'!P22+'15.6'!P22+'16.6'!P22+'17.6'!P22+'18.6'!P22+'19.6'!P22+'20.6'!P22+'21.6'!P22+'22.6'!P22+'23.6'!P22+'24.6'!P22+'25.6'!P22+'26.6'!P22+'27.6'!P22+'28.6'!P22+'29.6'!P22+'30.6'!P22</f>
        <v>0</v>
      </c>
      <c r="P22" s="13">
        <f>'1.6'!Q22+'2.6'!Q22+'3.6'!Q22+'4.6'!Q22+'5.6'!Q22+'6.6'!Q22+'7.6'!Q22+'8.6'!Q22+'9.6'!Q22+'10.6'!Q22+'11.6'!Q22+'12.6'!Q22+'13.6'!Q22+'14.6'!Q22+'15.6'!Q22+'16.6'!Q22+'17.6'!Q22+'18.6'!Q22+'19.6'!Q22+'20.6'!Q22+'21.6'!Q22+'22.6'!Q22+'23.6'!Q22+'24.6'!Q22+'25.6'!Q22+'26.6'!Q22+'27.6'!Q22+'28.6'!Q22+'29.6'!Q22+'30.6'!Q22</f>
        <v>0</v>
      </c>
      <c r="Q22" s="13">
        <f>'1.6'!R22+'2.6'!R22+'3.6'!R22+'4.6'!R22+'5.6'!R22+'6.6'!R22+'7.6'!R22+'8.6'!R22+'9.6'!R22+'10.6'!R22+'11.6'!R22+'12.6'!R22+'13.6'!R22+'14.6'!R22+'15.6'!R22+'16.6'!R22+'17.6'!R22+'18.6'!R22+'19.6'!R22+'20.6'!R22+'21.6'!R22+'22.6'!R22+'23.6'!R22+'24.6'!R22+'25.6'!R22+'26.6'!R22+'27.6'!R22+'28.6'!R22+'29.6'!R22+'30.6'!R22</f>
        <v>0</v>
      </c>
      <c r="R22" s="13">
        <f>'1.6'!S22+'2.6'!S22+'3.6'!S22+'4.6'!S22+'5.6'!S22+'6.6'!S22+'7.6'!S22+'8.6'!S22+'9.6'!S22+'10.6'!S22+'11.6'!S22+'12.6'!S22+'13.6'!S22+'14.6'!S22+'15.6'!S22+'16.6'!S22+'17.6'!S22+'18.6'!S22+'19.6'!S22+'20.6'!S22+'21.6'!S22+'22.6'!S22+'23.6'!S22+'24.6'!S22+'25.6'!S22+'26.6'!S22+'27.6'!S22+'28.6'!S22+'29.6'!S22+'30.6'!S22</f>
        <v>0</v>
      </c>
    </row>
    <row r="23" spans="1:18" ht="18.75">
      <c r="A23" s="6">
        <v>17</v>
      </c>
      <c r="B23" s="7" t="s">
        <v>73</v>
      </c>
      <c r="C23" s="8" t="s">
        <v>12</v>
      </c>
      <c r="D23" s="13">
        <f t="shared" si="0"/>
        <v>0</v>
      </c>
      <c r="E23" s="13">
        <f>'1.6'!F23+'2.6'!F23+'3.6'!F23+'4.6'!F23+'5.6'!F23+'6.6'!F23+'7.6'!F23+'8.6'!F23+'9.6'!F23+'10.6'!F23+'11.6'!F23+'12.6'!F23+'13.6'!F23+'14.6'!F23+'15.6'!F23+'16.6'!F23+'17.6'!F23+'18.6'!F23+'19.6'!F23+'20.6'!F23+'21.6'!F23+'22.6'!F23+'23.6'!F23+'24.6'!F23+'25.6'!F23+'26.6'!F23+'27.6'!F23+'28.6'!F23+'29.6'!F23+'30.6'!F23</f>
        <v>0</v>
      </c>
      <c r="F23" s="13">
        <f>'1.6'!G23+'2.6'!G23+'3.6'!G23+'4.6'!G23+'5.6'!G23+'6.6'!G23+'7.6'!G23+'8.6'!G23+'9.6'!G23+'10.6'!G23+'11.6'!G23+'12.6'!G23+'13.6'!G23+'14.6'!G23+'15.6'!G23+'16.6'!G23+'17.6'!G23+'18.6'!G23+'19.6'!G23+'20.6'!G23+'21.6'!G23+'22.6'!G23+'23.6'!G23+'24.6'!G23+'25.6'!G23+'26.6'!G23+'27.6'!G23+'28.6'!G23+'29.6'!G23+'30.6'!G23</f>
        <v>0</v>
      </c>
      <c r="G23" s="13">
        <f>'1.6'!H23+'2.6'!H23+'3.6'!H23+'4.6'!H23+'5.6'!H23+'6.6'!H23+'7.6'!H23+'8.6'!H23+'9.6'!H23+'10.6'!H23+'11.6'!H23+'12.6'!H23+'13.6'!H23+'14.6'!H23+'15.6'!H23+'16.6'!H23+'17.6'!H23+'18.6'!H23+'19.6'!H23+'20.6'!H23+'21.6'!H23+'22.6'!H23+'23.6'!H23+'24.6'!H23+'25.6'!H23+'26.6'!H23+'27.6'!H23+'28.6'!H23+'29.6'!H23+'30.6'!H23</f>
        <v>0</v>
      </c>
      <c r="H23" s="13">
        <f>'1.6'!I23+'2.6'!I23+'3.6'!I23+'4.6'!I23+'5.6'!I23+'6.6'!I23+'7.6'!I23+'8.6'!I23+'9.6'!I23+'10.6'!I23+'11.6'!I23+'12.6'!I23+'13.6'!I23+'14.6'!I23+'15.6'!I23+'16.6'!I23+'17.6'!I23+'18.6'!I23+'19.6'!I23+'20.6'!I23+'21.6'!I23+'22.6'!I23+'23.6'!I23+'24.6'!I23+'25.6'!I23+'26.6'!I23+'27.6'!I23+'28.6'!I23+'29.6'!I23+'30.6'!I23</f>
        <v>0</v>
      </c>
      <c r="I23" s="13">
        <f>'1.6'!J23+'2.6'!J23+'3.6'!J23+'4.6'!J23+'5.6'!J23+'6.6'!J23+'7.6'!J23+'8.6'!J23+'9.6'!J23+'10.6'!J23+'11.6'!J23+'12.6'!J23+'13.6'!J23+'14.6'!J23+'15.6'!J23+'16.6'!J23+'17.6'!J23+'18.6'!J23+'19.6'!J23+'20.6'!J23+'21.6'!J23+'22.6'!J23+'23.6'!J23+'24.6'!J23+'25.6'!J23+'26.6'!J23+'27.6'!J23+'28.6'!J23+'29.6'!J23+'30.6'!J23</f>
        <v>0</v>
      </c>
      <c r="J23" s="13">
        <f>'1.6'!K23+'2.6'!K23+'3.6'!K23+'4.6'!K23+'5.6'!K23+'6.6'!K23+'7.6'!K23+'8.6'!K23+'9.6'!K23+'10.6'!K23+'11.6'!K23+'12.6'!K23+'13.6'!K23+'14.6'!K23+'15.6'!K23+'16.6'!K23+'17.6'!K23+'18.6'!K23+'19.6'!K23+'20.6'!K23+'21.6'!K23+'22.6'!K23+'23.6'!K23+'24.6'!K23+'25.6'!K23+'26.6'!K23+'27.6'!K23+'28.6'!K23+'29.6'!K23+'30.6'!K23</f>
        <v>0</v>
      </c>
      <c r="K23" s="13">
        <f>'1.6'!L23+'2.6'!L23+'3.6'!L23+'4.6'!L23+'5.6'!L23+'6.6'!L23+'7.6'!L23+'8.6'!L23+'9.6'!L23+'10.6'!L23+'11.6'!L23+'12.6'!L23+'13.6'!L23+'14.6'!L23+'15.6'!L23+'16.6'!L23+'17.6'!L23+'18.6'!L23+'19.6'!L23+'20.6'!L23+'21.6'!L23+'22.6'!L23+'23.6'!L23+'24.6'!L23+'25.6'!L23+'26.6'!L23+'27.6'!L23+'28.6'!L23+'29.6'!L23+'30.6'!L23</f>
        <v>0</v>
      </c>
      <c r="L23" s="13">
        <f>'1.6'!M23+'2.6'!M23+'3.6'!M23+'4.6'!M23+'5.6'!M23+'6.6'!M23+'7.6'!M23+'8.6'!M23+'9.6'!M23+'10.6'!M23+'11.6'!M23+'12.6'!M23+'13.6'!M23+'14.6'!M23+'15.6'!M23+'16.6'!M23+'17.6'!M23+'18.6'!M23+'19.6'!M23+'20.6'!M23+'21.6'!M23+'22.6'!M23+'23.6'!M23+'24.6'!M23+'25.6'!M23+'26.6'!M23+'27.6'!M23+'28.6'!M23+'29.6'!M23+'30.6'!M23</f>
        <v>0</v>
      </c>
      <c r="M23" s="13">
        <f>'1.6'!N23+'2.6'!N23+'3.6'!N23+'4.6'!N23+'5.6'!N23+'6.6'!N23+'7.6'!N23+'8.6'!N23+'9.6'!N23+'10.6'!N23+'11.6'!N23+'12.6'!N23+'13.6'!N23+'14.6'!N23+'15.6'!N23+'16.6'!N23+'17.6'!N23+'18.6'!N23+'19.6'!N23+'20.6'!N23+'21.6'!N23+'22.6'!N23+'23.6'!N23+'24.6'!N23+'25.6'!N23+'26.6'!N23+'27.6'!N23+'28.6'!N23+'29.6'!N23+'30.6'!N23</f>
        <v>0</v>
      </c>
      <c r="N23" s="13">
        <f>'1.6'!O23+'2.6'!O23+'3.6'!O23+'4.6'!O23+'5.6'!O23+'6.6'!O23+'7.6'!O23+'8.6'!O23+'9.6'!O23+'10.6'!O23+'11.6'!O23+'12.6'!O23+'13.6'!O23+'14.6'!O23+'15.6'!O23+'16.6'!O23+'17.6'!O23+'18.6'!O23+'19.6'!O23+'20.6'!O23+'21.6'!O23+'22.6'!O23+'23.6'!O23+'24.6'!O23+'25.6'!O23+'26.6'!O23+'27.6'!O23+'28.6'!O23+'29.6'!O23+'30.6'!O23</f>
        <v>0</v>
      </c>
      <c r="O23" s="13">
        <f>'1.6'!P23+'2.6'!P23+'3.6'!P23+'4.6'!P23+'5.6'!P23+'6.6'!P23+'7.6'!P23+'8.6'!P23+'9.6'!P23+'10.6'!P23+'11.6'!P23+'12.6'!P23+'13.6'!P23+'14.6'!P23+'15.6'!P23+'16.6'!P23+'17.6'!P23+'18.6'!P23+'19.6'!P23+'20.6'!P23+'21.6'!P23+'22.6'!P23+'23.6'!P23+'24.6'!P23+'25.6'!P23+'26.6'!P23+'27.6'!P23+'28.6'!P23+'29.6'!P23+'30.6'!P23</f>
        <v>0</v>
      </c>
      <c r="P23" s="13">
        <f>'1.6'!Q23+'2.6'!Q23+'3.6'!Q23+'4.6'!Q23+'5.6'!Q23+'6.6'!Q23+'7.6'!Q23+'8.6'!Q23+'9.6'!Q23+'10.6'!Q23+'11.6'!Q23+'12.6'!Q23+'13.6'!Q23+'14.6'!Q23+'15.6'!Q23+'16.6'!Q23+'17.6'!Q23+'18.6'!Q23+'19.6'!Q23+'20.6'!Q23+'21.6'!Q23+'22.6'!Q23+'23.6'!Q23+'24.6'!Q23+'25.6'!Q23+'26.6'!Q23+'27.6'!Q23+'28.6'!Q23+'29.6'!Q23+'30.6'!Q23</f>
        <v>0</v>
      </c>
      <c r="Q23" s="13">
        <f>'1.6'!R23+'2.6'!R23+'3.6'!R23+'4.6'!R23+'5.6'!R23+'6.6'!R23+'7.6'!R23+'8.6'!R23+'9.6'!R23+'10.6'!R23+'11.6'!R23+'12.6'!R23+'13.6'!R23+'14.6'!R23+'15.6'!R23+'16.6'!R23+'17.6'!R23+'18.6'!R23+'19.6'!R23+'20.6'!R23+'21.6'!R23+'22.6'!R23+'23.6'!R23+'24.6'!R23+'25.6'!R23+'26.6'!R23+'27.6'!R23+'28.6'!R23+'29.6'!R23+'30.6'!R23</f>
        <v>0</v>
      </c>
      <c r="R23" s="13">
        <f>'1.6'!S23+'2.6'!S23+'3.6'!S23+'4.6'!S23+'5.6'!S23+'6.6'!S23+'7.6'!S23+'8.6'!S23+'9.6'!S23+'10.6'!S23+'11.6'!S23+'12.6'!S23+'13.6'!S23+'14.6'!S23+'15.6'!S23+'16.6'!S23+'17.6'!S23+'18.6'!S23+'19.6'!S23+'20.6'!S23+'21.6'!S23+'22.6'!S23+'23.6'!S23+'24.6'!S23+'25.6'!S23+'26.6'!S23+'27.6'!S23+'28.6'!S23+'29.6'!S23+'30.6'!S23</f>
        <v>0</v>
      </c>
    </row>
    <row r="24" spans="1:18" ht="18.75">
      <c r="A24" s="6">
        <v>18</v>
      </c>
      <c r="B24" s="7" t="s">
        <v>74</v>
      </c>
      <c r="C24" s="8" t="s">
        <v>12</v>
      </c>
      <c r="D24" s="13">
        <f t="shared" si="0"/>
        <v>1206.5</v>
      </c>
      <c r="E24" s="13">
        <f>'1.6'!F24+'2.6'!F24+'3.6'!F24+'4.6'!F24+'5.6'!F24+'6.6'!F24+'7.6'!F24+'8.6'!F24+'9.6'!F24+'10.6'!F24+'11.6'!F24+'12.6'!F24+'13.6'!F24+'14.6'!F24+'15.6'!F24+'16.6'!F24+'17.6'!F24+'18.6'!F24+'19.6'!F24+'20.6'!F24+'21.6'!F24+'22.6'!F24+'23.6'!F24+'24.6'!F24+'25.6'!F24+'26.6'!F24+'27.6'!F24+'28.6'!F24+'29.6'!F24+'30.6'!F24</f>
        <v>52</v>
      </c>
      <c r="F24" s="13">
        <f>'1.6'!G24+'2.6'!G24+'3.6'!G24+'4.6'!G24+'5.6'!G24+'6.6'!G24+'7.6'!G24+'8.6'!G24+'9.6'!G24+'10.6'!G24+'11.6'!G24+'12.6'!G24+'13.6'!G24+'14.6'!G24+'15.6'!G24+'16.6'!G24+'17.6'!G24+'18.6'!G24+'19.6'!G24+'20.6'!G24+'21.6'!G24+'22.6'!G24+'23.6'!G24+'24.6'!G24+'25.6'!G24+'26.6'!G24+'27.6'!G24+'28.6'!G24+'29.6'!G24+'30.6'!G24</f>
        <v>64</v>
      </c>
      <c r="G24" s="13">
        <f>'1.6'!H24+'2.6'!H24+'3.6'!H24+'4.6'!H24+'5.6'!H24+'6.6'!H24+'7.6'!H24+'8.6'!H24+'9.6'!H24+'10.6'!H24+'11.6'!H24+'12.6'!H24+'13.6'!H24+'14.6'!H24+'15.6'!H24+'16.6'!H24+'17.6'!H24+'18.6'!H24+'19.6'!H24+'20.6'!H24+'21.6'!H24+'22.6'!H24+'23.6'!H24+'24.6'!H24+'25.6'!H24+'26.6'!H24+'27.6'!H24+'28.6'!H24+'29.6'!H24+'30.6'!H24</f>
        <v>45</v>
      </c>
      <c r="H24" s="13">
        <f>'1.6'!I24+'2.6'!I24+'3.6'!I24+'4.6'!I24+'5.6'!I24+'6.6'!I24+'7.6'!I24+'8.6'!I24+'9.6'!I24+'10.6'!I24+'11.6'!I24+'12.6'!I24+'13.6'!I24+'14.6'!I24+'15.6'!I24+'16.6'!I24+'17.6'!I24+'18.6'!I24+'19.6'!I24+'20.6'!I24+'21.6'!I24+'22.6'!I24+'23.6'!I24+'24.6'!I24+'25.6'!I24+'26.6'!I24+'27.6'!I24+'28.6'!I24+'29.6'!I24+'30.6'!I24</f>
        <v>304</v>
      </c>
      <c r="I24" s="13">
        <f>'1.6'!J24+'2.6'!J24+'3.6'!J24+'4.6'!J24+'5.6'!J24+'6.6'!J24+'7.6'!J24+'8.6'!J24+'9.6'!J24+'10.6'!J24+'11.6'!J24+'12.6'!J24+'13.6'!J24+'14.6'!J24+'15.6'!J24+'16.6'!J24+'17.6'!J24+'18.6'!J24+'19.6'!J24+'20.6'!J24+'21.6'!J24+'22.6'!J24+'23.6'!J24+'24.6'!J24+'25.6'!J24+'26.6'!J24+'27.6'!J24+'28.6'!J24+'29.6'!J24+'30.6'!J24</f>
        <v>50</v>
      </c>
      <c r="J24" s="13">
        <f>'1.6'!K24+'2.6'!K24+'3.6'!K24+'4.6'!K24+'5.6'!K24+'6.6'!K24+'7.6'!K24+'8.6'!K24+'9.6'!K24+'10.6'!K24+'11.6'!K24+'12.6'!K24+'13.6'!K24+'14.6'!K24+'15.6'!K24+'16.6'!K24+'17.6'!K24+'18.6'!K24+'19.6'!K24+'20.6'!K24+'21.6'!K24+'22.6'!K24+'23.6'!K24+'24.6'!K24+'25.6'!K24+'26.6'!K24+'27.6'!K24+'28.6'!K24+'29.6'!K24+'30.6'!K24</f>
        <v>47</v>
      </c>
      <c r="K24" s="13">
        <f>'1.6'!L24+'2.6'!L24+'3.6'!L24+'4.6'!L24+'5.6'!L24+'6.6'!L24+'7.6'!L24+'8.6'!L24+'9.6'!L24+'10.6'!L24+'11.6'!L24+'12.6'!L24+'13.6'!L24+'14.6'!L24+'15.6'!L24+'16.6'!L24+'17.6'!L24+'18.6'!L24+'19.6'!L24+'20.6'!L24+'21.6'!L24+'22.6'!L24+'23.6'!L24+'24.6'!L24+'25.6'!L24+'26.6'!L24+'27.6'!L24+'28.6'!L24+'29.6'!L24+'30.6'!L24</f>
        <v>91</v>
      </c>
      <c r="L24" s="13">
        <f>'1.6'!M24+'2.6'!M24+'3.6'!M24+'4.6'!M24+'5.6'!M24+'6.6'!M24+'7.6'!M24+'8.6'!M24+'9.6'!M24+'10.6'!M24+'11.6'!M24+'12.6'!M24+'13.6'!M24+'14.6'!M24+'15.6'!M24+'16.6'!M24+'17.6'!M24+'18.6'!M24+'19.6'!M24+'20.6'!M24+'21.6'!M24+'22.6'!M24+'23.6'!M24+'24.6'!M24+'25.6'!M24+'26.6'!M24+'27.6'!M24+'28.6'!M24+'29.6'!M24+'30.6'!M24</f>
        <v>47</v>
      </c>
      <c r="M24" s="13">
        <f>'1.6'!N24+'2.6'!N24+'3.6'!N24+'4.6'!N24+'5.6'!N24+'6.6'!N24+'7.6'!N24+'8.6'!N24+'9.6'!N24+'10.6'!N24+'11.6'!N24+'12.6'!N24+'13.6'!N24+'14.6'!N24+'15.6'!N24+'16.6'!N24+'17.6'!N24+'18.6'!N24+'19.6'!N24+'20.6'!N24+'21.6'!N24+'22.6'!N24+'23.6'!N24+'24.6'!N24+'25.6'!N24+'26.6'!N24+'27.6'!N24+'28.6'!N24+'29.6'!N24+'30.6'!N24</f>
        <v>55</v>
      </c>
      <c r="N24" s="13">
        <f>'1.6'!O24+'2.6'!O24+'3.6'!O24+'4.6'!O24+'5.6'!O24+'6.6'!O24+'7.6'!O24+'8.6'!O24+'9.6'!O24+'10.6'!O24+'11.6'!O24+'12.6'!O24+'13.6'!O24+'14.6'!O24+'15.6'!O24+'16.6'!O24+'17.6'!O24+'18.6'!O24+'19.6'!O24+'20.6'!O24+'21.6'!O24+'22.6'!O24+'23.6'!O24+'24.6'!O24+'25.6'!O24+'26.6'!O24+'27.6'!O24+'28.6'!O24+'29.6'!O24+'30.6'!O24</f>
        <v>74</v>
      </c>
      <c r="O24" s="13">
        <f>'1.6'!P24+'2.6'!P24+'3.6'!P24+'4.6'!P24+'5.6'!P24+'6.6'!P24+'7.6'!P24+'8.6'!P24+'9.6'!P24+'10.6'!P24+'11.6'!P24+'12.6'!P24+'13.6'!P24+'14.6'!P24+'15.6'!P24+'16.6'!P24+'17.6'!P24+'18.6'!P24+'19.6'!P24+'20.6'!P24+'21.6'!P24+'22.6'!P24+'23.6'!P24+'24.6'!P24+'25.6'!P24+'26.6'!P24+'27.6'!P24+'28.6'!P24+'29.6'!P24+'30.6'!P24</f>
        <v>230</v>
      </c>
      <c r="P24" s="13">
        <f>'1.6'!Q24+'2.6'!Q24+'3.6'!Q24+'4.6'!Q24+'5.6'!Q24+'6.6'!Q24+'7.6'!Q24+'8.6'!Q24+'9.6'!Q24+'10.6'!Q24+'11.6'!Q24+'12.6'!Q24+'13.6'!Q24+'14.6'!Q24+'15.6'!Q24+'16.6'!Q24+'17.6'!Q24+'18.6'!Q24+'19.6'!Q24+'20.6'!Q24+'21.6'!Q24+'22.6'!Q24+'23.6'!Q24+'24.6'!Q24+'25.6'!Q24+'26.6'!Q24+'27.6'!Q24+'28.6'!Q24+'29.6'!Q24+'30.6'!Q24</f>
        <v>116</v>
      </c>
      <c r="Q24" s="13">
        <f>'1.6'!R24+'2.6'!R24+'3.6'!R24+'4.6'!R24+'5.6'!R24+'6.6'!R24+'7.6'!R24+'8.6'!R24+'9.6'!R24+'10.6'!R24+'11.6'!R24+'12.6'!R24+'13.6'!R24+'14.6'!R24+'15.6'!R24+'16.6'!R24+'17.6'!R24+'18.6'!R24+'19.6'!R24+'20.6'!R24+'21.6'!R24+'22.6'!R24+'23.6'!R24+'24.6'!R24+'25.6'!R24+'26.6'!R24+'27.6'!R24+'28.6'!R24+'29.6'!R24+'30.6'!R24</f>
        <v>31.5</v>
      </c>
      <c r="R24" s="13">
        <f>'1.6'!S24+'2.6'!S24+'3.6'!S24+'4.6'!S24+'5.6'!S24+'6.6'!S24+'7.6'!S24+'8.6'!S24+'9.6'!S24+'10.6'!S24+'11.6'!S24+'12.6'!S24+'13.6'!S24+'14.6'!S24+'15.6'!S24+'16.6'!S24+'17.6'!S24+'18.6'!S24+'19.6'!S24+'20.6'!S24+'21.6'!S24+'22.6'!S24+'23.6'!S24+'24.6'!S24+'25.6'!S24+'26.6'!S24+'27.6'!S24+'28.6'!S24+'29.6'!S24+'30.6'!S24</f>
        <v>36</v>
      </c>
    </row>
    <row r="25" spans="1:18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13">
        <f>'1.6'!F25+'2.6'!F25+'3.6'!F25+'4.6'!F25+'5.6'!F25+'6.6'!F25+'7.6'!F25+'8.6'!F25+'9.6'!F25+'10.6'!F25+'11.6'!F25+'12.6'!F25+'13.6'!F25+'14.6'!F25+'15.6'!F25+'16.6'!F25+'17.6'!F25+'18.6'!F25+'19.6'!F25+'20.6'!F25+'21.6'!F25+'22.6'!F25+'23.6'!F25+'24.6'!F25+'25.6'!F25+'26.6'!F25+'27.6'!F25+'28.6'!F25+'29.6'!F25+'30.6'!F25</f>
        <v>0</v>
      </c>
      <c r="F25" s="25"/>
      <c r="G25" s="25"/>
      <c r="H25" s="10"/>
      <c r="I25" s="10"/>
      <c r="J25" s="13"/>
      <c r="K25" s="10"/>
      <c r="L25" s="10"/>
      <c r="M25" s="10"/>
      <c r="N25" s="10"/>
      <c r="O25" s="10"/>
      <c r="P25" s="10"/>
      <c r="Q25" s="10"/>
      <c r="R25" s="25"/>
    </row>
    <row r="26" spans="1:18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13">
        <f>'1.6'!F26+'2.6'!F26+'3.6'!F26+'4.6'!F26+'5.6'!F26+'6.6'!F26+'7.6'!F26+'8.6'!F26+'9.6'!F26+'10.6'!F26+'11.6'!F26+'12.6'!F26+'13.6'!F26+'14.6'!F26+'15.6'!F26+'16.6'!F26+'17.6'!F26+'18.6'!F26+'19.6'!F26+'20.6'!F26+'21.6'!F26+'22.6'!F26+'23.6'!F26+'24.6'!F26+'25.6'!F26+'26.6'!F26+'27.6'!F26+'28.6'!F26+'29.6'!F26+'30.6'!F26</f>
        <v>0</v>
      </c>
      <c r="F26" s="25"/>
      <c r="G26" s="25"/>
      <c r="H26" s="10"/>
      <c r="I26" s="10"/>
      <c r="J26" s="13"/>
      <c r="K26" s="10"/>
      <c r="L26" s="10"/>
      <c r="M26" s="10"/>
      <c r="N26" s="10"/>
      <c r="O26" s="10"/>
      <c r="P26" s="10"/>
      <c r="Q26" s="10"/>
      <c r="R26" s="25"/>
    </row>
    <row r="27" spans="1:18" ht="18.75">
      <c r="A27" s="6"/>
      <c r="B27" s="7" t="s">
        <v>31</v>
      </c>
      <c r="C27" s="6"/>
      <c r="D27" s="13">
        <f>SUM(D7:D24)</f>
        <v>2758.25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157" spans="4:4">
      <c r="D157" t="s">
        <v>65</v>
      </c>
    </row>
  </sheetData>
  <mergeCells count="7">
    <mergeCell ref="B1:R1"/>
    <mergeCell ref="E4:R4"/>
    <mergeCell ref="A5:A6"/>
    <mergeCell ref="B5:B6"/>
    <mergeCell ref="C5:C6"/>
    <mergeCell ref="D5:D6"/>
    <mergeCell ref="E5:R5"/>
  </mergeCells>
  <pageMargins left="0.7" right="0.7" top="0.75" bottom="0.75" header="0.3" footer="0.3"/>
  <pageSetup orientation="portrait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H157"/>
  <sheetViews>
    <sheetView topLeftCell="A4" workbookViewId="0">
      <pane xSplit="4" ySplit="3" topLeftCell="Z16" activePane="bottomRight" state="frozen"/>
      <selection activeCell="A4" sqref="A4"/>
      <selection pane="topRight" activeCell="E4" sqref="E4"/>
      <selection pane="bottomLeft" activeCell="A7" sqref="A7"/>
      <selection pane="bottomRight" activeCell="AF32" sqref="AF32"/>
    </sheetView>
  </sheetViews>
  <sheetFormatPr defaultColWidth="9" defaultRowHeight="15"/>
  <cols>
    <col min="2" max="2" width="22.42578125" customWidth="1"/>
    <col min="4" max="4" width="16.7109375" customWidth="1"/>
    <col min="6" max="6" width="9.85546875" customWidth="1"/>
    <col min="7" max="7" width="9.28515625" customWidth="1"/>
    <col min="8" max="8" width="10.5703125" customWidth="1"/>
    <col min="9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4" ht="18.75">
      <c r="A4" s="1"/>
      <c r="B4" s="1"/>
      <c r="C4" s="1"/>
      <c r="D4" s="4"/>
      <c r="E4" s="36" t="s">
        <v>79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4">
      <c r="A5" s="38" t="s">
        <v>1</v>
      </c>
      <c r="B5" s="40" t="s">
        <v>2</v>
      </c>
      <c r="C5" s="38" t="s">
        <v>3</v>
      </c>
      <c r="D5" s="33" t="s">
        <v>77</v>
      </c>
      <c r="E5" s="26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27"/>
      <c r="U5" s="26"/>
      <c r="V5" s="26"/>
      <c r="W5" s="26"/>
    </row>
    <row r="6" spans="1:34" ht="15.75" customHeight="1">
      <c r="A6" s="39"/>
      <c r="B6" s="41"/>
      <c r="C6" s="39"/>
      <c r="D6" s="34"/>
      <c r="E6" s="28">
        <v>42887</v>
      </c>
      <c r="F6" s="28">
        <f>E6+1</f>
        <v>42888</v>
      </c>
      <c r="G6" s="28">
        <f t="shared" ref="G6:AH6" si="0">F6+1</f>
        <v>42889</v>
      </c>
      <c r="H6" s="28">
        <f t="shared" si="0"/>
        <v>42890</v>
      </c>
      <c r="I6" s="28">
        <f t="shared" si="0"/>
        <v>42891</v>
      </c>
      <c r="J6" s="28">
        <f t="shared" si="0"/>
        <v>42892</v>
      </c>
      <c r="K6" s="28">
        <f t="shared" si="0"/>
        <v>42893</v>
      </c>
      <c r="L6" s="28">
        <f t="shared" si="0"/>
        <v>42894</v>
      </c>
      <c r="M6" s="28">
        <f t="shared" si="0"/>
        <v>42895</v>
      </c>
      <c r="N6" s="28">
        <f t="shared" si="0"/>
        <v>42896</v>
      </c>
      <c r="O6" s="28">
        <f t="shared" si="0"/>
        <v>42897</v>
      </c>
      <c r="P6" s="28">
        <f t="shared" si="0"/>
        <v>42898</v>
      </c>
      <c r="Q6" s="28">
        <f t="shared" si="0"/>
        <v>42899</v>
      </c>
      <c r="R6" s="28">
        <f t="shared" si="0"/>
        <v>42900</v>
      </c>
      <c r="S6" s="28">
        <f t="shared" si="0"/>
        <v>42901</v>
      </c>
      <c r="T6" s="28">
        <f t="shared" si="0"/>
        <v>42902</v>
      </c>
      <c r="U6" s="28">
        <f t="shared" si="0"/>
        <v>42903</v>
      </c>
      <c r="V6" s="28">
        <f t="shared" si="0"/>
        <v>42904</v>
      </c>
      <c r="W6" s="28">
        <f t="shared" si="0"/>
        <v>42905</v>
      </c>
      <c r="X6" s="28">
        <f t="shared" si="0"/>
        <v>42906</v>
      </c>
      <c r="Y6" s="28">
        <f t="shared" si="0"/>
        <v>42907</v>
      </c>
      <c r="Z6" s="28">
        <f t="shared" si="0"/>
        <v>42908</v>
      </c>
      <c r="AA6" s="28">
        <f t="shared" si="0"/>
        <v>42909</v>
      </c>
      <c r="AB6" s="28">
        <f t="shared" si="0"/>
        <v>42910</v>
      </c>
      <c r="AC6" s="28">
        <f t="shared" si="0"/>
        <v>42911</v>
      </c>
      <c r="AD6" s="28">
        <f t="shared" si="0"/>
        <v>42912</v>
      </c>
      <c r="AE6" s="28">
        <f t="shared" si="0"/>
        <v>42913</v>
      </c>
      <c r="AF6" s="28">
        <f t="shared" si="0"/>
        <v>42914</v>
      </c>
      <c r="AG6" s="28">
        <f t="shared" si="0"/>
        <v>42915</v>
      </c>
      <c r="AH6" s="28">
        <f t="shared" si="0"/>
        <v>42916</v>
      </c>
    </row>
    <row r="7" spans="1:34" ht="18.75">
      <c r="A7" s="6">
        <v>1</v>
      </c>
      <c r="B7" s="7" t="s">
        <v>11</v>
      </c>
      <c r="C7" s="8" t="s">
        <v>12</v>
      </c>
      <c r="D7" s="13">
        <f>SUM(E7:AH7)</f>
        <v>930</v>
      </c>
      <c r="E7" s="32">
        <f>SUMIFS('1.6'!$E7:$E24,'1.6'!$B7:$B24,'TỔNG NHẬP'!$B7)</f>
        <v>30</v>
      </c>
      <c r="F7" s="32">
        <f>SUMIFS('2.6'!$E7:$E24,'2.6'!$B7:$B24,'TỔNG NHẬP'!$B7)</f>
        <v>40</v>
      </c>
      <c r="G7" s="32">
        <f>SUMIFS('3.6'!$E7:$E24,'3.6'!$B7:$B24,'TỔNG NHẬP'!$B7)</f>
        <v>40</v>
      </c>
      <c r="H7" s="32">
        <f>SUMIFS('4.6'!$E7:$E24,'4.6'!$B7:$B24,'TỔNG NHẬP'!$B7)</f>
        <v>0</v>
      </c>
      <c r="I7" s="32">
        <f>SUMIFS('5.6'!$E7:$E24,'5.6'!$B7:$B24,'TỔNG NHẬP'!$B7)</f>
        <v>40</v>
      </c>
      <c r="J7" s="32">
        <f>SUMIFS('6.6'!$E7:$E24,'6.6'!$B7:$B24,'TỔNG NHẬP'!$B7)</f>
        <v>30</v>
      </c>
      <c r="K7" s="32">
        <f>SUMIFS('7.6'!$E7:$E24,'7.6'!$B7:$B24,'TỔNG NHẬP'!$B7)</f>
        <v>40</v>
      </c>
      <c r="L7" s="32">
        <f>SUMIFS('8.6'!$E7:$E24,'8.6'!$B7:$B24,'TỔNG NHẬP'!$B7)</f>
        <v>40</v>
      </c>
      <c r="M7" s="32">
        <f>SUMIFS('9.6'!$E7:$E24,'9.6'!$B7:$B24,'TỔNG NHẬP'!$B7)</f>
        <v>40</v>
      </c>
      <c r="N7" s="32">
        <f>SUMIFS('10.6'!$E7:$E24,'10.6'!$B7:$B24,'TỔNG NHẬP'!$B7)</f>
        <v>40</v>
      </c>
      <c r="O7" s="32">
        <f>SUMIFS('11.6'!$E7:$E24,'11.6'!$B7:$B24,'TỔNG NHẬP'!$B7)</f>
        <v>0</v>
      </c>
      <c r="P7" s="32">
        <f>SUMIFS('12.6'!$E7:$E24,'12.6'!$B7:$B24,'TỔNG NHẬP'!$B7)</f>
        <v>40</v>
      </c>
      <c r="Q7" s="32">
        <f>SUMIFS('13.6'!$E7:$E24,'13.6'!$B7:$B24,'TỔNG NHẬP'!$B7)</f>
        <v>30</v>
      </c>
      <c r="R7" s="32">
        <f>SUMIFS('14.6'!$E7:$E24,'14.6'!$B7:$B24,'TỔNG NHẬP'!$B7)</f>
        <v>40</v>
      </c>
      <c r="S7" s="32">
        <f>SUMIFS('15.6'!$E7:$E24,'15.6'!$B7:$B24,'TỔNG NHẬP'!$B7)</f>
        <v>40</v>
      </c>
      <c r="T7" s="32">
        <f>SUMIFS('16.6'!$E7:$E24,'16.6'!$B7:$B24,'TỔNG NHẬP'!$B7)</f>
        <v>40</v>
      </c>
      <c r="U7" s="32">
        <f>SUMIFS('17.6'!$E7:$E24,'17.6'!$B7:$B24,'TỔNG NHẬP'!$B7)</f>
        <v>40</v>
      </c>
      <c r="V7" s="32">
        <f>SUMIFS('18.6'!$E7:$E24,'18.6'!$B7:$B24,'TỔNG NHẬP'!$B7)</f>
        <v>0</v>
      </c>
      <c r="W7" s="32">
        <f>SUMIFS('19.6'!$E7:$E24,'19.6'!$B7:$B24,'TỔNG NHẬP'!$B7)</f>
        <v>40</v>
      </c>
      <c r="X7" s="32">
        <f>SUMIFS('20.6'!$E7:$E24,'20.6'!$B7:$B24,'TỔNG NHẬP'!$B7)</f>
        <v>40</v>
      </c>
      <c r="Y7" s="32">
        <f>SUMIFS('21.6'!$E7:$E24,'21.6'!$B7:$B24,'TỔNG NHẬP'!$B7)</f>
        <v>40</v>
      </c>
      <c r="Z7" s="32">
        <f>SUMIFS('22.6'!$E7:$E24,'22.6'!$B7:$B24,'TỔNG NHẬP'!$B7)</f>
        <v>30</v>
      </c>
      <c r="AA7" s="32">
        <f>SUMIFS('23.6'!$E7:$E24,'23.6'!$B7:$B24,'TỔNG NHẬP'!$B7)</f>
        <v>30</v>
      </c>
      <c r="AB7" s="32">
        <f>SUMIFS('24.6'!$E7:$E24,'24.6'!$B7:$B24,'TỔNG NHẬP'!$B7)</f>
        <v>30</v>
      </c>
      <c r="AC7" s="32">
        <f>SUMIFS('25.6'!$E7:$E24,'25.6'!$B7:$B24,'TỔNG NHẬP'!$B7)</f>
        <v>0</v>
      </c>
      <c r="AD7" s="32">
        <f>SUMIFS('26.6'!$E7:$E24,'26.6'!$B7:$B24,'TỔNG NHẬP'!$B7)</f>
        <v>30</v>
      </c>
      <c r="AE7" s="32">
        <f>SUMIFS('27.6'!$E7:$E24,'27.6'!$B7:$B24,'TỔNG NHẬP'!$B7)</f>
        <v>30</v>
      </c>
      <c r="AF7" s="32">
        <f>SUMIFS('28.6'!$E7:$E24,'28.6'!$B7:$B24,'TỔNG NHẬP'!$B7)</f>
        <v>30</v>
      </c>
      <c r="AG7" s="32">
        <f>SUMIFS('29.6'!$E7:$E24,'29.6'!$B7:$B24,'TỔNG NHẬP'!$B7)</f>
        <v>30</v>
      </c>
      <c r="AH7" s="32">
        <f>SUMIFS('30.6'!$E7:$E24,'30.6'!$B7:$B24,'TỔNG NHẬP'!$B7)</f>
        <v>30</v>
      </c>
    </row>
    <row r="8" spans="1:34" ht="18.75">
      <c r="A8" s="6">
        <v>2</v>
      </c>
      <c r="B8" s="7" t="s">
        <v>13</v>
      </c>
      <c r="C8" s="8" t="s">
        <v>12</v>
      </c>
      <c r="D8" s="13">
        <f t="shared" ref="D8:D26" si="1">SUM(E8:AH8)</f>
        <v>40.450000000000003</v>
      </c>
      <c r="E8" s="32">
        <f>SUMIFS('1.6'!$E8:$E25,'1.6'!$B8:$B25,'TỔNG NHẬP'!$B8)</f>
        <v>0</v>
      </c>
      <c r="F8" s="32">
        <f>SUMIFS('2.6'!$E8:$E25,'2.6'!$B8:$B25,'TỔNG NHẬP'!$B8)</f>
        <v>0</v>
      </c>
      <c r="G8" s="32">
        <f>SUMIFS('3.6'!$E8:$E25,'3.6'!$B8:$B25,'TỔNG NHẬP'!$B8)</f>
        <v>0</v>
      </c>
      <c r="H8" s="32">
        <f>SUMIFS('4.6'!$E8:$E25,'4.6'!$B8:$B25,'TỔNG NHẬP'!$B8)</f>
        <v>0</v>
      </c>
      <c r="I8" s="32">
        <f>SUMIFS('5.6'!$E8:$E25,'5.6'!$B8:$B25,'TỔNG NHẬP'!$B8)</f>
        <v>0</v>
      </c>
      <c r="J8" s="32">
        <f>SUMIFS('6.6'!$E8:$E25,'6.6'!$B8:$B25,'TỔNG NHẬP'!$B8)</f>
        <v>0</v>
      </c>
      <c r="K8" s="32">
        <f>SUMIFS('7.6'!$E8:$E25,'7.6'!$B8:$B25,'TỔNG NHẬP'!$B8)</f>
        <v>0</v>
      </c>
      <c r="L8" s="32">
        <f>SUMIFS('8.6'!$E8:$E25,'8.6'!$B8:$B25,'TỔNG NHẬP'!$B8)</f>
        <v>0</v>
      </c>
      <c r="M8" s="32">
        <f>SUMIFS('9.6'!$E8:$E25,'9.6'!$B8:$B25,'TỔNG NHẬP'!$B8)</f>
        <v>0</v>
      </c>
      <c r="N8" s="32">
        <f>SUMIFS('10.6'!$E8:$E25,'10.6'!$B8:$B25,'TỔNG NHẬP'!$B8)</f>
        <v>0</v>
      </c>
      <c r="O8" s="32">
        <f>SUMIFS('11.6'!$E8:$E25,'11.6'!$B8:$B25,'TỔNG NHẬP'!$B8)</f>
        <v>0</v>
      </c>
      <c r="P8" s="32">
        <f>SUMIFS('12.6'!$E8:$E25,'12.6'!$B8:$B25,'TỔNG NHẬP'!$B8)</f>
        <v>0</v>
      </c>
      <c r="Q8" s="32">
        <f>SUMIFS('13.6'!$E8:$E25,'13.6'!$B8:$B25,'TỔNG NHẬP'!$B8)</f>
        <v>12.65</v>
      </c>
      <c r="R8" s="32">
        <f>SUMIFS('14.6'!$E8:$E25,'14.6'!$B8:$B25,'TỔNG NHẬP'!$B8)</f>
        <v>0</v>
      </c>
      <c r="S8" s="32">
        <f>SUMIFS('15.6'!$E8:$E25,'15.6'!$B8:$B25,'TỔNG NHẬP'!$B8)</f>
        <v>0</v>
      </c>
      <c r="T8" s="32">
        <f>SUMIFS('16.6'!$E8:$E25,'16.6'!$B8:$B25,'TỔNG NHẬP'!$B8)</f>
        <v>0</v>
      </c>
      <c r="U8" s="32">
        <f>SUMIFS('17.6'!$E8:$E25,'17.6'!$B8:$B25,'TỔNG NHẬP'!$B8)</f>
        <v>14.8</v>
      </c>
      <c r="V8" s="32">
        <f>SUMIFS('18.6'!$E8:$E25,'18.6'!$B8:$B25,'TỔNG NHẬP'!$B8)</f>
        <v>0</v>
      </c>
      <c r="W8" s="32">
        <f>SUMIFS('19.6'!$E8:$E25,'19.6'!$B8:$B25,'TỔNG NHẬP'!$B8)</f>
        <v>0</v>
      </c>
      <c r="X8" s="32">
        <f>SUMIFS('20.6'!$E8:$E25,'20.6'!$B8:$B25,'TỔNG NHẬP'!$B8)</f>
        <v>0</v>
      </c>
      <c r="Y8" s="32">
        <f>SUMIFS('21.6'!$E8:$E25,'21.6'!$B8:$B25,'TỔNG NHẬP'!$B8)</f>
        <v>0</v>
      </c>
      <c r="Z8" s="32">
        <f>SUMIFS('22.6'!$E8:$E25,'22.6'!$B8:$B25,'TỔNG NHẬP'!$B8)</f>
        <v>0</v>
      </c>
      <c r="AA8" s="32">
        <f>SUMIFS('23.6'!$E8:$E25,'23.6'!$B8:$B25,'TỔNG NHẬP'!$B8)</f>
        <v>0</v>
      </c>
      <c r="AB8" s="32">
        <f>SUMIFS('24.6'!$E8:$E25,'24.6'!$B8:$B25,'TỔNG NHẬP'!$B8)</f>
        <v>0</v>
      </c>
      <c r="AC8" s="32">
        <f>SUMIFS('25.6'!$E8:$E25,'25.6'!$B8:$B25,'TỔNG NHẬP'!$B8)</f>
        <v>0</v>
      </c>
      <c r="AD8" s="32">
        <f>SUMIFS('26.6'!$E8:$E25,'26.6'!$B8:$B25,'TỔNG NHẬP'!$B8)</f>
        <v>0</v>
      </c>
      <c r="AE8" s="32">
        <f>SUMIFS('27.6'!$E8:$E25,'27.6'!$B8:$B25,'TỔNG NHẬP'!$B8)</f>
        <v>13</v>
      </c>
      <c r="AF8" s="32">
        <f>SUMIFS('28.6'!$E8:$E25,'28.6'!$B8:$B25,'TỔNG NHẬP'!$B8)</f>
        <v>0</v>
      </c>
      <c r="AG8" s="32">
        <f>SUMIFS('29.6'!$E8:$E25,'29.6'!$B8:$B25,'TỔNG NHẬP'!$B8)</f>
        <v>0</v>
      </c>
      <c r="AH8" s="32">
        <f>SUMIFS('30.6'!$E8:$E25,'30.6'!$B8:$B25,'TỔNG NHẬP'!$B8)</f>
        <v>0</v>
      </c>
    </row>
    <row r="9" spans="1:34" ht="18.75">
      <c r="A9" s="6">
        <v>3</v>
      </c>
      <c r="B9" s="7" t="s">
        <v>14</v>
      </c>
      <c r="C9" s="8" t="s">
        <v>12</v>
      </c>
      <c r="D9" s="13">
        <f t="shared" si="1"/>
        <v>197.95000000000002</v>
      </c>
      <c r="E9" s="32">
        <f>SUMIFS('1.6'!$E9:$E26,'1.6'!$B9:$B26,'TỔNG NHẬP'!$B9)</f>
        <v>0</v>
      </c>
      <c r="F9" s="32">
        <f>SUMIFS('2.6'!$E9:$E26,'2.6'!$B9:$B26,'TỔNG NHẬP'!$B9)</f>
        <v>8.6</v>
      </c>
      <c r="G9" s="32">
        <f>SUMIFS('3.6'!$E9:$E26,'3.6'!$B9:$B26,'TỔNG NHẬP'!$B9)</f>
        <v>0</v>
      </c>
      <c r="H9" s="32">
        <f>SUMIFS('4.6'!$E9:$E26,'4.6'!$B9:$B26,'TỔNG NHẬP'!$B9)</f>
        <v>0</v>
      </c>
      <c r="I9" s="32">
        <f>SUMIFS('5.6'!$E9:$E26,'5.6'!$B9:$B26,'TỔNG NHẬP'!$B9)</f>
        <v>8.9</v>
      </c>
      <c r="J9" s="32">
        <f>SUMIFS('6.6'!$E9:$E26,'6.6'!$B9:$B26,'TỔNG NHẬP'!$B9)</f>
        <v>0</v>
      </c>
      <c r="K9" s="32">
        <f>SUMIFS('7.6'!$E9:$E26,'7.6'!$B9:$B26,'TỔNG NHẬP'!$B9)</f>
        <v>11.65</v>
      </c>
      <c r="L9" s="32">
        <f>SUMIFS('8.6'!$E9:$E26,'8.6'!$B9:$B26,'TỔNG NHẬP'!$B9)</f>
        <v>16.649999999999999</v>
      </c>
      <c r="M9" s="32">
        <f>SUMIFS('9.6'!$E9:$E26,'9.6'!$B9:$B26,'TỔNG NHẬP'!$B9)</f>
        <v>0</v>
      </c>
      <c r="N9" s="32">
        <f>SUMIFS('10.6'!$E9:$E26,'10.6'!$B9:$B26,'TỔNG NHẬP'!$B9)</f>
        <v>8.4</v>
      </c>
      <c r="O9" s="32">
        <f>SUMIFS('11.6'!$E9:$E26,'11.6'!$B9:$B26,'TỔNG NHẬP'!$B9)</f>
        <v>0</v>
      </c>
      <c r="P9" s="32">
        <f>SUMIFS('12.6'!$E9:$E26,'12.6'!$B9:$B26,'TỔNG NHẬP'!$B9)</f>
        <v>8.35</v>
      </c>
      <c r="Q9" s="32">
        <f>SUMIFS('13.6'!$E9:$E26,'13.6'!$B9:$B26,'TỔNG NHẬP'!$B9)</f>
        <v>17.149999999999999</v>
      </c>
      <c r="R9" s="32">
        <f>SUMIFS('14.6'!$E9:$E26,'14.6'!$B9:$B26,'TỔNG NHẬP'!$B9)</f>
        <v>8.3000000000000007</v>
      </c>
      <c r="S9" s="32">
        <f>SUMIFS('15.6'!$E9:$E26,'15.6'!$B9:$B26,'TỔNG NHẬP'!$B9)</f>
        <v>0</v>
      </c>
      <c r="T9" s="32">
        <f>SUMIFS('16.6'!$E9:$E26,'16.6'!$B9:$B26,'TỔNG NHẬP'!$B9)</f>
        <v>7.6</v>
      </c>
      <c r="U9" s="32">
        <f>SUMIFS('17.6'!$E9:$E26,'17.6'!$B9:$B26,'TỔNG NHẬP'!$B9)</f>
        <v>0</v>
      </c>
      <c r="V9" s="32">
        <f>SUMIFS('18.6'!$E9:$E26,'18.6'!$B9:$B26,'TỔNG NHẬP'!$B9)</f>
        <v>0</v>
      </c>
      <c r="W9" s="32">
        <f>SUMIFS('19.6'!$E9:$E26,'19.6'!$B9:$B26,'TỔNG NHẬP'!$B9)</f>
        <v>8.15</v>
      </c>
      <c r="X9" s="32">
        <f>SUMIFS('20.6'!$E9:$E26,'20.6'!$B9:$B26,'TỔNG NHẬP'!$B9)</f>
        <v>8.8000000000000007</v>
      </c>
      <c r="Y9" s="32">
        <f>SUMIFS('21.6'!$E9:$E26,'21.6'!$B9:$B26,'TỔNG NHẬP'!$B9)</f>
        <v>8.65</v>
      </c>
      <c r="Z9" s="32">
        <f>SUMIFS('22.6'!$E9:$E26,'22.6'!$B9:$B26,'TỔNG NHẬP'!$B9)</f>
        <v>8.8000000000000007</v>
      </c>
      <c r="AA9" s="32">
        <f>SUMIFS('23.6'!$E9:$E26,'23.6'!$B9:$B26,'TỔNG NHẬP'!$B9)</f>
        <v>7.4</v>
      </c>
      <c r="AB9" s="32">
        <f>SUMIFS('24.6'!$E9:$E26,'24.6'!$B9:$B26,'TỔNG NHẬP'!$B9)</f>
        <v>8.6</v>
      </c>
      <c r="AC9" s="32">
        <f>SUMIFS('25.6'!$E9:$E26,'25.6'!$B9:$B26,'TỔNG NHẬP'!$B9)</f>
        <v>0</v>
      </c>
      <c r="AD9" s="32">
        <f>SUMIFS('26.6'!$E9:$E26,'26.6'!$B9:$B26,'TỔNG NHẬP'!$B9)</f>
        <v>8.8000000000000007</v>
      </c>
      <c r="AE9" s="32">
        <f>SUMIFS('27.6'!$E9:$E26,'27.6'!$B9:$B26,'TỔNG NHẬP'!$B9)</f>
        <v>7.5</v>
      </c>
      <c r="AF9" s="32">
        <f>SUMIFS('28.6'!$E9:$E26,'28.6'!$B9:$B26,'TỔNG NHẬP'!$B9)</f>
        <v>9.25</v>
      </c>
      <c r="AG9" s="32">
        <f>SUMIFS('29.6'!$E9:$E26,'29.6'!$B9:$B26,'TỔNG NHẬP'!$B9)</f>
        <v>16.8</v>
      </c>
      <c r="AH9" s="32">
        <f>SUMIFS('30.6'!$E9:$E26,'30.6'!$B9:$B26,'TỔNG NHẬP'!$B9)</f>
        <v>9.6</v>
      </c>
    </row>
    <row r="10" spans="1:34" ht="18.75">
      <c r="A10" s="6">
        <v>4</v>
      </c>
      <c r="B10" s="7" t="s">
        <v>15</v>
      </c>
      <c r="C10" s="8" t="s">
        <v>12</v>
      </c>
      <c r="D10" s="13">
        <f t="shared" si="1"/>
        <v>0</v>
      </c>
      <c r="E10" s="32">
        <f>SUMIFS('1.6'!$E10:$E27,'1.6'!$B10:$B27,'TỔNG NHẬP'!$B10)</f>
        <v>0</v>
      </c>
      <c r="F10" s="32">
        <f>SUMIFS('2.6'!$E10:$E27,'2.6'!$B10:$B27,'TỔNG NHẬP'!$B10)</f>
        <v>0</v>
      </c>
      <c r="G10" s="32">
        <f>SUMIFS('3.6'!$E10:$E27,'3.6'!$B10:$B27,'TỔNG NHẬP'!$B10)</f>
        <v>0</v>
      </c>
      <c r="H10" s="32">
        <f>SUMIFS('4.6'!$E10:$E27,'4.6'!$B10:$B27,'TỔNG NHẬP'!$B10)</f>
        <v>0</v>
      </c>
      <c r="I10" s="32">
        <f>SUMIFS('5.6'!$E10:$E27,'5.6'!$B10:$B27,'TỔNG NHẬP'!$B10)</f>
        <v>0</v>
      </c>
      <c r="J10" s="32">
        <f>SUMIFS('6.6'!$E10:$E27,'6.6'!$B10:$B27,'TỔNG NHẬP'!$B10)</f>
        <v>0</v>
      </c>
      <c r="K10" s="32">
        <f>SUMIFS('7.6'!$E10:$E27,'7.6'!$B10:$B27,'TỔNG NHẬP'!$B10)</f>
        <v>0</v>
      </c>
      <c r="L10" s="32">
        <f>SUMIFS('8.6'!$E10:$E27,'8.6'!$B10:$B27,'TỔNG NHẬP'!$B10)</f>
        <v>0</v>
      </c>
      <c r="M10" s="32">
        <f>SUMIFS('9.6'!$E10:$E27,'9.6'!$B10:$B27,'TỔNG NHẬP'!$B10)</f>
        <v>0</v>
      </c>
      <c r="N10" s="32">
        <f>SUMIFS('10.6'!$E10:$E27,'10.6'!$B10:$B27,'TỔNG NHẬP'!$B10)</f>
        <v>0</v>
      </c>
      <c r="O10" s="32">
        <f>SUMIFS('11.6'!$E10:$E27,'11.6'!$B10:$B27,'TỔNG NHẬP'!$B10)</f>
        <v>0</v>
      </c>
      <c r="P10" s="32">
        <f>SUMIFS('12.6'!$E10:$E27,'12.6'!$B10:$B27,'TỔNG NHẬP'!$B10)</f>
        <v>0</v>
      </c>
      <c r="Q10" s="32">
        <f>SUMIFS('13.6'!$E10:$E27,'13.6'!$B10:$B27,'TỔNG NHẬP'!$B10)</f>
        <v>0</v>
      </c>
      <c r="R10" s="32">
        <f>SUMIFS('14.6'!$E10:$E27,'14.6'!$B10:$B27,'TỔNG NHẬP'!$B10)</f>
        <v>0</v>
      </c>
      <c r="S10" s="32">
        <f>SUMIFS('15.6'!$E10:$E27,'15.6'!$B10:$B27,'TỔNG NHẬP'!$B10)</f>
        <v>0</v>
      </c>
      <c r="T10" s="32">
        <f>SUMIFS('16.6'!$E10:$E27,'16.6'!$B10:$B27,'TỔNG NHẬP'!$B10)</f>
        <v>0</v>
      </c>
      <c r="U10" s="32">
        <f>SUMIFS('17.6'!$E10:$E27,'17.6'!$B10:$B27,'TỔNG NHẬP'!$B10)</f>
        <v>0</v>
      </c>
      <c r="V10" s="32">
        <f>SUMIFS('18.6'!$E10:$E27,'18.6'!$B10:$B27,'TỔNG NHẬP'!$B10)</f>
        <v>0</v>
      </c>
      <c r="W10" s="32">
        <f>SUMIFS('19.6'!$E10:$E27,'19.6'!$B10:$B27,'TỔNG NHẬP'!$B10)</f>
        <v>0</v>
      </c>
      <c r="X10" s="32">
        <f>SUMIFS('20.6'!$E10:$E27,'20.6'!$B10:$B27,'TỔNG NHẬP'!$B10)</f>
        <v>0</v>
      </c>
      <c r="Y10" s="32">
        <f>SUMIFS('21.6'!$E10:$E27,'21.6'!$B10:$B27,'TỔNG NHẬP'!$B10)</f>
        <v>0</v>
      </c>
      <c r="Z10" s="32">
        <f>SUMIFS('22.6'!$E10:$E27,'22.6'!$B10:$B27,'TỔNG NHẬP'!$B10)</f>
        <v>0</v>
      </c>
      <c r="AA10" s="32">
        <f>SUMIFS('23.6'!$E10:$E27,'23.6'!$B10:$B27,'TỔNG NHẬP'!$B10)</f>
        <v>0</v>
      </c>
      <c r="AB10" s="32">
        <f>SUMIFS('24.6'!$E10:$E27,'24.6'!$B10:$B27,'TỔNG NHẬP'!$B10)</f>
        <v>0</v>
      </c>
      <c r="AC10" s="32">
        <f>SUMIFS('25.6'!$E10:$E27,'25.6'!$B10:$B27,'TỔNG NHẬP'!$B10)</f>
        <v>0</v>
      </c>
      <c r="AD10" s="32">
        <f>SUMIFS('26.6'!$E10:$E27,'26.6'!$B10:$B27,'TỔNG NHẬP'!$B10)</f>
        <v>0</v>
      </c>
      <c r="AE10" s="32">
        <f>SUMIFS('27.6'!$E10:$E27,'27.6'!$B10:$B27,'TỔNG NHẬP'!$B10)</f>
        <v>0</v>
      </c>
      <c r="AF10" s="32">
        <f>SUMIFS('28.6'!$E10:$E27,'28.6'!$B10:$B27,'TỔNG NHẬP'!$B10)</f>
        <v>0</v>
      </c>
      <c r="AG10" s="32">
        <f>SUMIFS('29.6'!$E10:$E27,'29.6'!$B10:$B27,'TỔNG NHẬP'!$B10)</f>
        <v>0</v>
      </c>
      <c r="AH10" s="32">
        <f>SUMIFS('30.6'!$E10:$E27,'30.6'!$B10:$B27,'TỔNG NHẬP'!$B10)</f>
        <v>0</v>
      </c>
    </row>
    <row r="11" spans="1:34" ht="18.75">
      <c r="A11" s="6">
        <v>5</v>
      </c>
      <c r="B11" s="7" t="s">
        <v>16</v>
      </c>
      <c r="C11" s="8" t="s">
        <v>12</v>
      </c>
      <c r="D11" s="13">
        <f t="shared" si="1"/>
        <v>289.79999999999995</v>
      </c>
      <c r="E11" s="32">
        <f>SUMIFS('1.6'!$E11:$E28,'1.6'!$B11:$B28,'TỔNG NHẬP'!$B11)</f>
        <v>0</v>
      </c>
      <c r="F11" s="32">
        <f>SUMIFS('2.6'!$E11:$E28,'2.6'!$B11:$B28,'TỔNG NHẬP'!$B11)</f>
        <v>24.7</v>
      </c>
      <c r="G11" s="32">
        <f>SUMIFS('3.6'!$E11:$E28,'3.6'!$B11:$B28,'TỔNG NHẬP'!$B11)</f>
        <v>24.7</v>
      </c>
      <c r="H11" s="32">
        <f>SUMIFS('4.6'!$E11:$E28,'4.6'!$B11:$B28,'TỔNG NHẬP'!$B11)</f>
        <v>0</v>
      </c>
      <c r="I11" s="32">
        <f>SUMIFS('5.6'!$E11:$E28,'5.6'!$B11:$B28,'TỔNG NHẬP'!$B11)</f>
        <v>0</v>
      </c>
      <c r="J11" s="32">
        <f>SUMIFS('6.6'!$E11:$E28,'6.6'!$B11:$B28,'TỔNG NHẬP'!$B11)</f>
        <v>24.5</v>
      </c>
      <c r="K11" s="32">
        <f>SUMIFS('7.6'!$E11:$E28,'7.6'!$B11:$B28,'TỔNG NHẬP'!$B11)</f>
        <v>0</v>
      </c>
      <c r="L11" s="32">
        <f>SUMIFS('8.6'!$E11:$E28,'8.6'!$B11:$B28,'TỔNG NHẬP'!$B11)</f>
        <v>0</v>
      </c>
      <c r="M11" s="32">
        <f>SUMIFS('9.6'!$E11:$E28,'9.6'!$B11:$B28,'TỔNG NHẬP'!$B11)</f>
        <v>23.65</v>
      </c>
      <c r="N11" s="32">
        <f>SUMIFS('10.6'!$E11:$E28,'10.6'!$B11:$B28,'TỔNG NHẬP'!$B11)</f>
        <v>24.5</v>
      </c>
      <c r="O11" s="32">
        <f>SUMIFS('11.6'!$E11:$E28,'11.6'!$B11:$B28,'TỔNG NHẬP'!$B11)</f>
        <v>0</v>
      </c>
      <c r="P11" s="32">
        <f>SUMIFS('12.6'!$E11:$E28,'12.6'!$B11:$B28,'TỔNG NHẬP'!$B11)</f>
        <v>24.25</v>
      </c>
      <c r="Q11" s="32">
        <f>SUMIFS('13.6'!$E11:$E28,'13.6'!$B11:$B28,'TỔNG NHẬP'!$B11)</f>
        <v>0</v>
      </c>
      <c r="R11" s="32">
        <f>SUMIFS('14.6'!$E11:$E28,'14.6'!$B11:$B28,'TỔNG NHẬP'!$B11)</f>
        <v>0</v>
      </c>
      <c r="S11" s="32">
        <f>SUMIFS('15.6'!$E11:$E28,'15.6'!$B11:$B28,'TỔNG NHẬP'!$B11)</f>
        <v>24.5</v>
      </c>
      <c r="T11" s="32">
        <f>SUMIFS('16.6'!$E11:$E28,'16.6'!$B11:$B28,'TỔNG NHẬP'!$B11)</f>
        <v>0</v>
      </c>
      <c r="U11" s="32">
        <f>SUMIFS('17.6'!$E11:$E28,'17.6'!$B11:$B28,'TỔNG NHẬP'!$B11)</f>
        <v>24</v>
      </c>
      <c r="V11" s="32">
        <f>SUMIFS('18.6'!$E11:$E28,'18.6'!$B11:$B28,'TỔNG NHẬP'!$B11)</f>
        <v>0</v>
      </c>
      <c r="W11" s="32">
        <f>SUMIFS('19.6'!$E11:$E28,'19.6'!$B11:$B28,'TỔNG NHẬP'!$B11)</f>
        <v>0</v>
      </c>
      <c r="X11" s="32">
        <f>SUMIFS('20.6'!$E11:$E28,'20.6'!$B11:$B28,'TỔNG NHẬP'!$B11)</f>
        <v>0</v>
      </c>
      <c r="Y11" s="32">
        <f>SUMIFS('21.6'!$E11:$E28,'21.6'!$B11:$B28,'TỔNG NHẬP'!$B11)</f>
        <v>23</v>
      </c>
      <c r="Z11" s="32">
        <f>SUMIFS('22.6'!$E11:$E28,'22.6'!$B11:$B28,'TỔNG NHẬP'!$B11)</f>
        <v>0</v>
      </c>
      <c r="AA11" s="32">
        <f>SUMIFS('23.6'!$E11:$E28,'23.6'!$B11:$B28,'TỔNG NHẬP'!$B11)</f>
        <v>0</v>
      </c>
      <c r="AB11" s="32">
        <f>SUMIFS('24.6'!$E11:$E28,'24.6'!$B11:$B28,'TỔNG NHẬP'!$B11)</f>
        <v>23.7</v>
      </c>
      <c r="AC11" s="32">
        <f>SUMIFS('25.6'!$E11:$E28,'25.6'!$B11:$B28,'TỔNG NHẬP'!$B11)</f>
        <v>0</v>
      </c>
      <c r="AD11" s="32">
        <f>SUMIFS('26.6'!$E11:$E28,'26.6'!$B11:$B28,'TỔNG NHẬP'!$B11)</f>
        <v>0</v>
      </c>
      <c r="AE11" s="32">
        <f>SUMIFS('27.6'!$E11:$E28,'27.6'!$B11:$B28,'TỔNG NHẬP'!$B11)</f>
        <v>0</v>
      </c>
      <c r="AF11" s="32">
        <f>SUMIFS('28.6'!$E11:$E28,'28.6'!$B11:$B28,'TỔNG NHẬP'!$B11)</f>
        <v>23.65</v>
      </c>
      <c r="AG11" s="32">
        <f>SUMIFS('29.6'!$E11:$E28,'29.6'!$B11:$B28,'TỔNG NHẬP'!$B11)</f>
        <v>24.65</v>
      </c>
      <c r="AH11" s="32">
        <f>SUMIFS('30.6'!$E11:$E28,'30.6'!$B11:$B28,'TỔNG NHẬP'!$B11)</f>
        <v>0</v>
      </c>
    </row>
    <row r="12" spans="1:34" ht="18.75">
      <c r="A12" s="6">
        <v>6</v>
      </c>
      <c r="B12" s="7" t="s">
        <v>67</v>
      </c>
      <c r="C12" s="8" t="s">
        <v>12</v>
      </c>
      <c r="D12" s="13">
        <f t="shared" si="1"/>
        <v>26.95</v>
      </c>
      <c r="E12" s="32">
        <f>SUMIFS('1.6'!$E12:$E29,'1.6'!$B12:$B29,'TỔNG NHẬP'!$B12)</f>
        <v>0</v>
      </c>
      <c r="F12" s="32">
        <f>SUMIFS('2.6'!$E12:$E29,'2.6'!$B12:$B29,'TỔNG NHẬP'!$B12)</f>
        <v>0</v>
      </c>
      <c r="G12" s="32">
        <f>SUMIFS('3.6'!$E12:$E29,'3.6'!$B12:$B29,'TỔNG NHẬP'!$B12)</f>
        <v>0</v>
      </c>
      <c r="H12" s="32">
        <f>SUMIFS('4.6'!$E12:$E29,'4.6'!$B12:$B29,'TỔNG NHẬP'!$B12)</f>
        <v>0</v>
      </c>
      <c r="I12" s="32">
        <f>SUMIFS('5.6'!$E12:$E29,'5.6'!$B12:$B29,'TỔNG NHẬP'!$B12)</f>
        <v>0</v>
      </c>
      <c r="J12" s="32">
        <f>SUMIFS('6.6'!$E12:$E29,'6.6'!$B12:$B29,'TỔNG NHẬP'!$B12)</f>
        <v>0</v>
      </c>
      <c r="K12" s="32">
        <f>SUMIFS('7.6'!$E12:$E29,'7.6'!$B12:$B29,'TỔNG NHẬP'!$B12)</f>
        <v>0</v>
      </c>
      <c r="L12" s="32">
        <f>SUMIFS('8.6'!$E12:$E29,'8.6'!$B12:$B29,'TỔNG NHẬP'!$B12)</f>
        <v>13.5</v>
      </c>
      <c r="M12" s="32">
        <f>SUMIFS('9.6'!$E12:$E29,'9.6'!$B12:$B29,'TỔNG NHẬP'!$B12)</f>
        <v>0</v>
      </c>
      <c r="N12" s="32">
        <f>SUMIFS('10.6'!$E12:$E29,'10.6'!$B12:$B29,'TỔNG NHẬP'!$B12)</f>
        <v>0</v>
      </c>
      <c r="O12" s="32">
        <f>SUMIFS('11.6'!$E12:$E29,'11.6'!$B12:$B29,'TỔNG NHẬP'!$B12)</f>
        <v>0</v>
      </c>
      <c r="P12" s="32">
        <f>SUMIFS('12.6'!$E12:$E29,'12.6'!$B12:$B29,'TỔNG NHẬP'!$B12)</f>
        <v>0</v>
      </c>
      <c r="Q12" s="32">
        <f>SUMIFS('13.6'!$E12:$E29,'13.6'!$B12:$B29,'TỔNG NHẬP'!$B12)</f>
        <v>0</v>
      </c>
      <c r="R12" s="32">
        <f>SUMIFS('14.6'!$E12:$E29,'14.6'!$B12:$B29,'TỔNG NHẬP'!$B12)</f>
        <v>0</v>
      </c>
      <c r="S12" s="32">
        <f>SUMIFS('15.6'!$E12:$E29,'15.6'!$B12:$B29,'TỔNG NHẬP'!$B12)</f>
        <v>0</v>
      </c>
      <c r="T12" s="32">
        <f>SUMIFS('16.6'!$E12:$E29,'16.6'!$B12:$B29,'TỔNG NHẬP'!$B12)</f>
        <v>0</v>
      </c>
      <c r="U12" s="32">
        <f>SUMIFS('17.6'!$E12:$E29,'17.6'!$B12:$B29,'TỔNG NHẬP'!$B12)</f>
        <v>0</v>
      </c>
      <c r="V12" s="32">
        <f>SUMIFS('18.6'!$E12:$E29,'18.6'!$B12:$B29,'TỔNG NHẬP'!$B12)</f>
        <v>0</v>
      </c>
      <c r="W12" s="32">
        <f>SUMIFS('19.6'!$E12:$E29,'19.6'!$B12:$B29,'TỔNG NHẬP'!$B12)</f>
        <v>13.45</v>
      </c>
      <c r="X12" s="32">
        <f>SUMIFS('20.6'!$E12:$E29,'20.6'!$B12:$B29,'TỔNG NHẬP'!$B12)</f>
        <v>0</v>
      </c>
      <c r="Y12" s="32">
        <f>SUMIFS('21.6'!$E12:$E29,'21.6'!$B12:$B29,'TỔNG NHẬP'!$B12)</f>
        <v>0</v>
      </c>
      <c r="Z12" s="32">
        <f>SUMIFS('22.6'!$E12:$E29,'22.6'!$B12:$B29,'TỔNG NHẬP'!$B12)</f>
        <v>0</v>
      </c>
      <c r="AA12" s="32">
        <f>SUMIFS('23.6'!$E12:$E29,'23.6'!$B12:$B29,'TỔNG NHẬP'!$B12)</f>
        <v>0</v>
      </c>
      <c r="AB12" s="32">
        <f>SUMIFS('24.6'!$E12:$E29,'24.6'!$B12:$B29,'TỔNG NHẬP'!$B12)</f>
        <v>0</v>
      </c>
      <c r="AC12" s="32">
        <f>SUMIFS('25.6'!$E12:$E29,'25.6'!$B12:$B29,'TỔNG NHẬP'!$B12)</f>
        <v>0</v>
      </c>
      <c r="AD12" s="32">
        <f>SUMIFS('26.6'!$E12:$E29,'26.6'!$B12:$B29,'TỔNG NHẬP'!$B12)</f>
        <v>0</v>
      </c>
      <c r="AE12" s="32">
        <f>SUMIFS('27.6'!$E12:$E29,'27.6'!$B12:$B29,'TỔNG NHẬP'!$B12)</f>
        <v>0</v>
      </c>
      <c r="AF12" s="32">
        <f>SUMIFS('28.6'!$E12:$E29,'28.6'!$B12:$B29,'TỔNG NHẬP'!$B12)</f>
        <v>0</v>
      </c>
      <c r="AG12" s="32">
        <f>SUMIFS('29.6'!$E12:$E29,'29.6'!$B12:$B29,'TỔNG NHẬP'!$B12)</f>
        <v>0</v>
      </c>
      <c r="AH12" s="32">
        <f>SUMIFS('30.6'!$E12:$E29,'30.6'!$B12:$B29,'TỔNG NHẬP'!$B12)</f>
        <v>0</v>
      </c>
    </row>
    <row r="13" spans="1:34" ht="18.75">
      <c r="A13" s="6">
        <v>7</v>
      </c>
      <c r="B13" s="7" t="s">
        <v>18</v>
      </c>
      <c r="C13" s="8" t="s">
        <v>12</v>
      </c>
      <c r="D13" s="13">
        <f t="shared" si="1"/>
        <v>0</v>
      </c>
      <c r="E13" s="32">
        <f>SUMIFS('1.6'!$E13:$E30,'1.6'!$B13:$B30,'TỔNG NHẬP'!$B13)</f>
        <v>0</v>
      </c>
      <c r="F13" s="32">
        <f>SUMIFS('2.6'!$E13:$E30,'2.6'!$B13:$B30,'TỔNG NHẬP'!$B13)</f>
        <v>0</v>
      </c>
      <c r="G13" s="32">
        <f>SUMIFS('3.6'!$E13:$E30,'3.6'!$B13:$B30,'TỔNG NHẬP'!$B13)</f>
        <v>0</v>
      </c>
      <c r="H13" s="32">
        <f>SUMIFS('4.6'!$E13:$E30,'4.6'!$B13:$B30,'TỔNG NHẬP'!$B13)</f>
        <v>0</v>
      </c>
      <c r="I13" s="32">
        <f>SUMIFS('5.6'!$E13:$E30,'5.6'!$B13:$B30,'TỔNG NHẬP'!$B13)</f>
        <v>0</v>
      </c>
      <c r="J13" s="32">
        <f>SUMIFS('6.6'!$E13:$E30,'6.6'!$B13:$B30,'TỔNG NHẬP'!$B13)</f>
        <v>0</v>
      </c>
      <c r="K13" s="32">
        <f>SUMIFS('7.6'!$E13:$E30,'7.6'!$B13:$B30,'TỔNG NHẬP'!$B13)</f>
        <v>0</v>
      </c>
      <c r="L13" s="32">
        <f>SUMIFS('8.6'!$E13:$E30,'8.6'!$B13:$B30,'TỔNG NHẬP'!$B13)</f>
        <v>0</v>
      </c>
      <c r="M13" s="32">
        <f>SUMIFS('9.6'!$E13:$E30,'9.6'!$B13:$B30,'TỔNG NHẬP'!$B13)</f>
        <v>0</v>
      </c>
      <c r="N13" s="32">
        <f>SUMIFS('10.6'!$E13:$E30,'10.6'!$B13:$B30,'TỔNG NHẬP'!$B13)</f>
        <v>0</v>
      </c>
      <c r="O13" s="32">
        <f>SUMIFS('11.6'!$E13:$E30,'11.6'!$B13:$B30,'TỔNG NHẬP'!$B13)</f>
        <v>0</v>
      </c>
      <c r="P13" s="32">
        <f>SUMIFS('12.6'!$E13:$E30,'12.6'!$B13:$B30,'TỔNG NHẬP'!$B13)</f>
        <v>0</v>
      </c>
      <c r="Q13" s="32">
        <f>SUMIFS('13.6'!$E13:$E30,'13.6'!$B13:$B30,'TỔNG NHẬP'!$B13)</f>
        <v>0</v>
      </c>
      <c r="R13" s="32">
        <f>SUMIFS('14.6'!$E13:$E30,'14.6'!$B13:$B30,'TỔNG NHẬP'!$B13)</f>
        <v>0</v>
      </c>
      <c r="S13" s="32">
        <f>SUMIFS('15.6'!$E13:$E30,'15.6'!$B13:$B30,'TỔNG NHẬP'!$B13)</f>
        <v>0</v>
      </c>
      <c r="T13" s="32">
        <f>SUMIFS('16.6'!$E13:$E30,'16.6'!$B13:$B30,'TỔNG NHẬP'!$B13)</f>
        <v>0</v>
      </c>
      <c r="U13" s="32">
        <f>SUMIFS('17.6'!$E13:$E30,'17.6'!$B13:$B30,'TỔNG NHẬP'!$B13)</f>
        <v>0</v>
      </c>
      <c r="V13" s="32">
        <f>SUMIFS('18.6'!$E13:$E30,'18.6'!$B13:$B30,'TỔNG NHẬP'!$B13)</f>
        <v>0</v>
      </c>
      <c r="W13" s="32">
        <f>SUMIFS('19.6'!$E13:$E30,'19.6'!$B13:$B30,'TỔNG NHẬP'!$B13)</f>
        <v>0</v>
      </c>
      <c r="X13" s="32">
        <f>SUMIFS('20.6'!$E13:$E30,'20.6'!$B13:$B30,'TỔNG NHẬP'!$B13)</f>
        <v>0</v>
      </c>
      <c r="Y13" s="32">
        <f>SUMIFS('21.6'!$E13:$E30,'21.6'!$B13:$B30,'TỔNG NHẬP'!$B13)</f>
        <v>0</v>
      </c>
      <c r="Z13" s="32">
        <f>SUMIFS('22.6'!$E13:$E30,'22.6'!$B13:$B30,'TỔNG NHẬP'!$B13)</f>
        <v>0</v>
      </c>
      <c r="AA13" s="32">
        <f>SUMIFS('23.6'!$E13:$E30,'23.6'!$B13:$B30,'TỔNG NHẬP'!$B13)</f>
        <v>0</v>
      </c>
      <c r="AB13" s="32">
        <f>SUMIFS('24.6'!$E13:$E30,'24.6'!$B13:$B30,'TỔNG NHẬP'!$B13)</f>
        <v>0</v>
      </c>
      <c r="AC13" s="32">
        <f>SUMIFS('25.6'!$E13:$E30,'25.6'!$B13:$B30,'TỔNG NHẬP'!$B13)</f>
        <v>0</v>
      </c>
      <c r="AD13" s="32">
        <f>SUMIFS('26.6'!$E13:$E30,'26.6'!$B13:$B30,'TỔNG NHẬP'!$B13)</f>
        <v>0</v>
      </c>
      <c r="AE13" s="32">
        <f>SUMIFS('27.6'!$E13:$E30,'27.6'!$B13:$B30,'TỔNG NHẬP'!$B13)</f>
        <v>0</v>
      </c>
      <c r="AF13" s="32">
        <f>SUMIFS('28.6'!$E13:$E30,'28.6'!$B13:$B30,'TỔNG NHẬP'!$B13)</f>
        <v>0</v>
      </c>
      <c r="AG13" s="32">
        <f>SUMIFS('29.6'!$E13:$E30,'29.6'!$B13:$B30,'TỔNG NHẬP'!$B13)</f>
        <v>0</v>
      </c>
      <c r="AH13" s="32">
        <f>SUMIFS('30.6'!$E13:$E30,'30.6'!$B13:$B30,'TỔNG NHẬP'!$B13)</f>
        <v>0</v>
      </c>
    </row>
    <row r="14" spans="1:34" ht="18.75">
      <c r="A14" s="6">
        <v>8</v>
      </c>
      <c r="B14" s="7" t="s">
        <v>19</v>
      </c>
      <c r="C14" s="8" t="s">
        <v>12</v>
      </c>
      <c r="D14" s="13">
        <f t="shared" si="1"/>
        <v>8.6</v>
      </c>
      <c r="E14" s="32">
        <f>SUMIFS('1.6'!$E14:$E31,'1.6'!$B14:$B31,'TỔNG NHẬP'!$B14)</f>
        <v>0</v>
      </c>
      <c r="F14" s="32">
        <f>SUMIFS('2.6'!$E14:$E31,'2.6'!$B14:$B31,'TỔNG NHẬP'!$B14)</f>
        <v>0</v>
      </c>
      <c r="G14" s="32">
        <f>SUMIFS('3.6'!$E14:$E31,'3.6'!$B14:$B31,'TỔNG NHẬP'!$B14)</f>
        <v>0</v>
      </c>
      <c r="H14" s="32">
        <f>SUMIFS('4.6'!$E14:$E31,'4.6'!$B14:$B31,'TỔNG NHẬP'!$B14)</f>
        <v>0</v>
      </c>
      <c r="I14" s="32">
        <f>SUMIFS('5.6'!$E14:$E31,'5.6'!$B14:$B31,'TỔNG NHẬP'!$B14)</f>
        <v>0</v>
      </c>
      <c r="J14" s="32">
        <f>SUMIFS('6.6'!$E14:$E31,'6.6'!$B14:$B31,'TỔNG NHẬP'!$B14)</f>
        <v>0</v>
      </c>
      <c r="K14" s="32">
        <f>SUMIFS('7.6'!$E14:$E31,'7.6'!$B14:$B31,'TỔNG NHẬP'!$B14)</f>
        <v>0</v>
      </c>
      <c r="L14" s="32">
        <f>SUMIFS('8.6'!$E14:$E31,'8.6'!$B14:$B31,'TỔNG NHẬP'!$B14)</f>
        <v>0</v>
      </c>
      <c r="M14" s="32">
        <f>SUMIFS('9.6'!$E14:$E31,'9.6'!$B14:$B31,'TỔNG NHẬP'!$B14)</f>
        <v>0</v>
      </c>
      <c r="N14" s="32">
        <f>SUMIFS('10.6'!$E14:$E31,'10.6'!$B14:$B31,'TỔNG NHẬP'!$B14)</f>
        <v>0</v>
      </c>
      <c r="O14" s="32">
        <f>SUMIFS('11.6'!$E14:$E31,'11.6'!$B14:$B31,'TỔNG NHẬP'!$B14)</f>
        <v>0</v>
      </c>
      <c r="P14" s="32">
        <f>SUMIFS('12.6'!$E14:$E31,'12.6'!$B14:$B31,'TỔNG NHẬP'!$B14)</f>
        <v>0</v>
      </c>
      <c r="Q14" s="32">
        <f>SUMIFS('13.6'!$E14:$E31,'13.6'!$B14:$B31,'TỔNG NHẬP'!$B14)</f>
        <v>0</v>
      </c>
      <c r="R14" s="32">
        <f>SUMIFS('14.6'!$E14:$E31,'14.6'!$B14:$B31,'TỔNG NHẬP'!$B14)</f>
        <v>0</v>
      </c>
      <c r="S14" s="32">
        <f>SUMIFS('15.6'!$E14:$E31,'15.6'!$B14:$B31,'TỔNG NHẬP'!$B14)</f>
        <v>0</v>
      </c>
      <c r="T14" s="32">
        <f>SUMIFS('16.6'!$E14:$E31,'16.6'!$B14:$B31,'TỔNG NHẬP'!$B14)</f>
        <v>0</v>
      </c>
      <c r="U14" s="32">
        <f>SUMIFS('17.6'!$E14:$E31,'17.6'!$B14:$B31,'TỔNG NHẬP'!$B14)</f>
        <v>0</v>
      </c>
      <c r="V14" s="32">
        <f>SUMIFS('18.6'!$E14:$E31,'18.6'!$B14:$B31,'TỔNG NHẬP'!$B14)</f>
        <v>0</v>
      </c>
      <c r="W14" s="32">
        <f>SUMIFS('19.6'!$E14:$E31,'19.6'!$B14:$B31,'TỔNG NHẬP'!$B14)</f>
        <v>0</v>
      </c>
      <c r="X14" s="32">
        <f>SUMIFS('20.6'!$E14:$E31,'20.6'!$B14:$B31,'TỔNG NHẬP'!$B14)</f>
        <v>0</v>
      </c>
      <c r="Y14" s="32">
        <f>SUMIFS('21.6'!$E14:$E31,'21.6'!$B14:$B31,'TỔNG NHẬP'!$B14)</f>
        <v>0</v>
      </c>
      <c r="Z14" s="32">
        <f>SUMIFS('22.6'!$E14:$E31,'22.6'!$B14:$B31,'TỔNG NHẬP'!$B14)</f>
        <v>0</v>
      </c>
      <c r="AA14" s="32">
        <f>SUMIFS('23.6'!$E14:$E31,'23.6'!$B14:$B31,'TỔNG NHẬP'!$B14)</f>
        <v>0</v>
      </c>
      <c r="AB14" s="32">
        <f>SUMIFS('24.6'!$E14:$E31,'24.6'!$B14:$B31,'TỔNG NHẬP'!$B14)</f>
        <v>0</v>
      </c>
      <c r="AC14" s="32">
        <f>SUMIFS('25.6'!$E14:$E31,'25.6'!$B14:$B31,'TỔNG NHẬP'!$B14)</f>
        <v>0</v>
      </c>
      <c r="AD14" s="32">
        <f>SUMIFS('26.6'!$E14:$E31,'26.6'!$B14:$B31,'TỔNG NHẬP'!$B14)</f>
        <v>0</v>
      </c>
      <c r="AE14" s="32">
        <f>SUMIFS('27.6'!$E14:$E31,'27.6'!$B14:$B31,'TỔNG NHẬP'!$B14)</f>
        <v>0</v>
      </c>
      <c r="AF14" s="32">
        <f>SUMIFS('28.6'!$E14:$E31,'28.6'!$B14:$B31,'TỔNG NHẬP'!$B14)</f>
        <v>0</v>
      </c>
      <c r="AG14" s="32">
        <f>SUMIFS('29.6'!$E14:$E31,'29.6'!$B14:$B31,'TỔNG NHẬP'!$B14)</f>
        <v>0</v>
      </c>
      <c r="AH14" s="32">
        <f>SUMIFS('30.6'!$E14:$E31,'30.6'!$B14:$B31,'TỔNG NHẬP'!$B14)</f>
        <v>8.6</v>
      </c>
    </row>
    <row r="15" spans="1:34" ht="18.75">
      <c r="A15" s="6">
        <v>9</v>
      </c>
      <c r="B15" s="7" t="s">
        <v>20</v>
      </c>
      <c r="C15" s="8" t="s">
        <v>12</v>
      </c>
      <c r="D15" s="13">
        <f t="shared" si="1"/>
        <v>9.9499999999999993</v>
      </c>
      <c r="E15" s="32">
        <f>SUMIFS('1.6'!$E15:$E32,'1.6'!$B15:$B32,'TỔNG NHẬP'!$B15)</f>
        <v>0</v>
      </c>
      <c r="F15" s="32">
        <f>SUMIFS('2.6'!$E15:$E32,'2.6'!$B15:$B32,'TỔNG NHẬP'!$B15)</f>
        <v>0</v>
      </c>
      <c r="G15" s="32">
        <f>SUMIFS('3.6'!$E15:$E32,'3.6'!$B15:$B32,'TỔNG NHẬP'!$B15)</f>
        <v>0</v>
      </c>
      <c r="H15" s="32">
        <f>SUMIFS('4.6'!$E15:$E32,'4.6'!$B15:$B32,'TỔNG NHẬP'!$B15)</f>
        <v>0</v>
      </c>
      <c r="I15" s="32">
        <f>SUMIFS('5.6'!$E15:$E32,'5.6'!$B15:$B32,'TỔNG NHẬP'!$B15)</f>
        <v>0</v>
      </c>
      <c r="J15" s="32">
        <f>SUMIFS('6.6'!$E15:$E32,'6.6'!$B15:$B32,'TỔNG NHẬP'!$B15)</f>
        <v>0</v>
      </c>
      <c r="K15" s="32">
        <f>SUMIFS('7.6'!$E15:$E32,'7.6'!$B15:$B32,'TỔNG NHẬP'!$B15)</f>
        <v>0</v>
      </c>
      <c r="L15" s="32">
        <f>SUMIFS('8.6'!$E15:$E32,'8.6'!$B15:$B32,'TỔNG NHẬP'!$B15)</f>
        <v>0</v>
      </c>
      <c r="M15" s="32">
        <f>SUMIFS('9.6'!$E15:$E32,'9.6'!$B15:$B32,'TỔNG NHẬP'!$B15)</f>
        <v>0</v>
      </c>
      <c r="N15" s="32">
        <f>SUMIFS('10.6'!$E15:$E32,'10.6'!$B15:$B32,'TỔNG NHẬP'!$B15)</f>
        <v>0</v>
      </c>
      <c r="O15" s="32">
        <f>SUMIFS('11.6'!$E15:$E32,'11.6'!$B15:$B32,'TỔNG NHẬP'!$B15)</f>
        <v>0</v>
      </c>
      <c r="P15" s="32">
        <f>SUMIFS('12.6'!$E15:$E32,'12.6'!$B15:$B32,'TỔNG NHẬP'!$B15)</f>
        <v>0</v>
      </c>
      <c r="Q15" s="32">
        <f>SUMIFS('13.6'!$E15:$E32,'13.6'!$B15:$B32,'TỔNG NHẬP'!$B15)</f>
        <v>0</v>
      </c>
      <c r="R15" s="32">
        <f>SUMIFS('14.6'!$E15:$E32,'14.6'!$B15:$B32,'TỔNG NHẬP'!$B15)</f>
        <v>0</v>
      </c>
      <c r="S15" s="32">
        <f>SUMIFS('15.6'!$E15:$E32,'15.6'!$B15:$B32,'TỔNG NHẬP'!$B15)</f>
        <v>0</v>
      </c>
      <c r="T15" s="32">
        <f>SUMIFS('16.6'!$E15:$E32,'16.6'!$B15:$B32,'TỔNG NHẬP'!$B15)</f>
        <v>0</v>
      </c>
      <c r="U15" s="32">
        <f>SUMIFS('17.6'!$E15:$E32,'17.6'!$B15:$B32,'TỔNG NHẬP'!$B15)</f>
        <v>0</v>
      </c>
      <c r="V15" s="32">
        <f>SUMIFS('18.6'!$E15:$E32,'18.6'!$B15:$B32,'TỔNG NHẬP'!$B15)</f>
        <v>0</v>
      </c>
      <c r="W15" s="32">
        <f>SUMIFS('19.6'!$E15:$E32,'19.6'!$B15:$B32,'TỔNG NHẬP'!$B15)</f>
        <v>0</v>
      </c>
      <c r="X15" s="32">
        <f>SUMIFS('20.6'!$E15:$E32,'20.6'!$B15:$B32,'TỔNG NHẬP'!$B15)</f>
        <v>0</v>
      </c>
      <c r="Y15" s="32">
        <f>SUMIFS('21.6'!$E15:$E32,'21.6'!$B15:$B32,'TỔNG NHẬP'!$B15)</f>
        <v>0</v>
      </c>
      <c r="Z15" s="32">
        <f>SUMIFS('22.6'!$E15:$E32,'22.6'!$B15:$B32,'TỔNG NHẬP'!$B15)</f>
        <v>9.9499999999999993</v>
      </c>
      <c r="AA15" s="32">
        <f>SUMIFS('23.6'!$E15:$E32,'23.6'!$B15:$B32,'TỔNG NHẬP'!$B15)</f>
        <v>0</v>
      </c>
      <c r="AB15" s="32">
        <f>SUMIFS('24.6'!$E15:$E32,'24.6'!$B15:$B32,'TỔNG NHẬP'!$B15)</f>
        <v>0</v>
      </c>
      <c r="AC15" s="32">
        <f>SUMIFS('25.6'!$E15:$E32,'25.6'!$B15:$B32,'TỔNG NHẬP'!$B15)</f>
        <v>0</v>
      </c>
      <c r="AD15" s="32">
        <f>SUMIFS('26.6'!$E15:$E32,'26.6'!$B15:$B32,'TỔNG NHẬP'!$B15)</f>
        <v>0</v>
      </c>
      <c r="AE15" s="32">
        <f>SUMIFS('27.6'!$E15:$E32,'27.6'!$B15:$B32,'TỔNG NHẬP'!$B15)</f>
        <v>0</v>
      </c>
      <c r="AF15" s="32">
        <f>SUMIFS('28.6'!$E15:$E32,'28.6'!$B15:$B32,'TỔNG NHẬP'!$B15)</f>
        <v>0</v>
      </c>
      <c r="AG15" s="32">
        <f>SUMIFS('29.6'!$E15:$E32,'29.6'!$B15:$B32,'TỔNG NHẬP'!$B15)</f>
        <v>0</v>
      </c>
      <c r="AH15" s="32">
        <f>SUMIFS('30.6'!$E15:$E32,'30.6'!$B15:$B32,'TỔNG NHẬP'!$B15)</f>
        <v>0</v>
      </c>
    </row>
    <row r="16" spans="1:34" ht="18.75">
      <c r="A16" s="6">
        <v>10</v>
      </c>
      <c r="B16" s="7" t="s">
        <v>21</v>
      </c>
      <c r="C16" s="8" t="s">
        <v>12</v>
      </c>
      <c r="D16" s="13">
        <f t="shared" si="1"/>
        <v>24.2</v>
      </c>
      <c r="E16" s="32">
        <f>SUMIFS('1.6'!$E16:$E33,'1.6'!$B16:$B33,'TỔNG NHẬP'!$B16)</f>
        <v>0</v>
      </c>
      <c r="F16" s="32">
        <f>SUMIFS('2.6'!$E16:$E33,'2.6'!$B16:$B33,'TỔNG NHẬP'!$B16)</f>
        <v>0</v>
      </c>
      <c r="G16" s="32">
        <f>SUMIFS('3.6'!$E16:$E33,'3.6'!$B16:$B33,'TỔNG NHẬP'!$B16)</f>
        <v>0</v>
      </c>
      <c r="H16" s="32">
        <f>SUMIFS('4.6'!$E16:$E33,'4.6'!$B16:$B33,'TỔNG NHẬP'!$B16)</f>
        <v>0</v>
      </c>
      <c r="I16" s="32">
        <f>SUMIFS('5.6'!$E16:$E33,'5.6'!$B16:$B33,'TỔNG NHẬP'!$B16)</f>
        <v>12.1</v>
      </c>
      <c r="J16" s="32">
        <f>SUMIFS('6.6'!$E16:$E33,'6.6'!$B16:$B33,'TỔNG NHẬP'!$B16)</f>
        <v>0</v>
      </c>
      <c r="K16" s="32">
        <f>SUMIFS('7.6'!$E16:$E33,'7.6'!$B16:$B33,'TỔNG NHẬP'!$B16)</f>
        <v>0</v>
      </c>
      <c r="L16" s="32">
        <f>SUMIFS('8.6'!$E16:$E33,'8.6'!$B16:$B33,'TỔNG NHẬP'!$B16)</f>
        <v>0</v>
      </c>
      <c r="M16" s="32">
        <f>SUMIFS('9.6'!$E16:$E33,'9.6'!$B16:$B33,'TỔNG NHẬP'!$B16)</f>
        <v>0</v>
      </c>
      <c r="N16" s="32">
        <f>SUMIFS('10.6'!$E16:$E33,'10.6'!$B16:$B33,'TỔNG NHẬP'!$B16)</f>
        <v>0</v>
      </c>
      <c r="O16" s="32">
        <f>SUMIFS('11.6'!$E16:$E33,'11.6'!$B16:$B33,'TỔNG NHẬP'!$B16)</f>
        <v>0</v>
      </c>
      <c r="P16" s="32">
        <f>SUMIFS('12.6'!$E16:$E33,'12.6'!$B16:$B33,'TỔNG NHẬP'!$B16)</f>
        <v>0</v>
      </c>
      <c r="Q16" s="32">
        <f>SUMIFS('13.6'!$E16:$E33,'13.6'!$B16:$B33,'TỔNG NHẬP'!$B16)</f>
        <v>0</v>
      </c>
      <c r="R16" s="32">
        <f>SUMIFS('14.6'!$E16:$E33,'14.6'!$B16:$B33,'TỔNG NHẬP'!$B16)</f>
        <v>0</v>
      </c>
      <c r="S16" s="32">
        <f>SUMIFS('15.6'!$E16:$E33,'15.6'!$B16:$B33,'TỔNG NHẬP'!$B16)</f>
        <v>0</v>
      </c>
      <c r="T16" s="32">
        <f>SUMIFS('16.6'!$E16:$E33,'16.6'!$B16:$B33,'TỔNG NHẬP'!$B16)</f>
        <v>0</v>
      </c>
      <c r="U16" s="32">
        <f>SUMIFS('17.6'!$E16:$E33,'17.6'!$B16:$B33,'TỔNG NHẬP'!$B16)</f>
        <v>0</v>
      </c>
      <c r="V16" s="32">
        <f>SUMIFS('18.6'!$E16:$E33,'18.6'!$B16:$B33,'TỔNG NHẬP'!$B16)</f>
        <v>0</v>
      </c>
      <c r="W16" s="32">
        <f>SUMIFS('19.6'!$E16:$E33,'19.6'!$B16:$B33,'TỔNG NHẬP'!$B16)</f>
        <v>0</v>
      </c>
      <c r="X16" s="32">
        <f>SUMIFS('20.6'!$E16:$E33,'20.6'!$B16:$B33,'TỔNG NHẬP'!$B16)</f>
        <v>0</v>
      </c>
      <c r="Y16" s="32">
        <f>SUMIFS('21.6'!$E16:$E33,'21.6'!$B16:$B33,'TỔNG NHẬP'!$B16)</f>
        <v>0</v>
      </c>
      <c r="Z16" s="32">
        <f>SUMIFS('22.6'!$E16:$E33,'22.6'!$B16:$B33,'TỔNG NHẬP'!$B16)</f>
        <v>0</v>
      </c>
      <c r="AA16" s="32">
        <f>SUMIFS('23.6'!$E16:$E33,'23.6'!$B16:$B33,'TỔNG NHẬP'!$B16)</f>
        <v>0</v>
      </c>
      <c r="AB16" s="32">
        <f>SUMIFS('24.6'!$E16:$E33,'24.6'!$B16:$B33,'TỔNG NHẬP'!$B16)</f>
        <v>0</v>
      </c>
      <c r="AC16" s="32">
        <f>SUMIFS('25.6'!$E16:$E33,'25.6'!$B16:$B33,'TỔNG NHẬP'!$B16)</f>
        <v>0</v>
      </c>
      <c r="AD16" s="32">
        <f>SUMIFS('26.6'!$E16:$E33,'26.6'!$B16:$B33,'TỔNG NHẬP'!$B16)</f>
        <v>12.1</v>
      </c>
      <c r="AE16" s="32">
        <f>SUMIFS('27.6'!$E16:$E33,'27.6'!$B16:$B33,'TỔNG NHẬP'!$B16)</f>
        <v>0</v>
      </c>
      <c r="AF16" s="32">
        <f>SUMIFS('28.6'!$E16:$E33,'28.6'!$B16:$B33,'TỔNG NHẬP'!$B16)</f>
        <v>0</v>
      </c>
      <c r="AG16" s="32">
        <f>SUMIFS('29.6'!$E16:$E33,'29.6'!$B16:$B33,'TỔNG NHẬP'!$B16)</f>
        <v>0</v>
      </c>
      <c r="AH16" s="32">
        <f>SUMIFS('30.6'!$E16:$E33,'30.6'!$B16:$B33,'TỔNG NHẬP'!$B16)</f>
        <v>0</v>
      </c>
    </row>
    <row r="17" spans="1:34" ht="18.75">
      <c r="A17" s="6">
        <v>11</v>
      </c>
      <c r="B17" s="7" t="s">
        <v>68</v>
      </c>
      <c r="C17" s="8" t="s">
        <v>12</v>
      </c>
      <c r="D17" s="13">
        <f t="shared" si="1"/>
        <v>0</v>
      </c>
      <c r="E17" s="32">
        <f>SUMIFS('1.6'!$E17:$E34,'1.6'!$B17:$B34,'TỔNG NHẬP'!$B17)</f>
        <v>0</v>
      </c>
      <c r="F17" s="32">
        <f>SUMIFS('2.6'!$E17:$E34,'2.6'!$B17:$B34,'TỔNG NHẬP'!$B17)</f>
        <v>0</v>
      </c>
      <c r="G17" s="32">
        <f>SUMIFS('3.6'!$E17:$E34,'3.6'!$B17:$B34,'TỔNG NHẬP'!$B17)</f>
        <v>0</v>
      </c>
      <c r="H17" s="32">
        <f>SUMIFS('4.6'!$E17:$E34,'4.6'!$B17:$B34,'TỔNG NHẬP'!$B17)</f>
        <v>0</v>
      </c>
      <c r="I17" s="32">
        <f>SUMIFS('5.6'!$E17:$E34,'5.6'!$B17:$B34,'TỔNG NHẬP'!$B17)</f>
        <v>0</v>
      </c>
      <c r="J17" s="32">
        <f>SUMIFS('6.6'!$E17:$E34,'6.6'!$B17:$B34,'TỔNG NHẬP'!$B17)</f>
        <v>0</v>
      </c>
      <c r="K17" s="32">
        <f>SUMIFS('7.6'!$E17:$E34,'7.6'!$B17:$B34,'TỔNG NHẬP'!$B17)</f>
        <v>0</v>
      </c>
      <c r="L17" s="32">
        <f>SUMIFS('8.6'!$E17:$E34,'8.6'!$B17:$B34,'TỔNG NHẬP'!$B17)</f>
        <v>0</v>
      </c>
      <c r="M17" s="32">
        <f>SUMIFS('9.6'!$E17:$E34,'9.6'!$B17:$B34,'TỔNG NHẬP'!$B17)</f>
        <v>0</v>
      </c>
      <c r="N17" s="32">
        <f>SUMIFS('10.6'!$E17:$E34,'10.6'!$B17:$B34,'TỔNG NHẬP'!$B17)</f>
        <v>0</v>
      </c>
      <c r="O17" s="32">
        <f>SUMIFS('11.6'!$E17:$E34,'11.6'!$B17:$B34,'TỔNG NHẬP'!$B17)</f>
        <v>0</v>
      </c>
      <c r="P17" s="32">
        <f>SUMIFS('12.6'!$E17:$E34,'12.6'!$B17:$B34,'TỔNG NHẬP'!$B17)</f>
        <v>0</v>
      </c>
      <c r="Q17" s="32">
        <f>SUMIFS('13.6'!$E17:$E34,'13.6'!$B17:$B34,'TỔNG NHẬP'!$B17)</f>
        <v>0</v>
      </c>
      <c r="R17" s="32">
        <f>SUMIFS('14.6'!$E17:$E34,'14.6'!$B17:$B34,'TỔNG NHẬP'!$B17)</f>
        <v>0</v>
      </c>
      <c r="S17" s="32">
        <f>SUMIFS('15.6'!$E17:$E34,'15.6'!$B17:$B34,'TỔNG NHẬP'!$B17)</f>
        <v>0</v>
      </c>
      <c r="T17" s="32">
        <f>SUMIFS('16.6'!$E17:$E34,'16.6'!$B17:$B34,'TỔNG NHẬP'!$B17)</f>
        <v>0</v>
      </c>
      <c r="U17" s="32">
        <f>SUMIFS('17.6'!$E17:$E34,'17.6'!$B17:$B34,'TỔNG NHẬP'!$B17)</f>
        <v>0</v>
      </c>
      <c r="V17" s="32">
        <f>SUMIFS('18.6'!$E17:$E34,'18.6'!$B17:$B34,'TỔNG NHẬP'!$B17)</f>
        <v>0</v>
      </c>
      <c r="W17" s="32">
        <f>SUMIFS('19.6'!$E17:$E34,'19.6'!$B17:$B34,'TỔNG NHẬP'!$B17)</f>
        <v>0</v>
      </c>
      <c r="X17" s="32">
        <f>SUMIFS('20.6'!$E17:$E34,'20.6'!$B17:$B34,'TỔNG NHẬP'!$B17)</f>
        <v>0</v>
      </c>
      <c r="Y17" s="32">
        <f>SUMIFS('21.6'!$E17:$E34,'21.6'!$B17:$B34,'TỔNG NHẬP'!$B17)</f>
        <v>0</v>
      </c>
      <c r="Z17" s="32">
        <f>SUMIFS('22.6'!$E17:$E34,'22.6'!$B17:$B34,'TỔNG NHẬP'!$B17)</f>
        <v>0</v>
      </c>
      <c r="AA17" s="32">
        <f>SUMIFS('23.6'!$E17:$E34,'23.6'!$B17:$B34,'TỔNG NHẬP'!$B17)</f>
        <v>0</v>
      </c>
      <c r="AB17" s="32">
        <f>SUMIFS('24.6'!$E17:$E34,'24.6'!$B17:$B34,'TỔNG NHẬP'!$B17)</f>
        <v>0</v>
      </c>
      <c r="AC17" s="32">
        <f>SUMIFS('25.6'!$E17:$E34,'25.6'!$B17:$B34,'TỔNG NHẬP'!$B17)</f>
        <v>0</v>
      </c>
      <c r="AD17" s="32">
        <f>SUMIFS('26.6'!$E17:$E34,'26.6'!$B17:$B34,'TỔNG NHẬP'!$B17)</f>
        <v>0</v>
      </c>
      <c r="AE17" s="32">
        <f>SUMIFS('27.6'!$E17:$E34,'27.6'!$B17:$B34,'TỔNG NHẬP'!$B17)</f>
        <v>0</v>
      </c>
      <c r="AF17" s="32">
        <f>SUMIFS('28.6'!$E17:$E34,'28.6'!$B17:$B34,'TỔNG NHẬP'!$B17)</f>
        <v>0</v>
      </c>
      <c r="AG17" s="32">
        <f>SUMIFS('29.6'!$E17:$E34,'29.6'!$B17:$B34,'TỔNG NHẬP'!$B17)</f>
        <v>0</v>
      </c>
      <c r="AH17" s="32">
        <f>SUMIFS('30.6'!$E17:$E34,'30.6'!$B17:$B34,'TỔNG NHẬP'!$B17)</f>
        <v>0</v>
      </c>
    </row>
    <row r="18" spans="1:34" ht="18.75">
      <c r="A18" s="6">
        <v>12</v>
      </c>
      <c r="B18" s="7" t="s">
        <v>23</v>
      </c>
      <c r="C18" s="8" t="s">
        <v>12</v>
      </c>
      <c r="D18" s="13">
        <f t="shared" si="1"/>
        <v>21.25</v>
      </c>
      <c r="E18" s="32">
        <f>SUMIFS('1.6'!$E18:$E35,'1.6'!$B18:$B35,'TỔNG NHẬP'!$B18)</f>
        <v>0</v>
      </c>
      <c r="F18" s="32">
        <f>SUMIFS('2.6'!$E18:$E35,'2.6'!$B18:$B35,'TỔNG NHẬP'!$B18)</f>
        <v>0</v>
      </c>
      <c r="G18" s="32">
        <f>SUMIFS('3.6'!$E18:$E35,'3.6'!$B18:$B35,'TỔNG NHẬP'!$B18)</f>
        <v>0</v>
      </c>
      <c r="H18" s="32">
        <f>SUMIFS('4.6'!$E18:$E35,'4.6'!$B18:$B35,'TỔNG NHẬP'!$B18)</f>
        <v>0</v>
      </c>
      <c r="I18" s="32">
        <f>SUMIFS('5.6'!$E18:$E35,'5.6'!$B18:$B35,'TỔNG NHẬP'!$B18)</f>
        <v>11.15</v>
      </c>
      <c r="J18" s="32">
        <f>SUMIFS('6.6'!$E18:$E35,'6.6'!$B18:$B35,'TỔNG NHẬP'!$B18)</f>
        <v>0</v>
      </c>
      <c r="K18" s="32">
        <f>SUMIFS('7.6'!$E18:$E35,'7.6'!$B18:$B35,'TỔNG NHẬP'!$B18)</f>
        <v>0</v>
      </c>
      <c r="L18" s="32">
        <f>SUMIFS('8.6'!$E18:$E35,'8.6'!$B18:$B35,'TỔNG NHẬP'!$B18)</f>
        <v>0</v>
      </c>
      <c r="M18" s="32">
        <f>SUMIFS('9.6'!$E18:$E35,'9.6'!$B18:$B35,'TỔNG NHẬP'!$B18)</f>
        <v>0</v>
      </c>
      <c r="N18" s="32">
        <f>SUMIFS('10.6'!$E18:$E35,'10.6'!$B18:$B35,'TỔNG NHẬP'!$B18)</f>
        <v>0</v>
      </c>
      <c r="O18" s="32">
        <f>SUMIFS('11.6'!$E18:$E35,'11.6'!$B18:$B35,'TỔNG NHẬP'!$B18)</f>
        <v>0</v>
      </c>
      <c r="P18" s="32">
        <f>SUMIFS('12.6'!$E18:$E35,'12.6'!$B18:$B35,'TỔNG NHẬP'!$B18)</f>
        <v>0</v>
      </c>
      <c r="Q18" s="32">
        <f>SUMIFS('13.6'!$E18:$E35,'13.6'!$B18:$B35,'TỔNG NHẬP'!$B18)</f>
        <v>0</v>
      </c>
      <c r="R18" s="32">
        <f>SUMIFS('14.6'!$E18:$E35,'14.6'!$B18:$B35,'TỔNG NHẬP'!$B18)</f>
        <v>0</v>
      </c>
      <c r="S18" s="32">
        <f>SUMIFS('15.6'!$E18:$E35,'15.6'!$B18:$B35,'TỔNG NHẬP'!$B18)</f>
        <v>0</v>
      </c>
      <c r="T18" s="32">
        <f>SUMIFS('16.6'!$E18:$E35,'16.6'!$B18:$B35,'TỔNG NHẬP'!$B18)</f>
        <v>0</v>
      </c>
      <c r="U18" s="32">
        <f>SUMIFS('17.6'!$E18:$E35,'17.6'!$B18:$B35,'TỔNG NHẬP'!$B18)</f>
        <v>0</v>
      </c>
      <c r="V18" s="32">
        <f>SUMIFS('18.6'!$E18:$E35,'18.6'!$B18:$B35,'TỔNG NHẬP'!$B18)</f>
        <v>0</v>
      </c>
      <c r="W18" s="32">
        <f>SUMIFS('19.6'!$E18:$E35,'19.6'!$B18:$B35,'TỔNG NHẬP'!$B18)</f>
        <v>0</v>
      </c>
      <c r="X18" s="32">
        <f>SUMIFS('20.6'!$E18:$E35,'20.6'!$B18:$B35,'TỔNG NHẬP'!$B18)</f>
        <v>0</v>
      </c>
      <c r="Y18" s="32">
        <f>SUMIFS('21.6'!$E18:$E35,'21.6'!$B18:$B35,'TỔNG NHẬP'!$B18)</f>
        <v>0</v>
      </c>
      <c r="Z18" s="32">
        <f>SUMIFS('22.6'!$E18:$E35,'22.6'!$B18:$B35,'TỔNG NHẬP'!$B18)</f>
        <v>0</v>
      </c>
      <c r="AA18" s="32">
        <f>SUMIFS('23.6'!$E18:$E35,'23.6'!$B18:$B35,'TỔNG NHẬP'!$B18)</f>
        <v>10.1</v>
      </c>
      <c r="AB18" s="32">
        <f>SUMIFS('24.6'!$E18:$E35,'24.6'!$B18:$B35,'TỔNG NHẬP'!$B18)</f>
        <v>0</v>
      </c>
      <c r="AC18" s="32">
        <f>SUMIFS('25.6'!$E18:$E35,'25.6'!$B18:$B35,'TỔNG NHẬP'!$B18)</f>
        <v>0</v>
      </c>
      <c r="AD18" s="32">
        <f>SUMIFS('26.6'!$E18:$E35,'26.6'!$B18:$B35,'TỔNG NHẬP'!$B18)</f>
        <v>0</v>
      </c>
      <c r="AE18" s="32">
        <f>SUMIFS('27.6'!$E18:$E35,'27.6'!$B18:$B35,'TỔNG NHẬP'!$B18)</f>
        <v>0</v>
      </c>
      <c r="AF18" s="32">
        <f>SUMIFS('28.6'!$E18:$E35,'28.6'!$B18:$B35,'TỔNG NHẬP'!$B18)</f>
        <v>0</v>
      </c>
      <c r="AG18" s="32">
        <f>SUMIFS('29.6'!$E18:$E35,'29.6'!$B18:$B35,'TỔNG NHẬP'!$B18)</f>
        <v>0</v>
      </c>
      <c r="AH18" s="32">
        <f>SUMIFS('30.6'!$E18:$E35,'30.6'!$B18:$B35,'TỔNG NHẬP'!$B18)</f>
        <v>0</v>
      </c>
    </row>
    <row r="19" spans="1:34" ht="18.75">
      <c r="A19" s="6">
        <v>13</v>
      </c>
      <c r="B19" s="7" t="s">
        <v>69</v>
      </c>
      <c r="C19" s="8" t="s">
        <v>12</v>
      </c>
      <c r="D19" s="13">
        <f t="shared" si="1"/>
        <v>30.700000000000003</v>
      </c>
      <c r="E19" s="32">
        <f>SUMIFS('1.6'!$E19:$E36,'1.6'!$B19:$B36,'TỔNG NHẬP'!$B19)</f>
        <v>0</v>
      </c>
      <c r="F19" s="32">
        <f>SUMIFS('2.6'!$E19:$E36,'2.6'!$B19:$B36,'TỔNG NHẬP'!$B19)</f>
        <v>0</v>
      </c>
      <c r="G19" s="32">
        <f>SUMIFS('3.6'!$E19:$E36,'3.6'!$B19:$B36,'TỔNG NHẬP'!$B19)</f>
        <v>0</v>
      </c>
      <c r="H19" s="32">
        <f>SUMIFS('4.6'!$E19:$E36,'4.6'!$B19:$B36,'TỔNG NHẬP'!$B19)</f>
        <v>0</v>
      </c>
      <c r="I19" s="32">
        <f>SUMIFS('5.6'!$E19:$E36,'5.6'!$B19:$B36,'TỔNG NHẬP'!$B19)</f>
        <v>0</v>
      </c>
      <c r="J19" s="32">
        <f>SUMIFS('6.6'!$E19:$E36,'6.6'!$B19:$B36,'TỔNG NHẬP'!$B19)</f>
        <v>0</v>
      </c>
      <c r="K19" s="32">
        <f>SUMIFS('7.6'!$E19:$E36,'7.6'!$B19:$B36,'TỔNG NHẬP'!$B19)</f>
        <v>0</v>
      </c>
      <c r="L19" s="32">
        <f>SUMIFS('8.6'!$E19:$E36,'8.6'!$B19:$B36,'TỔNG NHẬP'!$B19)</f>
        <v>8.5</v>
      </c>
      <c r="M19" s="32">
        <f>SUMIFS('9.6'!$E19:$E36,'9.6'!$B19:$B36,'TỔNG NHẬP'!$B19)</f>
        <v>0</v>
      </c>
      <c r="N19" s="32">
        <f>SUMIFS('10.6'!$E19:$E36,'10.6'!$B19:$B36,'TỔNG NHẬP'!$B19)</f>
        <v>0</v>
      </c>
      <c r="O19" s="32">
        <f>SUMIFS('11.6'!$E19:$E36,'11.6'!$B19:$B36,'TỔNG NHẬP'!$B19)</f>
        <v>0</v>
      </c>
      <c r="P19" s="32">
        <f>SUMIFS('12.6'!$E19:$E36,'12.6'!$B19:$B36,'TỔNG NHẬP'!$B19)</f>
        <v>0</v>
      </c>
      <c r="Q19" s="32">
        <f>SUMIFS('13.6'!$E19:$E36,'13.6'!$B19:$B36,'TỔNG NHẬP'!$B19)</f>
        <v>0</v>
      </c>
      <c r="R19" s="32">
        <f>SUMIFS('14.6'!$E19:$E36,'14.6'!$B19:$B36,'TỔNG NHẬP'!$B19)</f>
        <v>0</v>
      </c>
      <c r="S19" s="32">
        <f>SUMIFS('15.6'!$E19:$E36,'15.6'!$B19:$B36,'TỔNG NHẬP'!$B19)</f>
        <v>0</v>
      </c>
      <c r="T19" s="32">
        <f>SUMIFS('16.6'!$E19:$E36,'16.6'!$B19:$B36,'TỔNG NHẬP'!$B19)</f>
        <v>10.8</v>
      </c>
      <c r="U19" s="32">
        <f>SUMIFS('17.6'!$E19:$E36,'17.6'!$B19:$B36,'TỔNG NHẬP'!$B19)</f>
        <v>0</v>
      </c>
      <c r="V19" s="32">
        <f>SUMIFS('18.6'!$E19:$E36,'18.6'!$B19:$B36,'TỔNG NHẬP'!$B19)</f>
        <v>0</v>
      </c>
      <c r="W19" s="32">
        <f>SUMIFS('19.6'!$E19:$E36,'19.6'!$B19:$B36,'TỔNG NHẬP'!$B19)</f>
        <v>0</v>
      </c>
      <c r="X19" s="32">
        <f>SUMIFS('20.6'!$E19:$E36,'20.6'!$B19:$B36,'TỔNG NHẬP'!$B19)</f>
        <v>0</v>
      </c>
      <c r="Y19" s="32">
        <f>SUMIFS('21.6'!$E19:$E36,'21.6'!$B19:$B36,'TỔNG NHẬP'!$B19)</f>
        <v>0</v>
      </c>
      <c r="Z19" s="32">
        <f>SUMIFS('22.6'!$E19:$E36,'22.6'!$B19:$B36,'TỔNG NHẬP'!$B19)</f>
        <v>0</v>
      </c>
      <c r="AA19" s="32">
        <f>SUMIFS('23.6'!$E19:$E36,'23.6'!$B19:$B36,'TỔNG NHẬP'!$B19)</f>
        <v>0</v>
      </c>
      <c r="AB19" s="32">
        <f>SUMIFS('24.6'!$E19:$E36,'24.6'!$B19:$B36,'TỔNG NHẬP'!$B19)</f>
        <v>0</v>
      </c>
      <c r="AC19" s="32">
        <f>SUMIFS('25.6'!$E19:$E36,'25.6'!$B19:$B36,'TỔNG NHẬP'!$B19)</f>
        <v>0</v>
      </c>
      <c r="AD19" s="32">
        <f>SUMIFS('26.6'!$E19:$E36,'26.6'!$B19:$B36,'TỔNG NHẬP'!$B19)</f>
        <v>0</v>
      </c>
      <c r="AE19" s="32">
        <f>SUMIFS('27.6'!$E19:$E36,'27.6'!$B19:$B36,'TỔNG NHẬP'!$B19)</f>
        <v>0</v>
      </c>
      <c r="AF19" s="32">
        <f>SUMIFS('28.6'!$E19:$E36,'28.6'!$B19:$B36,'TỔNG NHẬP'!$B19)</f>
        <v>0</v>
      </c>
      <c r="AG19" s="32">
        <f>SUMIFS('29.6'!$E19:$E36,'29.6'!$B19:$B36,'TỔNG NHẬP'!$B19)</f>
        <v>0</v>
      </c>
      <c r="AH19" s="32">
        <f>SUMIFS('30.6'!$E19:$E36,'30.6'!$B19:$B36,'TỔNG NHẬP'!$B19)</f>
        <v>11.4</v>
      </c>
    </row>
    <row r="20" spans="1:34" ht="18.75">
      <c r="A20" s="6">
        <v>14</v>
      </c>
      <c r="B20" s="7" t="s">
        <v>25</v>
      </c>
      <c r="C20" s="8" t="s">
        <v>12</v>
      </c>
      <c r="D20" s="13">
        <f t="shared" si="1"/>
        <v>0</v>
      </c>
      <c r="E20" s="32">
        <f>SUMIFS('1.6'!$E20:$E37,'1.6'!$B20:$B37,'TỔNG NHẬP'!$B20)</f>
        <v>0</v>
      </c>
      <c r="F20" s="32">
        <f>SUMIFS('2.6'!$E20:$E37,'2.6'!$B20:$B37,'TỔNG NHẬP'!$B20)</f>
        <v>0</v>
      </c>
      <c r="G20" s="32">
        <f>SUMIFS('3.6'!$E20:$E37,'3.6'!$B20:$B37,'TỔNG NHẬP'!$B20)</f>
        <v>0</v>
      </c>
      <c r="H20" s="32">
        <f>SUMIFS('4.6'!$E20:$E37,'4.6'!$B20:$B37,'TỔNG NHẬP'!$B20)</f>
        <v>0</v>
      </c>
      <c r="I20" s="32">
        <f>SUMIFS('5.6'!$E20:$E37,'5.6'!$B20:$B37,'TỔNG NHẬP'!$B20)</f>
        <v>0</v>
      </c>
      <c r="J20" s="32">
        <f>SUMIFS('6.6'!$E20:$E37,'6.6'!$B20:$B37,'TỔNG NHẬP'!$B20)</f>
        <v>0</v>
      </c>
      <c r="K20" s="32">
        <f>SUMIFS('7.6'!$E20:$E37,'7.6'!$B20:$B37,'TỔNG NHẬP'!$B20)</f>
        <v>0</v>
      </c>
      <c r="L20" s="32">
        <f>SUMIFS('8.6'!$E20:$E37,'8.6'!$B20:$B37,'TỔNG NHẬP'!$B20)</f>
        <v>0</v>
      </c>
      <c r="M20" s="32">
        <f>SUMIFS('9.6'!$E20:$E37,'9.6'!$B20:$B37,'TỔNG NHẬP'!$B20)</f>
        <v>0</v>
      </c>
      <c r="N20" s="32">
        <f>SUMIFS('10.6'!$E20:$E37,'10.6'!$B20:$B37,'TỔNG NHẬP'!$B20)</f>
        <v>0</v>
      </c>
      <c r="O20" s="32">
        <f>SUMIFS('11.6'!$E20:$E37,'11.6'!$B20:$B37,'TỔNG NHẬP'!$B20)</f>
        <v>0</v>
      </c>
      <c r="P20" s="32">
        <f>SUMIFS('12.6'!$E20:$E37,'12.6'!$B20:$B37,'TỔNG NHẬP'!$B20)</f>
        <v>0</v>
      </c>
      <c r="Q20" s="32">
        <f>SUMIFS('13.6'!$E20:$E37,'13.6'!$B20:$B37,'TỔNG NHẬP'!$B20)</f>
        <v>0</v>
      </c>
      <c r="R20" s="32">
        <f>SUMIFS('14.6'!$E20:$E37,'14.6'!$B20:$B37,'TỔNG NHẬP'!$B20)</f>
        <v>0</v>
      </c>
      <c r="S20" s="32">
        <f>SUMIFS('15.6'!$E20:$E37,'15.6'!$B20:$B37,'TỔNG NHẬP'!$B20)</f>
        <v>0</v>
      </c>
      <c r="T20" s="32">
        <f>SUMIFS('16.6'!$E20:$E37,'16.6'!$B20:$B37,'TỔNG NHẬP'!$B20)</f>
        <v>0</v>
      </c>
      <c r="U20" s="32">
        <f>SUMIFS('17.6'!$E20:$E37,'17.6'!$B20:$B37,'TỔNG NHẬP'!$B20)</f>
        <v>0</v>
      </c>
      <c r="V20" s="32">
        <f>SUMIFS('18.6'!$E20:$E37,'18.6'!$B20:$B37,'TỔNG NHẬP'!$B20)</f>
        <v>0</v>
      </c>
      <c r="W20" s="32">
        <f>SUMIFS('19.6'!$E20:$E37,'19.6'!$B20:$B37,'TỔNG NHẬP'!$B20)</f>
        <v>0</v>
      </c>
      <c r="X20" s="32">
        <f>SUMIFS('20.6'!$E20:$E37,'20.6'!$B20:$B37,'TỔNG NHẬP'!$B20)</f>
        <v>0</v>
      </c>
      <c r="Y20" s="32">
        <f>SUMIFS('21.6'!$E20:$E37,'21.6'!$B20:$B37,'TỔNG NHẬP'!$B20)</f>
        <v>0</v>
      </c>
      <c r="Z20" s="32">
        <f>SUMIFS('22.6'!$E20:$E37,'22.6'!$B20:$B37,'TỔNG NHẬP'!$B20)</f>
        <v>0</v>
      </c>
      <c r="AA20" s="32">
        <f>SUMIFS('23.6'!$E20:$E37,'23.6'!$B20:$B37,'TỔNG NHẬP'!$B20)</f>
        <v>0</v>
      </c>
      <c r="AB20" s="32">
        <f>SUMIFS('24.6'!$E20:$E37,'24.6'!$B20:$B37,'TỔNG NHẬP'!$B20)</f>
        <v>0</v>
      </c>
      <c r="AC20" s="32">
        <f>SUMIFS('25.6'!$E20:$E37,'25.6'!$B20:$B37,'TỔNG NHẬP'!$B20)</f>
        <v>0</v>
      </c>
      <c r="AD20" s="32">
        <f>SUMIFS('26.6'!$E20:$E37,'26.6'!$B20:$B37,'TỔNG NHẬP'!$B20)</f>
        <v>0</v>
      </c>
      <c r="AE20" s="32">
        <f>SUMIFS('27.6'!$E20:$E37,'27.6'!$B20:$B37,'TỔNG NHẬP'!$B20)</f>
        <v>0</v>
      </c>
      <c r="AF20" s="32">
        <f>SUMIFS('28.6'!$E20:$E37,'28.6'!$B20:$B37,'TỔNG NHẬP'!$B20)</f>
        <v>0</v>
      </c>
      <c r="AG20" s="32">
        <f>SUMIFS('29.6'!$E20:$E37,'29.6'!$B20:$B37,'TỔNG NHẬP'!$B20)</f>
        <v>0</v>
      </c>
      <c r="AH20" s="32">
        <f>SUMIFS('30.6'!$E20:$E37,'30.6'!$B20:$B37,'TỔNG NHẬP'!$B20)</f>
        <v>0</v>
      </c>
    </row>
    <row r="21" spans="1:34" ht="18.75">
      <c r="A21" s="6">
        <v>15</v>
      </c>
      <c r="B21" s="7" t="s">
        <v>26</v>
      </c>
      <c r="C21" s="8" t="s">
        <v>12</v>
      </c>
      <c r="D21" s="13">
        <f t="shared" si="1"/>
        <v>67.150000000000006</v>
      </c>
      <c r="E21" s="32">
        <f>SUMIFS('1.6'!$E21:$E38,'1.6'!$B21:$B38,'TỔNG NHẬP'!$B21)</f>
        <v>0</v>
      </c>
      <c r="F21" s="32">
        <f>SUMIFS('2.6'!$E21:$E38,'2.6'!$B21:$B38,'TỔNG NHẬP'!$B21)</f>
        <v>0</v>
      </c>
      <c r="G21" s="32">
        <f>SUMIFS('3.6'!$E21:$E38,'3.6'!$B21:$B38,'TỔNG NHẬP'!$B21)</f>
        <v>11.3</v>
      </c>
      <c r="H21" s="32">
        <f>SUMIFS('4.6'!$E21:$E38,'4.6'!$B21:$B38,'TỔNG NHẬP'!$B21)</f>
        <v>0</v>
      </c>
      <c r="I21" s="32">
        <f>SUMIFS('5.6'!$E21:$E38,'5.6'!$B21:$B38,'TỔNG NHẬP'!$B21)</f>
        <v>0</v>
      </c>
      <c r="J21" s="32">
        <f>SUMIFS('6.6'!$E21:$E38,'6.6'!$B21:$B38,'TỔNG NHẬP'!$B21)</f>
        <v>0</v>
      </c>
      <c r="K21" s="32">
        <f>SUMIFS('7.6'!$E21:$E38,'7.6'!$B21:$B38,'TỔNG NHẬP'!$B21)</f>
        <v>0</v>
      </c>
      <c r="L21" s="32">
        <f>SUMIFS('8.6'!$E21:$E38,'8.6'!$B21:$B38,'TỔNG NHẬP'!$B21)</f>
        <v>0</v>
      </c>
      <c r="M21" s="32">
        <f>SUMIFS('9.6'!$E21:$E38,'9.6'!$B21:$B38,'TỔNG NHẬP'!$B21)</f>
        <v>11.4</v>
      </c>
      <c r="N21" s="32">
        <f>SUMIFS('10.6'!$E21:$E38,'10.6'!$B21:$B38,'TỔNG NHẬP'!$B21)</f>
        <v>0</v>
      </c>
      <c r="O21" s="32">
        <f>SUMIFS('11.6'!$E21:$E38,'11.6'!$B21:$B38,'TỔNG NHẬP'!$B21)</f>
        <v>0</v>
      </c>
      <c r="P21" s="32">
        <f>SUMIFS('12.6'!$E21:$E38,'12.6'!$B21:$B38,'TỔNG NHẬP'!$B21)</f>
        <v>0</v>
      </c>
      <c r="Q21" s="32">
        <f>SUMIFS('13.6'!$E21:$E38,'13.6'!$B21:$B38,'TỔNG NHẬP'!$B21)</f>
        <v>0</v>
      </c>
      <c r="R21" s="32">
        <f>SUMIFS('14.6'!$E21:$E38,'14.6'!$B21:$B38,'TỔNG NHẬP'!$B21)</f>
        <v>11.45</v>
      </c>
      <c r="S21" s="32">
        <f>SUMIFS('15.6'!$E21:$E38,'15.6'!$B21:$B38,'TỔNG NHẬP'!$B21)</f>
        <v>0</v>
      </c>
      <c r="T21" s="32">
        <f>SUMIFS('16.6'!$E21:$E38,'16.6'!$B21:$B38,'TỔNG NHẬP'!$B21)</f>
        <v>10.8</v>
      </c>
      <c r="U21" s="32">
        <f>SUMIFS('17.6'!$E21:$E38,'17.6'!$B21:$B38,'TỔNG NHẬP'!$B21)</f>
        <v>0</v>
      </c>
      <c r="V21" s="32">
        <f>SUMIFS('18.6'!$E21:$E38,'18.6'!$B21:$B38,'TỔNG NHẬP'!$B21)</f>
        <v>0</v>
      </c>
      <c r="W21" s="32">
        <f>SUMIFS('19.6'!$E21:$E38,'19.6'!$B21:$B38,'TỔNG NHẬP'!$B21)</f>
        <v>0</v>
      </c>
      <c r="X21" s="32">
        <f>SUMIFS('20.6'!$E21:$E38,'20.6'!$B21:$B38,'TỔNG NHẬP'!$B21)</f>
        <v>11.4</v>
      </c>
      <c r="Y21" s="32">
        <f>SUMIFS('21.6'!$E21:$E38,'21.6'!$B21:$B38,'TỔNG NHẬP'!$B21)</f>
        <v>0</v>
      </c>
      <c r="Z21" s="32">
        <f>SUMIFS('22.6'!$E21:$E38,'22.6'!$B21:$B38,'TỔNG NHẬP'!$B21)</f>
        <v>0</v>
      </c>
      <c r="AA21" s="32">
        <f>SUMIFS('23.6'!$E21:$E38,'23.6'!$B21:$B38,'TỔNG NHẬP'!$B21)</f>
        <v>0</v>
      </c>
      <c r="AB21" s="32">
        <f>SUMIFS('24.6'!$E21:$E38,'24.6'!$B21:$B38,'TỔNG NHẬP'!$B21)</f>
        <v>0</v>
      </c>
      <c r="AC21" s="32">
        <f>SUMIFS('25.6'!$E21:$E38,'25.6'!$B21:$B38,'TỔNG NHẬP'!$B21)</f>
        <v>0</v>
      </c>
      <c r="AD21" s="32">
        <f>SUMIFS('26.6'!$E21:$E38,'26.6'!$B21:$B38,'TỔNG NHẬP'!$B21)</f>
        <v>0</v>
      </c>
      <c r="AE21" s="32">
        <f>SUMIFS('27.6'!$E21:$E38,'27.6'!$B21:$B38,'TỔNG NHẬP'!$B21)</f>
        <v>0</v>
      </c>
      <c r="AF21" s="32">
        <f>SUMIFS('28.6'!$E21:$E38,'28.6'!$B21:$B38,'TỔNG NHẬP'!$B21)</f>
        <v>10.8</v>
      </c>
      <c r="AG21" s="32">
        <f>SUMIFS('29.6'!$E21:$E38,'29.6'!$B21:$B38,'TỔNG NHẬP'!$B21)</f>
        <v>0</v>
      </c>
      <c r="AH21" s="32">
        <f>SUMIFS('30.6'!$E21:$E38,'30.6'!$B21:$B38,'TỔNG NHẬP'!$B21)</f>
        <v>0</v>
      </c>
    </row>
    <row r="22" spans="1:34" ht="18.75">
      <c r="A22" s="6">
        <v>16</v>
      </c>
      <c r="B22" s="7" t="s">
        <v>27</v>
      </c>
      <c r="C22" s="8" t="s">
        <v>12</v>
      </c>
      <c r="D22" s="13">
        <f t="shared" si="1"/>
        <v>0</v>
      </c>
      <c r="E22" s="32">
        <f>SUMIFS('1.6'!$E22:$E39,'1.6'!$B22:$B39,'TỔNG NHẬP'!$B22)</f>
        <v>0</v>
      </c>
      <c r="F22" s="32">
        <f>SUMIFS('2.6'!$E22:$E39,'2.6'!$B22:$B39,'TỔNG NHẬP'!$B22)</f>
        <v>0</v>
      </c>
      <c r="G22" s="32">
        <f>SUMIFS('3.6'!$E22:$E39,'3.6'!$B22:$B39,'TỔNG NHẬP'!$B22)</f>
        <v>0</v>
      </c>
      <c r="H22" s="32">
        <f>SUMIFS('4.6'!$E22:$E39,'4.6'!$B22:$B39,'TỔNG NHẬP'!$B22)</f>
        <v>0</v>
      </c>
      <c r="I22" s="32">
        <f>SUMIFS('5.6'!$E22:$E39,'5.6'!$B22:$B39,'TỔNG NHẬP'!$B22)</f>
        <v>0</v>
      </c>
      <c r="J22" s="32">
        <f>SUMIFS('6.6'!$E22:$E39,'6.6'!$B22:$B39,'TỔNG NHẬP'!$B22)</f>
        <v>0</v>
      </c>
      <c r="K22" s="32">
        <f>SUMIFS('7.6'!$E22:$E39,'7.6'!$B22:$B39,'TỔNG NHẬP'!$B22)</f>
        <v>0</v>
      </c>
      <c r="L22" s="32">
        <f>SUMIFS('8.6'!$E22:$E39,'8.6'!$B22:$B39,'TỔNG NHẬP'!$B22)</f>
        <v>0</v>
      </c>
      <c r="M22" s="32">
        <f>SUMIFS('9.6'!$E22:$E39,'9.6'!$B22:$B39,'TỔNG NHẬP'!$B22)</f>
        <v>0</v>
      </c>
      <c r="N22" s="32">
        <f>SUMIFS('10.6'!$E22:$E39,'10.6'!$B22:$B39,'TỔNG NHẬP'!$B22)</f>
        <v>0</v>
      </c>
      <c r="O22" s="32">
        <f>SUMIFS('11.6'!$E22:$E39,'11.6'!$B22:$B39,'TỔNG NHẬP'!$B22)</f>
        <v>0</v>
      </c>
      <c r="P22" s="32">
        <f>SUMIFS('12.6'!$E22:$E39,'12.6'!$B22:$B39,'TỔNG NHẬP'!$B22)</f>
        <v>0</v>
      </c>
      <c r="Q22" s="32">
        <f>SUMIFS('13.6'!$E22:$E39,'13.6'!$B22:$B39,'TỔNG NHẬP'!$B22)</f>
        <v>0</v>
      </c>
      <c r="R22" s="32">
        <f>SUMIFS('14.6'!$E22:$E39,'14.6'!$B22:$B39,'TỔNG NHẬP'!$B22)</f>
        <v>0</v>
      </c>
      <c r="S22" s="32">
        <f>SUMIFS('15.6'!$E22:$E39,'15.6'!$B22:$B39,'TỔNG NHẬP'!$B22)</f>
        <v>0</v>
      </c>
      <c r="T22" s="32">
        <f>SUMIFS('16.6'!$E22:$E39,'16.6'!$B22:$B39,'TỔNG NHẬP'!$B22)</f>
        <v>0</v>
      </c>
      <c r="U22" s="32">
        <f>SUMIFS('17.6'!$E22:$E39,'17.6'!$B22:$B39,'TỔNG NHẬP'!$B22)</f>
        <v>0</v>
      </c>
      <c r="V22" s="32">
        <f>SUMIFS('18.6'!$E22:$E39,'18.6'!$B22:$B39,'TỔNG NHẬP'!$B22)</f>
        <v>0</v>
      </c>
      <c r="W22" s="32">
        <f>SUMIFS('19.6'!$E22:$E39,'19.6'!$B22:$B39,'TỔNG NHẬP'!$B22)</f>
        <v>0</v>
      </c>
      <c r="X22" s="32">
        <f>SUMIFS('20.6'!$E22:$E39,'20.6'!$B22:$B39,'TỔNG NHẬP'!$B22)</f>
        <v>0</v>
      </c>
      <c r="Y22" s="32">
        <f>SUMIFS('21.6'!$E22:$E39,'21.6'!$B22:$B39,'TỔNG NHẬP'!$B22)</f>
        <v>0</v>
      </c>
      <c r="Z22" s="32">
        <f>SUMIFS('22.6'!$E22:$E39,'22.6'!$B22:$B39,'TỔNG NHẬP'!$B22)</f>
        <v>0</v>
      </c>
      <c r="AA22" s="32">
        <f>SUMIFS('23.6'!$E22:$E39,'23.6'!$B22:$B39,'TỔNG NHẬP'!$B22)</f>
        <v>0</v>
      </c>
      <c r="AB22" s="32">
        <f>SUMIFS('24.6'!$E22:$E39,'24.6'!$B22:$B39,'TỔNG NHẬP'!$B22)</f>
        <v>0</v>
      </c>
      <c r="AC22" s="32">
        <f>SUMIFS('25.6'!$E22:$E39,'25.6'!$B22:$B39,'TỔNG NHẬP'!$B22)</f>
        <v>0</v>
      </c>
      <c r="AD22" s="32">
        <f>SUMIFS('26.6'!$E22:$E39,'26.6'!$B22:$B39,'TỔNG NHẬP'!$B22)</f>
        <v>0</v>
      </c>
      <c r="AE22" s="32">
        <f>SUMIFS('27.6'!$E22:$E39,'27.6'!$B22:$B39,'TỔNG NHẬP'!$B22)</f>
        <v>0</v>
      </c>
      <c r="AF22" s="32">
        <f>SUMIFS('28.6'!$E22:$E39,'28.6'!$B22:$B39,'TỔNG NHẬP'!$B22)</f>
        <v>0</v>
      </c>
      <c r="AG22" s="32">
        <f>SUMIFS('29.6'!$E22:$E39,'29.6'!$B22:$B39,'TỔNG NHẬP'!$B22)</f>
        <v>0</v>
      </c>
      <c r="AH22" s="32">
        <f>SUMIFS('30.6'!$E22:$E39,'30.6'!$B22:$B39,'TỔNG NHẬP'!$B22)</f>
        <v>0</v>
      </c>
    </row>
    <row r="23" spans="1:34" ht="18.75">
      <c r="A23" s="6">
        <v>17</v>
      </c>
      <c r="B23" s="7" t="s">
        <v>73</v>
      </c>
      <c r="C23" s="8" t="s">
        <v>12</v>
      </c>
      <c r="D23" s="13">
        <f t="shared" si="1"/>
        <v>0</v>
      </c>
      <c r="E23" s="32">
        <f>SUMIFS('1.6'!$E23:$E40,'1.6'!$B23:$B40,'TỔNG NHẬP'!$B23)</f>
        <v>0</v>
      </c>
      <c r="F23" s="32">
        <f>SUMIFS('2.6'!$E23:$E40,'2.6'!$B23:$B40,'TỔNG NHẬP'!$B23)</f>
        <v>0</v>
      </c>
      <c r="G23" s="32">
        <f>SUMIFS('3.6'!$E23:$E40,'3.6'!$B23:$B40,'TỔNG NHẬP'!$B23)</f>
        <v>0</v>
      </c>
      <c r="H23" s="32">
        <f>SUMIFS('4.6'!$E23:$E40,'4.6'!$B23:$B40,'TỔNG NHẬP'!$B23)</f>
        <v>0</v>
      </c>
      <c r="I23" s="32">
        <f>SUMIFS('5.6'!$E23:$E40,'5.6'!$B23:$B40,'TỔNG NHẬP'!$B23)</f>
        <v>0</v>
      </c>
      <c r="J23" s="32">
        <f>SUMIFS('6.6'!$E23:$E40,'6.6'!$B23:$B40,'TỔNG NHẬP'!$B23)</f>
        <v>0</v>
      </c>
      <c r="K23" s="32">
        <f>SUMIFS('7.6'!$E23:$E40,'7.6'!$B23:$B40,'TỔNG NHẬP'!$B23)</f>
        <v>0</v>
      </c>
      <c r="L23" s="32">
        <f>SUMIFS('8.6'!$E23:$E40,'8.6'!$B23:$B40,'TỔNG NHẬP'!$B23)</f>
        <v>0</v>
      </c>
      <c r="M23" s="32">
        <f>SUMIFS('9.6'!$E23:$E40,'9.6'!$B23:$B40,'TỔNG NHẬP'!$B23)</f>
        <v>0</v>
      </c>
      <c r="N23" s="32">
        <f>SUMIFS('10.6'!$E23:$E40,'10.6'!$B23:$B40,'TỔNG NHẬP'!$B23)</f>
        <v>0</v>
      </c>
      <c r="O23" s="32">
        <f>SUMIFS('11.6'!$E23:$E40,'11.6'!$B23:$B40,'TỔNG NHẬP'!$B23)</f>
        <v>0</v>
      </c>
      <c r="P23" s="32">
        <f>SUMIFS('12.6'!$E23:$E40,'12.6'!$B23:$B40,'TỔNG NHẬP'!$B23)</f>
        <v>0</v>
      </c>
      <c r="Q23" s="32">
        <f>SUMIFS('13.6'!$E23:$E40,'13.6'!$B23:$B40,'TỔNG NHẬP'!$B23)</f>
        <v>0</v>
      </c>
      <c r="R23" s="32">
        <f>SUMIFS('14.6'!$E23:$E40,'14.6'!$B23:$B40,'TỔNG NHẬP'!$B23)</f>
        <v>0</v>
      </c>
      <c r="S23" s="32">
        <f>SUMIFS('15.6'!$E23:$E40,'15.6'!$B23:$B40,'TỔNG NHẬP'!$B23)</f>
        <v>0</v>
      </c>
      <c r="T23" s="32">
        <f>SUMIFS('16.6'!$E23:$E40,'16.6'!$B23:$B40,'TỔNG NHẬP'!$B23)</f>
        <v>0</v>
      </c>
      <c r="U23" s="32">
        <f>SUMIFS('17.6'!$E23:$E40,'17.6'!$B23:$B40,'TỔNG NHẬP'!$B23)</f>
        <v>0</v>
      </c>
      <c r="V23" s="32">
        <f>SUMIFS('18.6'!$E23:$E40,'18.6'!$B23:$B40,'TỔNG NHẬP'!$B23)</f>
        <v>0</v>
      </c>
      <c r="W23" s="32">
        <f>SUMIFS('19.6'!$E23:$E40,'19.6'!$B23:$B40,'TỔNG NHẬP'!$B23)</f>
        <v>0</v>
      </c>
      <c r="X23" s="32">
        <f>SUMIFS('20.6'!$E23:$E40,'20.6'!$B23:$B40,'TỔNG NHẬP'!$B23)</f>
        <v>0</v>
      </c>
      <c r="Y23" s="32">
        <f>SUMIFS('21.6'!$E23:$E40,'21.6'!$B23:$B40,'TỔNG NHẬP'!$B23)</f>
        <v>0</v>
      </c>
      <c r="Z23" s="32">
        <f>SUMIFS('22.6'!$E23:$E40,'22.6'!$B23:$B40,'TỔNG NHẬP'!$B23)</f>
        <v>0</v>
      </c>
      <c r="AA23" s="32">
        <f>SUMIFS('23.6'!$E23:$E40,'23.6'!$B23:$B40,'TỔNG NHẬP'!$B23)</f>
        <v>0</v>
      </c>
      <c r="AB23" s="32">
        <f>SUMIFS('24.6'!$E23:$E40,'24.6'!$B23:$B40,'TỔNG NHẬP'!$B23)</f>
        <v>0</v>
      </c>
      <c r="AC23" s="32">
        <f>SUMIFS('25.6'!$E23:$E40,'25.6'!$B23:$B40,'TỔNG NHẬP'!$B23)</f>
        <v>0</v>
      </c>
      <c r="AD23" s="32">
        <f>SUMIFS('26.6'!$E23:$E40,'26.6'!$B23:$B40,'TỔNG NHẬP'!$B23)</f>
        <v>0</v>
      </c>
      <c r="AE23" s="32">
        <f>SUMIFS('27.6'!$E23:$E40,'27.6'!$B23:$B40,'TỔNG NHẬP'!$B23)</f>
        <v>0</v>
      </c>
      <c r="AF23" s="32">
        <f>SUMIFS('28.6'!$E23:$E40,'28.6'!$B23:$B40,'TỔNG NHẬP'!$B23)</f>
        <v>0</v>
      </c>
      <c r="AG23" s="32">
        <f>SUMIFS('29.6'!$E23:$E40,'29.6'!$B23:$B40,'TỔNG NHẬP'!$B23)</f>
        <v>0</v>
      </c>
      <c r="AH23" s="32">
        <f>SUMIFS('30.6'!$E23:$E40,'30.6'!$B23:$B40,'TỔNG NHẬP'!$B23)</f>
        <v>0</v>
      </c>
    </row>
    <row r="24" spans="1:34" ht="18.75">
      <c r="A24" s="6">
        <v>18</v>
      </c>
      <c r="B24" s="7" t="s">
        <v>74</v>
      </c>
      <c r="C24" s="8" t="s">
        <v>12</v>
      </c>
      <c r="D24" s="13">
        <f t="shared" si="1"/>
        <v>1251.5</v>
      </c>
      <c r="E24" s="32">
        <f>SUMIFS('1.6'!$E24:$E41,'1.6'!$B24:$B41,'TỔNG NHẬP'!$B24)</f>
        <v>66</v>
      </c>
      <c r="F24" s="32">
        <f>SUMIFS('2.6'!$E24:$E41,'2.6'!$B24:$B41,'TỔNG NHẬP'!$B24)</f>
        <v>46</v>
      </c>
      <c r="G24" s="32">
        <f>SUMIFS('3.6'!$E24:$E41,'3.6'!$B24:$B41,'TỔNG NHẬP'!$B24)</f>
        <v>0</v>
      </c>
      <c r="H24" s="32">
        <f>SUMIFS('4.6'!$E24:$E41,'4.6'!$B24:$B41,'TỔNG NHẬP'!$B24)</f>
        <v>0</v>
      </c>
      <c r="I24" s="32">
        <f>SUMIFS('5.6'!$E24:$E41,'5.6'!$B24:$B41,'TỔNG NHẬP'!$B24)</f>
        <v>58</v>
      </c>
      <c r="J24" s="32">
        <f>SUMIFS('6.6'!$E24:$E41,'6.6'!$B24:$B41,'TỔNG NHẬP'!$B24)</f>
        <v>57</v>
      </c>
      <c r="K24" s="32">
        <f>SUMIFS('7.6'!$E24:$E41,'7.6'!$B24:$B41,'TỔNG NHẬP'!$B24)</f>
        <v>58</v>
      </c>
      <c r="L24" s="32">
        <f>SUMIFS('8.6'!$E24:$E41,'8.6'!$B24:$B41,'TỔNG NHẬP'!$B24)</f>
        <v>58</v>
      </c>
      <c r="M24" s="32">
        <f>SUMIFS('9.6'!$E24:$E41,'9.6'!$B24:$B41,'TỔNG NHẬP'!$B24)</f>
        <v>58</v>
      </c>
      <c r="N24" s="32">
        <f>SUMIFS('10.6'!$E24:$E41,'10.6'!$B24:$B41,'TỔNG NHẬP'!$B24)</f>
        <v>58</v>
      </c>
      <c r="O24" s="32">
        <f>SUMIFS('11.6'!$E24:$E41,'11.6'!$B24:$B41,'TỔNG NHẬP'!$B24)</f>
        <v>0</v>
      </c>
      <c r="P24" s="32">
        <f>SUMIFS('12.6'!$E24:$E41,'12.6'!$B24:$B41,'TỔNG NHẬP'!$B24)</f>
        <v>58</v>
      </c>
      <c r="Q24" s="32">
        <f>SUMIFS('13.6'!$E24:$E41,'13.6'!$B24:$B41,'TỔNG NHẬP'!$B24)</f>
        <v>58</v>
      </c>
      <c r="R24" s="32">
        <f>SUMIFS('14.6'!$E24:$E41,'14.6'!$B24:$B41,'TỔNG NHẬP'!$B24)</f>
        <v>58</v>
      </c>
      <c r="S24" s="32">
        <f>SUMIFS('15.6'!$E24:$E41,'15.6'!$B24:$B41,'TỔNG NHẬP'!$B24)</f>
        <v>56</v>
      </c>
      <c r="T24" s="32">
        <f>SUMIFS('16.6'!$E24:$E41,'16.6'!$B24:$B41,'TỔNG NHẬP'!$B24)</f>
        <v>57</v>
      </c>
      <c r="U24" s="32">
        <f>SUMIFS('17.6'!$E24:$E41,'17.6'!$B24:$B41,'TỔNG NHẬP'!$B24)</f>
        <v>47</v>
      </c>
      <c r="V24" s="32">
        <f>SUMIFS('18.6'!$E24:$E41,'18.6'!$B24:$B41,'TỔNG NHẬP'!$B24)</f>
        <v>0</v>
      </c>
      <c r="W24" s="32">
        <f>SUMIFS('19.6'!$E24:$E41,'19.6'!$B24:$B41,'TỔNG NHẬP'!$B24)</f>
        <v>48</v>
      </c>
      <c r="X24" s="32">
        <f>SUMIFS('20.6'!$E24:$E41,'20.6'!$B24:$B41,'TỔNG NHẬP'!$B24)</f>
        <v>47</v>
      </c>
      <c r="Y24" s="32">
        <f>SUMIFS('21.6'!$E24:$E41,'21.6'!$B24:$B41,'TỔNG NHẬP'!$B24)</f>
        <v>47</v>
      </c>
      <c r="Z24" s="32">
        <f>SUMIFS('22.6'!$E24:$E41,'22.6'!$B24:$B41,'TỔNG NHẬP'!$B24)</f>
        <v>47</v>
      </c>
      <c r="AA24" s="32">
        <f>SUMIFS('23.6'!$E24:$E41,'23.6'!$B24:$B41,'TỔNG NHẬP'!$B24)</f>
        <v>47</v>
      </c>
      <c r="AB24" s="32">
        <f>SUMIFS('24.6'!$E24:$E41,'24.6'!$B24:$B41,'TỔNG NHẬP'!$B24)</f>
        <v>38</v>
      </c>
      <c r="AC24" s="32">
        <f>SUMIFS('25.6'!$E24:$E41,'25.6'!$B24:$B41,'TỔNG NHẬP'!$B24)</f>
        <v>0</v>
      </c>
      <c r="AD24" s="32">
        <f>SUMIFS('26.6'!$E24:$E41,'26.6'!$B24:$B41,'TỔNG NHẬP'!$B24)</f>
        <v>46</v>
      </c>
      <c r="AE24" s="32">
        <f>SUMIFS('27.6'!$E24:$E41,'27.6'!$B24:$B41,'TỔNG NHẬP'!$B24)</f>
        <v>37.5</v>
      </c>
      <c r="AF24" s="32">
        <f>SUMIFS('28.6'!$E24:$E41,'28.6'!$B24:$B41,'TỔNG NHẬP'!$B24)</f>
        <v>37.5</v>
      </c>
      <c r="AG24" s="32">
        <f>SUMIFS('29.6'!$E24:$E41,'29.6'!$B24:$B41,'TỔNG NHẬP'!$B24)</f>
        <v>27</v>
      </c>
      <c r="AH24" s="32">
        <f>SUMIFS('30.6'!$E24:$E41,'30.6'!$B24:$B41,'TỔNG NHẬP'!$B24)</f>
        <v>36.5</v>
      </c>
    </row>
    <row r="25" spans="1:34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29" t="e">
        <f>SUMIFS(#REF!,#REF!,'TỔNG NHẬP'!$B25)</f>
        <v>#REF!</v>
      </c>
      <c r="F25" s="29" t="e">
        <f>SUMIFS(#REF!,#REF!,'TỔNG NHẬP'!$B25)</f>
        <v>#REF!</v>
      </c>
      <c r="G25" s="29" t="e">
        <f>SUMIFS(#REF!,#REF!,'TỔNG NHẬP'!$B25)</f>
        <v>#REF!</v>
      </c>
      <c r="H25" s="29" t="e">
        <f>SUMIFS(#REF!,#REF!,'TỔNG NHẬP'!$B25)</f>
        <v>#REF!</v>
      </c>
      <c r="I25" s="29" t="e">
        <f>SUMIFS(#REF!,#REF!,'TỔNG NHẬP'!$B25)</f>
        <v>#REF!</v>
      </c>
      <c r="J25" s="29" t="e">
        <f>SUMIFS(#REF!,#REF!,'TỔNG NHẬP'!$B25)</f>
        <v>#REF!</v>
      </c>
      <c r="K25" s="29" t="e">
        <f>SUMIFS(#REF!,#REF!,'TỔNG NHẬP'!$B25)</f>
        <v>#REF!</v>
      </c>
      <c r="L25" s="29" t="e">
        <f>SUMIFS(#REF!,#REF!,'TỔNG NHẬP'!$B25)</f>
        <v>#REF!</v>
      </c>
      <c r="M25" s="31" t="e">
        <f>SUMIFS(#REF!,#REF!,'TỔNG NHẬP'!$B25)</f>
        <v>#REF!</v>
      </c>
      <c r="N25" s="31" t="e">
        <f>SUMIFS(#REF!,#REF!,'TỔNG NHẬP'!$B25)</f>
        <v>#REF!</v>
      </c>
      <c r="O25" s="31" t="e">
        <f>SUMIFS(#REF!,#REF!,'TỔNG NHẬP'!$B25)</f>
        <v>#REF!</v>
      </c>
      <c r="P25" s="31" t="e">
        <f>SUMIFS(#REF!,#REF!,'TỔNG NHẬP'!$B25)</f>
        <v>#REF!</v>
      </c>
      <c r="Q25" s="31" t="e">
        <f>SUMIFS(#REF!,#REF!,'TỔNG NHẬP'!$B25)</f>
        <v>#REF!</v>
      </c>
      <c r="R25" s="31" t="e">
        <f>SUMIFS(#REF!,#REF!,'TỔNG NHẬP'!$B25)</f>
        <v>#REF!</v>
      </c>
      <c r="S25" s="31" t="e">
        <f>SUMIFS(#REF!,#REF!,'TỔNG NHẬP'!$B25)</f>
        <v>#REF!</v>
      </c>
      <c r="T25" s="31" t="e">
        <f>SUMIFS(#REF!,#REF!,'TỔNG NHẬP'!$B25)</f>
        <v>#REF!</v>
      </c>
      <c r="U25" s="31" t="e">
        <f>SUMIFS(#REF!,#REF!,'TỔNG NHẬP'!$B25)</f>
        <v>#REF!</v>
      </c>
      <c r="V25" s="31" t="e">
        <f>SUMIFS(#REF!,#REF!,'TỔNG NHẬP'!$B25)</f>
        <v>#REF!</v>
      </c>
      <c r="W25" s="31" t="e">
        <f>SUMIFS(#REF!,#REF!,'TỔNG NHẬP'!$B25)</f>
        <v>#REF!</v>
      </c>
      <c r="X25" s="31" t="e">
        <f>SUMIFS(#REF!,#REF!,'TỔNG NHẬP'!$B25)</f>
        <v>#REF!</v>
      </c>
      <c r="Y25" s="31" t="e">
        <f>SUMIFS(#REF!,#REF!,'TỔNG NHẬP'!$B25)</f>
        <v>#REF!</v>
      </c>
      <c r="Z25" s="31" t="e">
        <f>SUMIFS(#REF!,#REF!,'TỔNG NHẬP'!$B25)</f>
        <v>#REF!</v>
      </c>
      <c r="AA25" s="31" t="e">
        <f>SUMIFS(#REF!,#REF!,'TỔNG NHẬP'!$B25)</f>
        <v>#REF!</v>
      </c>
      <c r="AB25" s="31" t="e">
        <f>SUMIFS(#REF!,#REF!,'TỔNG NHẬP'!$B25)</f>
        <v>#REF!</v>
      </c>
      <c r="AC25" s="31" t="e">
        <f>SUMIFS(#REF!,#REF!,'TỔNG NHẬP'!$B25)</f>
        <v>#REF!</v>
      </c>
      <c r="AD25" s="31" t="e">
        <f>SUMIFS(#REF!,#REF!,'TỔNG NHẬP'!$B25)</f>
        <v>#REF!</v>
      </c>
      <c r="AE25" s="31" t="e">
        <f>SUMIFS(#REF!,#REF!,'TỔNG NHẬP'!$B25)</f>
        <v>#REF!</v>
      </c>
      <c r="AF25" s="31" t="e">
        <f>SUMIFS(#REF!,#REF!,'TỔNG NHẬP'!$B25)</f>
        <v>#REF!</v>
      </c>
      <c r="AG25" s="31" t="e">
        <f>SUMIFS(#REF!,#REF!,'TỔNG NHẬP'!$B25)</f>
        <v>#REF!</v>
      </c>
      <c r="AH25" s="31" t="e">
        <f>SUMIFS(#REF!,#REF!,'TỔNG NHẬP'!$B25)</f>
        <v>#REF!</v>
      </c>
    </row>
    <row r="26" spans="1:34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29" t="e">
        <f>SUMIFS(#REF!,#REF!,'TỔNG NHẬP'!$B26)</f>
        <v>#REF!</v>
      </c>
      <c r="F26" s="29" t="e">
        <f>SUMIFS(#REF!,#REF!,'TỔNG NHẬP'!$B26)</f>
        <v>#REF!</v>
      </c>
      <c r="G26" s="29" t="e">
        <f>SUMIFS(#REF!,#REF!,'TỔNG NHẬP'!$B26)</f>
        <v>#REF!</v>
      </c>
      <c r="H26" s="29" t="e">
        <f>SUMIFS(#REF!,#REF!,'TỔNG NHẬP'!$B26)</f>
        <v>#REF!</v>
      </c>
      <c r="I26" s="29" t="e">
        <f>SUMIFS(#REF!,#REF!,'TỔNG NHẬP'!$B26)</f>
        <v>#REF!</v>
      </c>
      <c r="J26" s="29" t="e">
        <f>SUMIFS(#REF!,#REF!,'TỔNG NHẬP'!$B26)</f>
        <v>#REF!</v>
      </c>
      <c r="K26" s="29" t="e">
        <f>SUMIFS(#REF!,#REF!,'TỔNG NHẬP'!$B26)</f>
        <v>#REF!</v>
      </c>
      <c r="L26" s="29" t="e">
        <f>SUMIFS(#REF!,#REF!,'TỔNG NHẬP'!$B26)</f>
        <v>#REF!</v>
      </c>
      <c r="M26" s="31" t="e">
        <f>SUMIFS(#REF!,#REF!,'TỔNG NHẬP'!$B26)</f>
        <v>#REF!</v>
      </c>
      <c r="N26" s="31" t="e">
        <f>SUMIFS(#REF!,#REF!,'TỔNG NHẬP'!$B26)</f>
        <v>#REF!</v>
      </c>
      <c r="O26" s="31" t="e">
        <f>SUMIFS(#REF!,#REF!,'TỔNG NHẬP'!$B26)</f>
        <v>#REF!</v>
      </c>
      <c r="P26" s="31" t="e">
        <f>SUMIFS(#REF!,#REF!,'TỔNG NHẬP'!$B26)</f>
        <v>#REF!</v>
      </c>
      <c r="Q26" s="31" t="e">
        <f>SUMIFS(#REF!,#REF!,'TỔNG NHẬP'!$B26)</f>
        <v>#REF!</v>
      </c>
      <c r="R26" s="31" t="e">
        <f>SUMIFS(#REF!,#REF!,'TỔNG NHẬP'!$B26)</f>
        <v>#REF!</v>
      </c>
      <c r="S26" s="31" t="e">
        <f>SUMIFS(#REF!,#REF!,'TỔNG NHẬP'!$B26)</f>
        <v>#REF!</v>
      </c>
      <c r="T26" s="31" t="e">
        <f>SUMIFS(#REF!,#REF!,'TỔNG NHẬP'!$B26)</f>
        <v>#REF!</v>
      </c>
      <c r="U26" s="31" t="e">
        <f>SUMIFS(#REF!,#REF!,'TỔNG NHẬP'!$B26)</f>
        <v>#REF!</v>
      </c>
      <c r="V26" s="31" t="e">
        <f>SUMIFS(#REF!,#REF!,'TỔNG NHẬP'!$B26)</f>
        <v>#REF!</v>
      </c>
      <c r="W26" s="31" t="e">
        <f>SUMIFS(#REF!,#REF!,'TỔNG NHẬP'!$B26)</f>
        <v>#REF!</v>
      </c>
      <c r="X26" s="31" t="e">
        <f>SUMIFS(#REF!,#REF!,'TỔNG NHẬP'!$B26)</f>
        <v>#REF!</v>
      </c>
      <c r="Y26" s="31" t="e">
        <f>SUMIFS(#REF!,#REF!,'TỔNG NHẬP'!$B26)</f>
        <v>#REF!</v>
      </c>
      <c r="Z26" s="31" t="e">
        <f>SUMIFS(#REF!,#REF!,'TỔNG NHẬP'!$B26)</f>
        <v>#REF!</v>
      </c>
      <c r="AA26" s="31" t="e">
        <f>SUMIFS(#REF!,#REF!,'TỔNG NHẬP'!$B26)</f>
        <v>#REF!</v>
      </c>
      <c r="AB26" s="31" t="e">
        <f>SUMIFS(#REF!,#REF!,'TỔNG NHẬP'!$B26)</f>
        <v>#REF!</v>
      </c>
      <c r="AC26" s="31" t="e">
        <f>SUMIFS(#REF!,#REF!,'TỔNG NHẬP'!$B26)</f>
        <v>#REF!</v>
      </c>
      <c r="AD26" s="31" t="e">
        <f>SUMIFS(#REF!,#REF!,'TỔNG NHẬP'!$B26)</f>
        <v>#REF!</v>
      </c>
      <c r="AE26" s="31" t="e">
        <f>SUMIFS(#REF!,#REF!,'TỔNG NHẬP'!$B26)</f>
        <v>#REF!</v>
      </c>
      <c r="AF26" s="31" t="e">
        <f>SUMIFS(#REF!,#REF!,'TỔNG NHẬP'!$B26)</f>
        <v>#REF!</v>
      </c>
      <c r="AG26" s="31" t="e">
        <f>SUMIFS(#REF!,#REF!,'TỔNG NHẬP'!$B26)</f>
        <v>#REF!</v>
      </c>
      <c r="AH26" s="31" t="e">
        <f>SUMIFS(#REF!,#REF!,'TỔNG NHẬP'!$B26)</f>
        <v>#REF!</v>
      </c>
    </row>
    <row r="27" spans="1:34" ht="18.75">
      <c r="A27" s="6"/>
      <c r="B27" s="7" t="s">
        <v>31</v>
      </c>
      <c r="C27" s="6"/>
      <c r="D27" s="13">
        <f>SUM(D7:D24)</f>
        <v>2898.5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F5:S5"/>
  </mergeCells>
  <pageMargins left="0.7" right="0.7" top="0.75" bottom="0.75" header="0.3" footer="0.3"/>
  <pageSetup orientation="portrait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H15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AG35" sqref="AG35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4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4" ht="18.75">
      <c r="A4" s="1"/>
      <c r="B4" s="1"/>
      <c r="C4" s="1"/>
      <c r="D4" s="4"/>
      <c r="E4" s="36">
        <f>D4+1</f>
        <v>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4">
      <c r="A5" s="38" t="s">
        <v>1</v>
      </c>
      <c r="B5" s="40" t="s">
        <v>2</v>
      </c>
      <c r="C5" s="38" t="s">
        <v>3</v>
      </c>
      <c r="D5" s="33" t="s">
        <v>77</v>
      </c>
      <c r="E5" s="47" t="s">
        <v>78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ht="15.75" customHeight="1">
      <c r="A6" s="39"/>
      <c r="B6" s="41"/>
      <c r="C6" s="39"/>
      <c r="D6" s="34"/>
      <c r="E6" s="28">
        <v>42887</v>
      </c>
      <c r="F6" s="28">
        <f>E6+1</f>
        <v>42888</v>
      </c>
      <c r="G6" s="28">
        <f t="shared" ref="G6:AH6" si="0">F6+1</f>
        <v>42889</v>
      </c>
      <c r="H6" s="28">
        <f t="shared" si="0"/>
        <v>42890</v>
      </c>
      <c r="I6" s="28">
        <f t="shared" si="0"/>
        <v>42891</v>
      </c>
      <c r="J6" s="28">
        <f t="shared" si="0"/>
        <v>42892</v>
      </c>
      <c r="K6" s="28">
        <f t="shared" si="0"/>
        <v>42893</v>
      </c>
      <c r="L6" s="28">
        <f t="shared" si="0"/>
        <v>42894</v>
      </c>
      <c r="M6" s="28">
        <f t="shared" si="0"/>
        <v>42895</v>
      </c>
      <c r="N6" s="28">
        <f t="shared" si="0"/>
        <v>42896</v>
      </c>
      <c r="O6" s="28">
        <f t="shared" si="0"/>
        <v>42897</v>
      </c>
      <c r="P6" s="28">
        <f t="shared" si="0"/>
        <v>42898</v>
      </c>
      <c r="Q6" s="28">
        <f t="shared" si="0"/>
        <v>42899</v>
      </c>
      <c r="R6" s="28">
        <f t="shared" si="0"/>
        <v>42900</v>
      </c>
      <c r="S6" s="28">
        <f t="shared" si="0"/>
        <v>42901</v>
      </c>
      <c r="T6" s="28">
        <f t="shared" si="0"/>
        <v>42902</v>
      </c>
      <c r="U6" s="28">
        <f t="shared" si="0"/>
        <v>42903</v>
      </c>
      <c r="V6" s="28">
        <f t="shared" si="0"/>
        <v>42904</v>
      </c>
      <c r="W6" s="28">
        <f t="shared" si="0"/>
        <v>42905</v>
      </c>
      <c r="X6" s="28">
        <f t="shared" si="0"/>
        <v>42906</v>
      </c>
      <c r="Y6" s="28">
        <f t="shared" si="0"/>
        <v>42907</v>
      </c>
      <c r="Z6" s="28">
        <f t="shared" si="0"/>
        <v>42908</v>
      </c>
      <c r="AA6" s="28">
        <f t="shared" si="0"/>
        <v>42909</v>
      </c>
      <c r="AB6" s="28">
        <f t="shared" si="0"/>
        <v>42910</v>
      </c>
      <c r="AC6" s="28">
        <f t="shared" si="0"/>
        <v>42911</v>
      </c>
      <c r="AD6" s="28">
        <f t="shared" si="0"/>
        <v>42912</v>
      </c>
      <c r="AE6" s="28">
        <f t="shared" si="0"/>
        <v>42913</v>
      </c>
      <c r="AF6" s="28">
        <f t="shared" si="0"/>
        <v>42914</v>
      </c>
      <c r="AG6" s="28">
        <f t="shared" si="0"/>
        <v>42915</v>
      </c>
      <c r="AH6" s="28">
        <f t="shared" si="0"/>
        <v>42916</v>
      </c>
    </row>
    <row r="7" spans="1:34" ht="18.75">
      <c r="A7" s="6">
        <v>1</v>
      </c>
      <c r="B7" s="7" t="s">
        <v>11</v>
      </c>
      <c r="C7" s="8" t="s">
        <v>12</v>
      </c>
      <c r="D7" s="13">
        <f>SUM(E7:AH7)</f>
        <v>902</v>
      </c>
      <c r="E7" s="32">
        <f>SUMIFS('1.6'!$T7:$T24,'1.6'!$B7:$B24,'TỔNG XUẤT'!$B7)</f>
        <v>12</v>
      </c>
      <c r="F7" s="32">
        <f>SUMIFS('2.6'!$T7:$T24,'2.6'!$B7:$B24,'TỔNG XUẤT'!$B7)</f>
        <v>50</v>
      </c>
      <c r="G7" s="32">
        <f>SUMIFS('3.6'!$T7:$T24,'3.6'!$B7:$B24,'TỔNG XUẤT'!$B7)</f>
        <v>30</v>
      </c>
      <c r="H7" s="32">
        <f>SUMIFS('4.6'!$T7:$T24,'4.6'!$B7:$B24,'TỔNG XUẤT'!$B7)</f>
        <v>2</v>
      </c>
      <c r="I7" s="32">
        <f>SUMIFS('5.6'!$T7:$T24,'5.6'!$B7:$B24,'TỔNG XUẤT'!$B7)</f>
        <v>12</v>
      </c>
      <c r="J7" s="32">
        <f>SUMIFS('6.6'!$T7:$T24,'6.6'!$B7:$B24,'TỔNG XUẤT'!$B7)</f>
        <v>82</v>
      </c>
      <c r="K7" s="32">
        <f>SUMIFS('7.6'!$T7:$T24,'7.6'!$B7:$B24,'TỔNG XUẤT'!$B7)</f>
        <v>48</v>
      </c>
      <c r="L7" s="32">
        <f>SUMIFS('8.6'!$T7:$T24,'8.6'!$B7:$B24,'TỔNG XUẤT'!$B7)</f>
        <v>8</v>
      </c>
      <c r="M7" s="32">
        <f>SUMIFS('9.6'!$T7:$T24,'9.6'!$B7:$B24,'TỔNG XUẤT'!$B7)</f>
        <v>66</v>
      </c>
      <c r="N7" s="32">
        <f>SUMIFS('10.6'!$T7:$T24,'10.6'!$B7:$B24,'TỔNG XUẤT'!$B7)</f>
        <v>0</v>
      </c>
      <c r="O7" s="32">
        <f>SUMIFS('11.6'!$T7:$T24,'11.6'!$B7:$B24,'TỔNG XUẤT'!$B7)</f>
        <v>4</v>
      </c>
      <c r="P7" s="32">
        <f>SUMIFS('12.6'!$U7:$U24,'12.6'!$B7:$B24,'TỔNG XUẤT'!$B7)</f>
        <v>14</v>
      </c>
      <c r="Q7" s="32">
        <f>SUMIFS('13.6'!$U7:$U24,'13.6'!$B7:$B24,'TỔNG XUẤT'!$B7)</f>
        <v>62</v>
      </c>
      <c r="R7" s="32">
        <f>SUMIFS('14.6'!$U7:$U24,'14.6'!$B7:$B24,'TỔNG XUẤT'!$B7)</f>
        <v>70</v>
      </c>
      <c r="S7" s="32">
        <f>SUMIFS('15.6'!$U7:$U24,'15.6'!$B7:$B24,'TỔNG XUẤT'!$B7)</f>
        <v>38</v>
      </c>
      <c r="T7" s="32">
        <f>SUMIFS('16.6'!$U7:$U24,'16.6'!$B7:$B24,'TỔNG XUẤT'!$B7)</f>
        <v>40</v>
      </c>
      <c r="U7" s="32">
        <f>SUMIFS('17.6'!$U7:$U24,'17.6'!$B7:$B24,'TỔNG XUẤT'!$B7)</f>
        <v>0</v>
      </c>
      <c r="V7" s="32">
        <f>SUMIFS('18.6'!$U7:$U24,'18.6'!$B7:$B24,'TỔNG XUẤT'!$B7)</f>
        <v>0</v>
      </c>
      <c r="W7" s="32">
        <f>SUMIFS('19.6'!$U7:$U24,'19.6'!$B7:$B24,'TỔNG XUẤT'!$B7)</f>
        <v>16</v>
      </c>
      <c r="X7" s="32">
        <f>SUMIFS('20.6'!$U7:$U24,'20.6'!$B7:$B24,'TỔNG XUẤT'!$B7)</f>
        <v>60</v>
      </c>
      <c r="Y7" s="32">
        <f>SUMIFS('21.6'!$U7:$U24,'21.6'!$B7:$B24,'TỔNG XUẤT'!$B7)</f>
        <v>48</v>
      </c>
      <c r="Z7" s="32">
        <f>SUMIFS('22.6'!$U7:$U24,'22.6'!$B7:$B24,'TỔNG XUẤT'!$B7)</f>
        <v>10</v>
      </c>
      <c r="AA7" s="32">
        <f>SUMIFS('23.6'!$U7:$U24,'23.6'!$B7:$B24,'TỔNG XUẤT'!$B7)</f>
        <v>50</v>
      </c>
      <c r="AB7" s="32">
        <f>SUMIFS('24.6'!$U7:$U24,'24.6'!$B7:$B24,'TỔNG XUẤT'!$B7)</f>
        <v>2</v>
      </c>
      <c r="AC7" s="32">
        <f>SUMIFS('25.6'!$U7:$U24,'25.6'!$B7:$B24,'TỔNG XUẤT'!$B7)</f>
        <v>10</v>
      </c>
      <c r="AD7" s="32">
        <f>SUMIFS('26.6'!$U7:$U24,'26.6'!$B7:$B24,'TỔNG XUẤT'!$B7)</f>
        <v>28</v>
      </c>
      <c r="AE7" s="32">
        <f>SUMIFS('27.6'!$U7:$U24,'27.6'!$B7:$B24,'TỔNG XUẤT'!$B7)</f>
        <v>24</v>
      </c>
      <c r="AF7" s="32">
        <f>SUMIFS('28.6'!$U7:$U24,'28.6'!$B7:$B24,'TỔNG XUẤT'!$B7)</f>
        <v>56</v>
      </c>
      <c r="AG7" s="32">
        <f>SUMIFS('29.6'!$U7:$U24,'29.6'!$B7:$B24,'TỔNG XUẤT'!$B7)</f>
        <v>52</v>
      </c>
      <c r="AH7" s="32">
        <f>SUMIFS('30.6'!$U7:$U24,'30.6'!$B7:$B24,'TỔNG XUẤT'!$B7)</f>
        <v>8</v>
      </c>
    </row>
    <row r="8" spans="1:34" ht="18.75">
      <c r="A8" s="6">
        <v>2</v>
      </c>
      <c r="B8" s="7" t="s">
        <v>13</v>
      </c>
      <c r="C8" s="8" t="s">
        <v>12</v>
      </c>
      <c r="D8" s="13">
        <f t="shared" ref="D8:D26" si="1">SUM(E8:AH8)</f>
        <v>37.25</v>
      </c>
      <c r="E8" s="32">
        <f>SUMIFS('1.6'!$T8:$T25,'1.6'!$B8:$B25,'TỔNG XUẤT'!$B8)</f>
        <v>0</v>
      </c>
      <c r="F8" s="32">
        <f>SUMIFS('2.6'!$T8:$T25,'2.6'!$B8:$B25,'TỔNG XUẤT'!$B8)</f>
        <v>0</v>
      </c>
      <c r="G8" s="32">
        <f>SUMIFS('3.6'!$T8:$T25,'3.6'!$B8:$B25,'TỔNG XUẤT'!$B8)</f>
        <v>1.8</v>
      </c>
      <c r="H8" s="32">
        <f>SUMIFS('4.6'!$T8:$T25,'4.6'!$B8:$B25,'TỔNG XUẤT'!$B8)</f>
        <v>0</v>
      </c>
      <c r="I8" s="32">
        <f>SUMIFS('5.6'!$T8:$T25,'5.6'!$B8:$B25,'TỔNG XUẤT'!$B8)</f>
        <v>0</v>
      </c>
      <c r="J8" s="32">
        <f>SUMIFS('6.6'!$T8:$T25,'6.6'!$B8:$B25,'TỔNG XUẤT'!$B8)</f>
        <v>2</v>
      </c>
      <c r="K8" s="32">
        <f>SUMIFS('7.6'!$T8:$T25,'7.6'!$B8:$B25,'TỔNG XUẤT'!$B8)</f>
        <v>4.5</v>
      </c>
      <c r="L8" s="32">
        <f>SUMIFS('8.6'!$T8:$T25,'8.6'!$B8:$B25,'TỔNG XUẤT'!$B8)</f>
        <v>2</v>
      </c>
      <c r="M8" s="32">
        <f>SUMIFS('9.6'!$T8:$T25,'9.6'!$B8:$B25,'TỔNG XUẤT'!$B8)</f>
        <v>0</v>
      </c>
      <c r="N8" s="32">
        <f>SUMIFS('10.6'!$T8:$T25,'10.6'!$B8:$B25,'TỔNG XUẤT'!$B8)</f>
        <v>2</v>
      </c>
      <c r="O8" s="32">
        <f>SUMIFS('11.6'!$T8:$T25,'11.6'!$B8:$B25,'TỔNG XUẤT'!$B8)</f>
        <v>0</v>
      </c>
      <c r="P8" s="32">
        <f>SUMIFS('12.6'!$U8:$U25,'12.6'!$B8:$B25,'TỔNG XUẤT'!$B8)</f>
        <v>0</v>
      </c>
      <c r="Q8" s="32">
        <f>SUMIFS('13.6'!$U8:$U25,'13.6'!$B8:$B25,'TỔNG XUẤT'!$B8)</f>
        <v>0</v>
      </c>
      <c r="R8" s="32">
        <f>SUMIFS('14.6'!$U8:$U25,'14.6'!$B8:$B25,'TỔNG XUẤT'!$B8)</f>
        <v>2</v>
      </c>
      <c r="S8" s="32">
        <f>SUMIFS('15.6'!$U8:$U25,'15.6'!$B8:$B25,'TỔNG XUẤT'!$B8)</f>
        <v>1.1499999999999999</v>
      </c>
      <c r="T8" s="32">
        <f>SUMIFS('16.6'!$U8:$U25,'16.6'!$B8:$B25,'TỔNG XUẤT'!$B8)</f>
        <v>2</v>
      </c>
      <c r="U8" s="32">
        <f>SUMIFS('17.6'!$U8:$U25,'17.6'!$B8:$B25,'TỔNG XUẤT'!$B8)</f>
        <v>0</v>
      </c>
      <c r="V8" s="32">
        <f>SUMIFS('18.6'!$U8:$U25,'18.6'!$B8:$B25,'TỔNG XUẤT'!$B8)</f>
        <v>0</v>
      </c>
      <c r="W8" s="32">
        <f>SUMIFS('19.6'!$U8:$U25,'19.6'!$B8:$B25,'TỔNG XUẤT'!$B8)</f>
        <v>0</v>
      </c>
      <c r="X8" s="32">
        <f>SUMIFS('20.6'!$U8:$U25,'20.6'!$B8:$B25,'TỔNG XUẤT'!$B8)</f>
        <v>2.8</v>
      </c>
      <c r="Y8" s="32">
        <f>SUMIFS('21.6'!$U8:$U25,'21.6'!$B8:$B25,'TỔNG XUẤT'!$B8)</f>
        <v>3.5</v>
      </c>
      <c r="Z8" s="32">
        <f>SUMIFS('22.6'!$U8:$U25,'22.6'!$B8:$B25,'TỔNG XUẤT'!$B8)</f>
        <v>1</v>
      </c>
      <c r="AA8" s="32">
        <f>SUMIFS('23.6'!$U8:$U25,'23.6'!$B8:$B25,'TỔNG XUẤT'!$B8)</f>
        <v>0</v>
      </c>
      <c r="AB8" s="32">
        <f>SUMIFS('24.6'!$U8:$U25,'24.6'!$B8:$B25,'TỔNG XUẤT'!$B8)</f>
        <v>4</v>
      </c>
      <c r="AC8" s="32">
        <f>SUMIFS('25.6'!$U8:$U25,'25.6'!$B8:$B25,'TỔNG XUẤT'!$B8)</f>
        <v>0</v>
      </c>
      <c r="AD8" s="32">
        <f>SUMIFS('26.6'!$U8:$U25,'26.6'!$B8:$B25,'TỔNG XUẤT'!$B8)</f>
        <v>0</v>
      </c>
      <c r="AE8" s="32">
        <f>SUMIFS('27.6'!$U8:$U25,'27.6'!$B8:$B25,'TỔNG XUẤT'!$B8)</f>
        <v>2</v>
      </c>
      <c r="AF8" s="32">
        <f>SUMIFS('28.6'!$U8:$U25,'28.6'!$B8:$B25,'TỔNG XUẤT'!$B8)</f>
        <v>3.5</v>
      </c>
      <c r="AG8" s="32">
        <f>SUMIFS('29.6'!$U8:$U25,'29.6'!$B8:$B25,'TỔNG XUẤT'!$B8)</f>
        <v>3</v>
      </c>
      <c r="AH8" s="32">
        <f>SUMIFS('30.6'!$U8:$U25,'30.6'!$B8:$B25,'TỔNG XUẤT'!$B8)</f>
        <v>0</v>
      </c>
    </row>
    <row r="9" spans="1:34" ht="18.75">
      <c r="A9" s="6">
        <v>3</v>
      </c>
      <c r="B9" s="7" t="s">
        <v>14</v>
      </c>
      <c r="C9" s="8" t="s">
        <v>12</v>
      </c>
      <c r="D9" s="13">
        <f t="shared" si="1"/>
        <v>204.4</v>
      </c>
      <c r="E9" s="32">
        <f>SUMIFS('1.6'!$T9:$T26,'1.6'!$B9:$B26,'TỔNG XUẤT'!$B9)</f>
        <v>5</v>
      </c>
      <c r="F9" s="32">
        <f>SUMIFS('2.6'!$T9:$T26,'2.6'!$B9:$B26,'TỔNG XUẤT'!$B9)</f>
        <v>8</v>
      </c>
      <c r="G9" s="32">
        <f>SUMIFS('3.6'!$T9:$T26,'3.6'!$B9:$B26,'TỔNG XUẤT'!$B9)</f>
        <v>7</v>
      </c>
      <c r="H9" s="32">
        <f>SUMIFS('4.6'!$T9:$T26,'4.6'!$B9:$B26,'TỔNG XUẤT'!$B9)</f>
        <v>0</v>
      </c>
      <c r="I9" s="32">
        <f>SUMIFS('5.6'!$T9:$T26,'5.6'!$B9:$B26,'TỔNG XUẤT'!$B9)</f>
        <v>4</v>
      </c>
      <c r="J9" s="32">
        <f>SUMIFS('6.6'!$T9:$T26,'6.6'!$B9:$B26,'TỔNG XUẤT'!$B9)</f>
        <v>12.1</v>
      </c>
      <c r="K9" s="32">
        <f>SUMIFS('7.6'!$T9:$T26,'7.6'!$B9:$B26,'TỔNG XUẤT'!$B9)</f>
        <v>6.9</v>
      </c>
      <c r="L9" s="32">
        <f>SUMIFS('8.6'!$T9:$T26,'8.6'!$B9:$B26,'TỔNG XUẤT'!$B9)</f>
        <v>5</v>
      </c>
      <c r="M9" s="32">
        <f>SUMIFS('9.6'!$T9:$T26,'9.6'!$B9:$B26,'TỔNG XUẤT'!$B9)</f>
        <v>8</v>
      </c>
      <c r="N9" s="32">
        <f>SUMIFS('10.6'!$T9:$T26,'10.6'!$B9:$B26,'TỔNG XUẤT'!$B9)</f>
        <v>7</v>
      </c>
      <c r="O9" s="32">
        <f>SUMIFS('11.6'!$T9:$T26,'11.6'!$B9:$B26,'TỔNG XUẤT'!$B9)</f>
        <v>0</v>
      </c>
      <c r="P9" s="32">
        <f>SUMIFS('12.6'!$U9:$U26,'12.6'!$B9:$B26,'TỔNG XUẤT'!$B9)</f>
        <v>5</v>
      </c>
      <c r="Q9" s="32">
        <f>SUMIFS('13.6'!$U9:$U26,'13.6'!$B9:$B26,'TỔNG XUẤT'!$B9)</f>
        <v>9.5</v>
      </c>
      <c r="R9" s="32">
        <f>SUMIFS('14.6'!$U9:$U26,'14.6'!$B9:$B26,'TỔNG XUẤT'!$B9)</f>
        <v>9.65</v>
      </c>
      <c r="S9" s="32">
        <f>SUMIFS('15.6'!$U9:$U26,'15.6'!$B9:$B26,'TỔNG XUẤT'!$B9)</f>
        <v>5</v>
      </c>
      <c r="T9" s="32">
        <f>SUMIFS('16.6'!$U9:$U26,'16.6'!$B9:$B26,'TỔNG XUẤT'!$B9)</f>
        <v>9</v>
      </c>
      <c r="U9" s="32">
        <f>SUMIFS('17.6'!$U9:$U26,'17.6'!$B9:$B26,'TỔNG XUẤT'!$B9)</f>
        <v>4</v>
      </c>
      <c r="V9" s="32">
        <f>SUMIFS('18.6'!$U9:$U26,'18.6'!$B9:$B26,'TỔNG XUẤT'!$B9)</f>
        <v>0</v>
      </c>
      <c r="W9" s="32">
        <f>SUMIFS('19.6'!$U9:$U26,'19.6'!$B9:$B26,'TỔNG XUẤT'!$B9)</f>
        <v>9.85</v>
      </c>
      <c r="X9" s="32">
        <f>SUMIFS('20.6'!$U9:$U26,'20.6'!$B9:$B26,'TỔNG XUẤT'!$B9)</f>
        <v>12</v>
      </c>
      <c r="Y9" s="32">
        <f>SUMIFS('21.6'!$U9:$U26,'21.6'!$B9:$B26,'TỔNG XUẤT'!$B9)</f>
        <v>8</v>
      </c>
      <c r="Z9" s="32">
        <f>SUMIFS('22.6'!$U9:$U26,'22.6'!$B9:$B26,'TỔNG XUẤT'!$B9)</f>
        <v>8</v>
      </c>
      <c r="AA9" s="32">
        <f>SUMIFS('23.6'!$U9:$U26,'23.6'!$B9:$B26,'TỔNG XUẤT'!$B9)</f>
        <v>8</v>
      </c>
      <c r="AB9" s="32">
        <f>SUMIFS('24.6'!$U9:$U26,'24.6'!$B9:$B26,'TỔNG XUẤT'!$B9)</f>
        <v>3</v>
      </c>
      <c r="AC9" s="32">
        <f>SUMIFS('25.6'!$U9:$U26,'25.6'!$B9:$B26,'TỔNG XUẤT'!$B9)</f>
        <v>0</v>
      </c>
      <c r="AD9" s="32">
        <f>SUMIFS('26.6'!$U9:$U26,'26.6'!$B9:$B26,'TỔNG XUẤT'!$B9)</f>
        <v>17</v>
      </c>
      <c r="AE9" s="32">
        <f>SUMIFS('27.6'!$U9:$U26,'27.6'!$B9:$B26,'TỔNG XUẤT'!$B9)</f>
        <v>4.5</v>
      </c>
      <c r="AF9" s="32">
        <f>SUMIFS('28.6'!$U9:$U26,'28.6'!$B9:$B26,'TỔNG XUẤT'!$B9)</f>
        <v>12.9</v>
      </c>
      <c r="AG9" s="32">
        <f>SUMIFS('29.6'!$U9:$U26,'29.6'!$B9:$B26,'TỔNG XUẤT'!$B9)</f>
        <v>10</v>
      </c>
      <c r="AH9" s="32">
        <f>SUMIFS('30.6'!$U9:$U26,'30.6'!$B9:$B26,'TỔNG XUẤT'!$B9)</f>
        <v>6</v>
      </c>
    </row>
    <row r="10" spans="1:34" ht="18.75">
      <c r="A10" s="6">
        <v>4</v>
      </c>
      <c r="B10" s="7" t="s">
        <v>15</v>
      </c>
      <c r="C10" s="8" t="s">
        <v>12</v>
      </c>
      <c r="D10" s="13">
        <f t="shared" si="1"/>
        <v>0</v>
      </c>
      <c r="E10" s="32">
        <f>SUMIFS('1.6'!$T10:$T27,'1.6'!$B10:$B27,'TỔNG XUẤT'!$B10)</f>
        <v>0</v>
      </c>
      <c r="F10" s="32">
        <f>SUMIFS('2.6'!$T10:$T27,'2.6'!$B10:$B27,'TỔNG XUẤT'!$B10)</f>
        <v>0</v>
      </c>
      <c r="G10" s="32">
        <f>SUMIFS('3.6'!$T10:$T27,'3.6'!$B10:$B27,'TỔNG XUẤT'!$B10)</f>
        <v>0</v>
      </c>
      <c r="H10" s="32">
        <f>SUMIFS('4.6'!$T10:$T27,'4.6'!$B10:$B27,'TỔNG XUẤT'!$B10)</f>
        <v>0</v>
      </c>
      <c r="I10" s="32">
        <f>SUMIFS('5.6'!$T10:$T27,'5.6'!$B10:$B27,'TỔNG XUẤT'!$B10)</f>
        <v>0</v>
      </c>
      <c r="J10" s="32">
        <f>SUMIFS('6.6'!$T10:$T27,'6.6'!$B10:$B27,'TỔNG XUẤT'!$B10)</f>
        <v>0</v>
      </c>
      <c r="K10" s="32">
        <f>SUMIFS('7.6'!$T10:$T27,'7.6'!$B10:$B27,'TỔNG XUẤT'!$B10)</f>
        <v>0</v>
      </c>
      <c r="L10" s="32">
        <f>SUMIFS('8.6'!$T10:$T27,'8.6'!$B10:$B27,'TỔNG XUẤT'!$B10)</f>
        <v>0</v>
      </c>
      <c r="M10" s="32">
        <f>SUMIFS('9.6'!$T10:$T27,'9.6'!$B10:$B27,'TỔNG XUẤT'!$B10)</f>
        <v>0</v>
      </c>
      <c r="N10" s="32">
        <f>SUMIFS('10.6'!$T10:$T27,'10.6'!$B10:$B27,'TỔNG XUẤT'!$B10)</f>
        <v>0</v>
      </c>
      <c r="O10" s="32">
        <f>SUMIFS('11.6'!$T10:$T27,'11.6'!$B10:$B27,'TỔNG XUẤT'!$B10)</f>
        <v>0</v>
      </c>
      <c r="P10" s="32">
        <f>SUMIFS('12.6'!$U10:$U27,'12.6'!$B10:$B27,'TỔNG XUẤT'!$B10)</f>
        <v>0</v>
      </c>
      <c r="Q10" s="32">
        <f>SUMIFS('13.6'!$U10:$U27,'13.6'!$B10:$B27,'TỔNG XUẤT'!$B10)</f>
        <v>0</v>
      </c>
      <c r="R10" s="32">
        <f>SUMIFS('14.6'!$U10:$U27,'14.6'!$B10:$B27,'TỔNG XUẤT'!$B10)</f>
        <v>0</v>
      </c>
      <c r="S10" s="32">
        <f>SUMIFS('15.6'!$U10:$U27,'15.6'!$B10:$B27,'TỔNG XUẤT'!$B10)</f>
        <v>0</v>
      </c>
      <c r="T10" s="32">
        <f>SUMIFS('16.6'!$U10:$U27,'16.6'!$B10:$B27,'TỔNG XUẤT'!$B10)</f>
        <v>0</v>
      </c>
      <c r="U10" s="32">
        <f>SUMIFS('17.6'!$U10:$U27,'17.6'!$B10:$B27,'TỔNG XUẤT'!$B10)</f>
        <v>0</v>
      </c>
      <c r="V10" s="32">
        <f>SUMIFS('18.6'!$U10:$U27,'18.6'!$B10:$B27,'TỔNG XUẤT'!$B10)</f>
        <v>0</v>
      </c>
      <c r="W10" s="32">
        <f>SUMIFS('19.6'!$U10:$U27,'19.6'!$B10:$B27,'TỔNG XUẤT'!$B10)</f>
        <v>0</v>
      </c>
      <c r="X10" s="32">
        <f>SUMIFS('20.6'!$U10:$U27,'20.6'!$B10:$B27,'TỔNG XUẤT'!$B10)</f>
        <v>0</v>
      </c>
      <c r="Y10" s="32">
        <f>SUMIFS('21.6'!$U10:$U27,'21.6'!$B10:$B27,'TỔNG XUẤT'!$B10)</f>
        <v>0</v>
      </c>
      <c r="Z10" s="32">
        <f>SUMIFS('22.6'!$U10:$U27,'22.6'!$B10:$B27,'TỔNG XUẤT'!$B10)</f>
        <v>0</v>
      </c>
      <c r="AA10" s="32">
        <f>SUMIFS('23.6'!$U10:$U27,'23.6'!$B10:$B27,'TỔNG XUẤT'!$B10)</f>
        <v>0</v>
      </c>
      <c r="AB10" s="32">
        <f>SUMIFS('24.6'!$U10:$U27,'24.6'!$B10:$B27,'TỔNG XUẤT'!$B10)</f>
        <v>0</v>
      </c>
      <c r="AC10" s="32">
        <f>SUMIFS('25.6'!$U10:$U27,'25.6'!$B10:$B27,'TỔNG XUẤT'!$B10)</f>
        <v>0</v>
      </c>
      <c r="AD10" s="32">
        <f>SUMIFS('26.6'!$U10:$U27,'26.6'!$B10:$B27,'TỔNG XUẤT'!$B10)</f>
        <v>0</v>
      </c>
      <c r="AE10" s="32">
        <f>SUMIFS('27.6'!$U10:$U27,'27.6'!$B10:$B27,'TỔNG XUẤT'!$B10)</f>
        <v>0</v>
      </c>
      <c r="AF10" s="32">
        <f>SUMIFS('28.6'!$U10:$U27,'28.6'!$B10:$B27,'TỔNG XUẤT'!$B10)</f>
        <v>0</v>
      </c>
      <c r="AG10" s="32">
        <f>SUMIFS('29.6'!$U10:$U27,'29.6'!$B10:$B27,'TỔNG XUẤT'!$B10)</f>
        <v>0</v>
      </c>
      <c r="AH10" s="32">
        <f>SUMIFS('30.6'!$U10:$U27,'30.6'!$B10:$B27,'TỔNG XUẤT'!$B10)</f>
        <v>0</v>
      </c>
    </row>
    <row r="11" spans="1:34" ht="18.75">
      <c r="A11" s="6">
        <v>5</v>
      </c>
      <c r="B11" s="7" t="s">
        <v>16</v>
      </c>
      <c r="C11" s="8" t="s">
        <v>12</v>
      </c>
      <c r="D11" s="13">
        <f t="shared" si="1"/>
        <v>312.25</v>
      </c>
      <c r="E11" s="32">
        <f>SUMIFS('1.6'!$T11:$T28,'1.6'!$B11:$B28,'TỔNG XUẤT'!$B11)</f>
        <v>4</v>
      </c>
      <c r="F11" s="32">
        <f>SUMIFS('2.6'!$T11:$T28,'2.6'!$B11:$B28,'TỔNG XUẤT'!$B11)</f>
        <v>17</v>
      </c>
      <c r="G11" s="32">
        <f>SUMIFS('3.6'!$T11:$T28,'3.6'!$B11:$B28,'TỔNG XUẤT'!$B11)</f>
        <v>14.7</v>
      </c>
      <c r="H11" s="32">
        <f>SUMIFS('4.6'!$T11:$T28,'4.6'!$B11:$B28,'TỔNG XUẤT'!$B11)</f>
        <v>0</v>
      </c>
      <c r="I11" s="32">
        <f>SUMIFS('5.6'!$T11:$T28,'5.6'!$B11:$B28,'TỔNG XUẤT'!$B11)</f>
        <v>3</v>
      </c>
      <c r="J11" s="32">
        <f>SUMIFS('6.6'!$T11:$T28,'6.6'!$B11:$B28,'TỔNG XUẤT'!$B11)</f>
        <v>16</v>
      </c>
      <c r="K11" s="32">
        <f>SUMIFS('7.6'!$T11:$T28,'7.6'!$B11:$B28,'TỔNG XUẤT'!$B11)</f>
        <v>13.7</v>
      </c>
      <c r="L11" s="32">
        <f>SUMIFS('8.6'!$T11:$T28,'8.6'!$B11:$B28,'TỔNG XUẤT'!$B11)</f>
        <v>6</v>
      </c>
      <c r="M11" s="32">
        <f>SUMIFS('9.6'!$T11:$T28,'9.6'!$B11:$B28,'TỔNG XUẤT'!$B11)</f>
        <v>17</v>
      </c>
      <c r="N11" s="32">
        <f>SUMIFS('10.6'!$T11:$T28,'10.6'!$B11:$B28,'TỔNG XUẤT'!$B11)</f>
        <v>10</v>
      </c>
      <c r="O11" s="32">
        <f>SUMIFS('11.6'!$T11:$T28,'11.6'!$B11:$B28,'TỔNG XUẤT'!$B11)</f>
        <v>0</v>
      </c>
      <c r="P11" s="32">
        <f>SUMIFS('12.6'!$U11:$U28,'12.6'!$B11:$B28,'TỔNG XUẤT'!$B11)</f>
        <v>3</v>
      </c>
      <c r="Q11" s="32">
        <f>SUMIFS('13.6'!$U11:$U28,'13.6'!$B11:$B28,'TỔNG XUẤT'!$B11)</f>
        <v>10</v>
      </c>
      <c r="R11" s="32">
        <f>SUMIFS('14.6'!$U11:$U28,'14.6'!$B11:$B28,'TỔNG XUẤT'!$B11)</f>
        <v>8.5</v>
      </c>
      <c r="S11" s="32">
        <f>SUMIFS('15.6'!$U11:$U28,'15.6'!$B11:$B28,'TỔNG XUẤT'!$B11)</f>
        <v>7</v>
      </c>
      <c r="T11" s="32">
        <f>SUMIFS('16.6'!$U11:$U28,'16.6'!$B11:$B28,'TỔNG XUẤT'!$B11)</f>
        <v>7.75</v>
      </c>
      <c r="U11" s="32">
        <f>SUMIFS('17.6'!$U11:$U28,'17.6'!$B11:$B28,'TỔNG XUẤT'!$B11)</f>
        <v>5</v>
      </c>
      <c r="V11" s="32">
        <f>SUMIFS('18.6'!$U11:$U28,'18.6'!$B11:$B28,'TỔNG XUẤT'!$B11)</f>
        <v>0</v>
      </c>
      <c r="W11" s="32">
        <f>SUMIFS('19.6'!$U11:$U28,'19.6'!$B11:$B28,'TỔNG XUẤT'!$B11)</f>
        <v>2.5</v>
      </c>
      <c r="X11" s="32">
        <f>SUMIFS('20.6'!$U11:$U28,'20.6'!$B11:$B28,'TỔNG XUẤT'!$B11)</f>
        <v>15</v>
      </c>
      <c r="Y11" s="32">
        <f>SUMIFS('21.6'!$U11:$U28,'21.6'!$B11:$B28,'TỔNG XUẤT'!$B11)</f>
        <v>16</v>
      </c>
      <c r="Z11" s="32">
        <f>SUMIFS('22.6'!$U11:$U28,'22.6'!$B11:$B28,'TỔNG XUẤT'!$B11)</f>
        <v>10</v>
      </c>
      <c r="AA11" s="32">
        <f>SUMIFS('23.6'!$U11:$U28,'23.6'!$B11:$B28,'TỔNG XUẤT'!$B11)</f>
        <v>7.75</v>
      </c>
      <c r="AB11" s="32">
        <f>SUMIFS('24.6'!$U11:$U28,'24.6'!$B11:$B28,'TỔNG XUẤT'!$B11)</f>
        <v>5</v>
      </c>
      <c r="AC11" s="32">
        <f>SUMIFS('25.6'!$U11:$U28,'25.6'!$B11:$B28,'TỔNG XUẤT'!$B11)</f>
        <v>0</v>
      </c>
      <c r="AD11" s="32">
        <f>SUMIFS('26.6'!$U11:$U28,'26.6'!$B11:$B28,'TỔNG XUẤT'!$B11)</f>
        <v>14.5</v>
      </c>
      <c r="AE11" s="32">
        <f>SUMIFS('27.6'!$U11:$U28,'27.6'!$B11:$B28,'TỔNG XUẤT'!$B11)</f>
        <v>13</v>
      </c>
      <c r="AF11" s="32">
        <f>SUMIFS('28.6'!$U11:$U28,'28.6'!$B11:$B28,'TỔNG XUẤT'!$B11)</f>
        <v>24.5</v>
      </c>
      <c r="AG11" s="32">
        <f>SUMIFS('29.6'!$U11:$U28,'29.6'!$B11:$B28,'TỔNG XUẤT'!$B11)</f>
        <v>33</v>
      </c>
      <c r="AH11" s="32">
        <f>SUMIFS('30.6'!$U11:$U28,'30.6'!$B11:$B28,'TỔNG XUẤT'!$B11)</f>
        <v>28.35</v>
      </c>
    </row>
    <row r="12" spans="1:34" ht="18.75">
      <c r="A12" s="6">
        <v>6</v>
      </c>
      <c r="B12" s="7" t="s">
        <v>67</v>
      </c>
      <c r="C12" s="8" t="s">
        <v>12</v>
      </c>
      <c r="D12" s="13">
        <f t="shared" si="1"/>
        <v>29</v>
      </c>
      <c r="E12" s="32">
        <f>SUMIFS('1.6'!$T12:$T29,'1.6'!$B12:$B29,'TỔNG XUẤT'!$B12)</f>
        <v>2</v>
      </c>
      <c r="F12" s="32">
        <f>SUMIFS('2.6'!$T12:$T29,'2.6'!$B12:$B29,'TỔNG XUẤT'!$B12)</f>
        <v>0</v>
      </c>
      <c r="G12" s="32">
        <f>SUMIFS('3.6'!$T12:$T29,'3.6'!$B12:$B29,'TỔNG XUẤT'!$B12)</f>
        <v>0</v>
      </c>
      <c r="H12" s="32">
        <f>SUMIFS('4.6'!$T12:$T29,'4.6'!$B12:$B29,'TỔNG XUẤT'!$B12)</f>
        <v>0</v>
      </c>
      <c r="I12" s="32">
        <f>SUMIFS('5.6'!$T12:$T29,'5.6'!$B12:$B29,'TỔNG XUẤT'!$B12)</f>
        <v>1.5</v>
      </c>
      <c r="J12" s="32">
        <f>SUMIFS('6.6'!$T12:$T29,'6.6'!$B12:$B29,'TỔNG XUẤT'!$B12)</f>
        <v>1</v>
      </c>
      <c r="K12" s="32">
        <f>SUMIFS('7.6'!$T12:$T29,'7.6'!$B12:$B29,'TỔNG XUẤT'!$B12)</f>
        <v>3</v>
      </c>
      <c r="L12" s="32">
        <f>SUMIFS('8.6'!$T12:$T29,'8.6'!$B12:$B29,'TỔNG XUẤT'!$B12)</f>
        <v>1</v>
      </c>
      <c r="M12" s="32">
        <f>SUMIFS('9.6'!$T12:$T29,'9.6'!$B12:$B29,'TỔNG XUẤT'!$B12)</f>
        <v>0</v>
      </c>
      <c r="N12" s="32">
        <f>SUMIFS('10.6'!$T12:$T29,'10.6'!$B12:$B29,'TỔNG XUẤT'!$B12)</f>
        <v>0</v>
      </c>
      <c r="O12" s="32">
        <f>SUMIFS('11.6'!$T12:$T29,'11.6'!$B12:$B29,'TỔNG XUẤT'!$B12)</f>
        <v>0</v>
      </c>
      <c r="P12" s="32">
        <f>SUMIFS('12.6'!$U12:$U29,'12.6'!$B12:$B29,'TỔNG XUẤT'!$B12)</f>
        <v>1.5</v>
      </c>
      <c r="Q12" s="32">
        <f>SUMIFS('13.6'!$U12:$U29,'13.6'!$B12:$B29,'TỔNG XUẤT'!$B12)</f>
        <v>1</v>
      </c>
      <c r="R12" s="32">
        <f>SUMIFS('14.6'!$U12:$U29,'14.6'!$B12:$B29,'TỔNG XUẤT'!$B12)</f>
        <v>5.5</v>
      </c>
      <c r="S12" s="32">
        <f>SUMIFS('15.6'!$U12:$U29,'15.6'!$B12:$B29,'TỔNG XUẤT'!$B12)</f>
        <v>1</v>
      </c>
      <c r="T12" s="32">
        <f>SUMIFS('16.6'!$U12:$U29,'16.6'!$B12:$B29,'TỔNG XUẤT'!$B12)</f>
        <v>0</v>
      </c>
      <c r="U12" s="32">
        <f>SUMIFS('17.6'!$U12:$U29,'17.6'!$B12:$B29,'TỔNG XUẤT'!$B12)</f>
        <v>0</v>
      </c>
      <c r="V12" s="32">
        <f>SUMIFS('18.6'!$U12:$U29,'18.6'!$B12:$B29,'TỔNG XUẤT'!$B12)</f>
        <v>0</v>
      </c>
      <c r="W12" s="32">
        <f>SUMIFS('19.6'!$U12:$U29,'19.6'!$B12:$B29,'TỔNG XUẤT'!$B12)</f>
        <v>0</v>
      </c>
      <c r="X12" s="32">
        <f>SUMIFS('20.6'!$U12:$U29,'20.6'!$B12:$B29,'TỔNG XUẤT'!$B12)</f>
        <v>2</v>
      </c>
      <c r="Y12" s="32">
        <f>SUMIFS('21.6'!$U12:$U29,'21.6'!$B12:$B29,'TỔNG XUẤT'!$B12)</f>
        <v>3.5</v>
      </c>
      <c r="Z12" s="32">
        <f>SUMIFS('22.6'!$U12:$U29,'22.6'!$B12:$B29,'TỔNG XUẤT'!$B12)</f>
        <v>0</v>
      </c>
      <c r="AA12" s="32">
        <f>SUMIFS('23.6'!$U12:$U29,'23.6'!$B12:$B29,'TỔNG XUẤT'!$B12)</f>
        <v>0</v>
      </c>
      <c r="AB12" s="32">
        <f>SUMIFS('24.6'!$U12:$U29,'24.6'!$B12:$B29,'TỔNG XUẤT'!$B12)</f>
        <v>0</v>
      </c>
      <c r="AC12" s="32">
        <f>SUMIFS('25.6'!$U12:$U29,'25.6'!$B12:$B29,'TỔNG XUẤT'!$B12)</f>
        <v>0</v>
      </c>
      <c r="AD12" s="32">
        <f>SUMIFS('26.6'!$U12:$U29,'26.6'!$B12:$B29,'TỔNG XUẤT'!$B12)</f>
        <v>2</v>
      </c>
      <c r="AE12" s="32">
        <f>SUMIFS('27.6'!$U12:$U29,'27.6'!$B12:$B29,'TỔNG XUẤT'!$B12)</f>
        <v>1</v>
      </c>
      <c r="AF12" s="32">
        <f>SUMIFS('28.6'!$U12:$U29,'28.6'!$B12:$B29,'TỔNG XUẤT'!$B12)</f>
        <v>3</v>
      </c>
      <c r="AG12" s="32">
        <f>SUMIFS('29.6'!$U12:$U29,'29.6'!$B12:$B29,'TỔNG XUẤT'!$B12)</f>
        <v>0</v>
      </c>
      <c r="AH12" s="32">
        <f>SUMIFS('30.6'!$U12:$U29,'30.6'!$B12:$B29,'TỔNG XUẤT'!$B12)</f>
        <v>0</v>
      </c>
    </row>
    <row r="13" spans="1:34" ht="18.75">
      <c r="A13" s="6">
        <v>7</v>
      </c>
      <c r="B13" s="7" t="s">
        <v>18</v>
      </c>
      <c r="C13" s="8" t="s">
        <v>12</v>
      </c>
      <c r="D13" s="13">
        <f t="shared" si="1"/>
        <v>0</v>
      </c>
      <c r="E13" s="32">
        <f>SUMIFS('1.6'!$T13:$T30,'1.6'!$B13:$B30,'TỔNG XUẤT'!$B13)</f>
        <v>0</v>
      </c>
      <c r="F13" s="32">
        <f>SUMIFS('2.6'!$T13:$T30,'2.6'!$B13:$B30,'TỔNG XUẤT'!$B13)</f>
        <v>0</v>
      </c>
      <c r="G13" s="32">
        <f>SUMIFS('3.6'!$T13:$T30,'3.6'!$B13:$B30,'TỔNG XUẤT'!$B13)</f>
        <v>0</v>
      </c>
      <c r="H13" s="32">
        <f>SUMIFS('4.6'!$T13:$T30,'4.6'!$B13:$B30,'TỔNG XUẤT'!$B13)</f>
        <v>0</v>
      </c>
      <c r="I13" s="32">
        <f>SUMIFS('5.6'!$T13:$T30,'5.6'!$B13:$B30,'TỔNG XUẤT'!$B13)</f>
        <v>0</v>
      </c>
      <c r="J13" s="32">
        <f>SUMIFS('6.6'!$T13:$T30,'6.6'!$B13:$B30,'TỔNG XUẤT'!$B13)</f>
        <v>0</v>
      </c>
      <c r="K13" s="32">
        <f>SUMIFS('7.6'!$T13:$T30,'7.6'!$B13:$B30,'TỔNG XUẤT'!$B13)</f>
        <v>0</v>
      </c>
      <c r="L13" s="32">
        <f>SUMIFS('8.6'!$T13:$T30,'8.6'!$B13:$B30,'TỔNG XUẤT'!$B13)</f>
        <v>0</v>
      </c>
      <c r="M13" s="32">
        <f>SUMIFS('9.6'!$T13:$T30,'9.6'!$B13:$B30,'TỔNG XUẤT'!$B13)</f>
        <v>0</v>
      </c>
      <c r="N13" s="32">
        <f>SUMIFS('10.6'!$T13:$T30,'10.6'!$B13:$B30,'TỔNG XUẤT'!$B13)</f>
        <v>0</v>
      </c>
      <c r="O13" s="32">
        <f>SUMIFS('11.6'!$T13:$T30,'11.6'!$B13:$B30,'TỔNG XUẤT'!$B13)</f>
        <v>0</v>
      </c>
      <c r="P13" s="32">
        <f>SUMIFS('12.6'!$U13:$U30,'12.6'!$B13:$B30,'TỔNG XUẤT'!$B13)</f>
        <v>0</v>
      </c>
      <c r="Q13" s="32">
        <f>SUMIFS('13.6'!$U13:$U30,'13.6'!$B13:$B30,'TỔNG XUẤT'!$B13)</f>
        <v>0</v>
      </c>
      <c r="R13" s="32">
        <f>SUMIFS('14.6'!$U13:$U30,'14.6'!$B13:$B30,'TỔNG XUẤT'!$B13)</f>
        <v>0</v>
      </c>
      <c r="S13" s="32">
        <f>SUMIFS('15.6'!$U13:$U30,'15.6'!$B13:$B30,'TỔNG XUẤT'!$B13)</f>
        <v>0</v>
      </c>
      <c r="T13" s="32">
        <f>SUMIFS('16.6'!$U13:$U30,'16.6'!$B13:$B30,'TỔNG XUẤT'!$B13)</f>
        <v>0</v>
      </c>
      <c r="U13" s="32">
        <f>SUMIFS('17.6'!$U13:$U30,'17.6'!$B13:$B30,'TỔNG XUẤT'!$B13)</f>
        <v>0</v>
      </c>
      <c r="V13" s="32">
        <f>SUMIFS('18.6'!$U13:$U30,'18.6'!$B13:$B30,'TỔNG XUẤT'!$B13)</f>
        <v>0</v>
      </c>
      <c r="W13" s="32">
        <f>SUMIFS('19.6'!$U13:$U30,'19.6'!$B13:$B30,'TỔNG XUẤT'!$B13)</f>
        <v>0</v>
      </c>
      <c r="X13" s="32">
        <f>SUMIFS('20.6'!$U13:$U30,'20.6'!$B13:$B30,'TỔNG XUẤT'!$B13)</f>
        <v>0</v>
      </c>
      <c r="Y13" s="32">
        <f>SUMIFS('21.6'!$U13:$U30,'21.6'!$B13:$B30,'TỔNG XUẤT'!$B13)</f>
        <v>0</v>
      </c>
      <c r="Z13" s="32">
        <f>SUMIFS('22.6'!$U13:$U30,'22.6'!$B13:$B30,'TỔNG XUẤT'!$B13)</f>
        <v>0</v>
      </c>
      <c r="AA13" s="32">
        <f>SUMIFS('23.6'!$U13:$U30,'23.6'!$B13:$B30,'TỔNG XUẤT'!$B13)</f>
        <v>0</v>
      </c>
      <c r="AB13" s="32">
        <f>SUMIFS('24.6'!$U13:$U30,'24.6'!$B13:$B30,'TỔNG XUẤT'!$B13)</f>
        <v>0</v>
      </c>
      <c r="AC13" s="32">
        <f>SUMIFS('25.6'!$U13:$U30,'25.6'!$B13:$B30,'TỔNG XUẤT'!$B13)</f>
        <v>0</v>
      </c>
      <c r="AD13" s="32">
        <f>SUMIFS('26.6'!$U13:$U30,'26.6'!$B13:$B30,'TỔNG XUẤT'!$B13)</f>
        <v>0</v>
      </c>
      <c r="AE13" s="32">
        <f>SUMIFS('27.6'!$U13:$U30,'27.6'!$B13:$B30,'TỔNG XUẤT'!$B13)</f>
        <v>0</v>
      </c>
      <c r="AF13" s="32">
        <f>SUMIFS('28.6'!$U13:$U30,'28.6'!$B13:$B30,'TỔNG XUẤT'!$B13)</f>
        <v>0</v>
      </c>
      <c r="AG13" s="32">
        <f>SUMIFS('29.6'!$U13:$U30,'29.6'!$B13:$B30,'TỔNG XUẤT'!$B13)</f>
        <v>0</v>
      </c>
      <c r="AH13" s="32">
        <f>SUMIFS('30.6'!$U13:$U30,'30.6'!$B13:$B30,'TỔNG XUẤT'!$B13)</f>
        <v>0</v>
      </c>
    </row>
    <row r="14" spans="1:34" ht="18.75">
      <c r="A14" s="6">
        <v>8</v>
      </c>
      <c r="B14" s="7" t="s">
        <v>19</v>
      </c>
      <c r="C14" s="8" t="s">
        <v>12</v>
      </c>
      <c r="D14" s="13">
        <f t="shared" si="1"/>
        <v>8</v>
      </c>
      <c r="E14" s="32">
        <f>SUMIFS('1.6'!$T14:$T31,'1.6'!$B14:$B31,'TỔNG XUẤT'!$B14)</f>
        <v>0</v>
      </c>
      <c r="F14" s="32">
        <f>SUMIFS('2.6'!$T14:$T31,'2.6'!$B14:$B31,'TỔNG XUẤT'!$B14)</f>
        <v>0</v>
      </c>
      <c r="G14" s="32">
        <f>SUMIFS('3.6'!$T14:$T31,'3.6'!$B14:$B31,'TỔNG XUẤT'!$B14)</f>
        <v>0</v>
      </c>
      <c r="H14" s="32">
        <f>SUMIFS('4.6'!$T14:$T31,'4.6'!$B14:$B31,'TỔNG XUẤT'!$B14)</f>
        <v>0</v>
      </c>
      <c r="I14" s="32">
        <f>SUMIFS('5.6'!$T14:$T31,'5.6'!$B14:$B31,'TỔNG XUẤT'!$B14)</f>
        <v>3</v>
      </c>
      <c r="J14" s="32">
        <f>SUMIFS('6.6'!$T14:$T31,'6.6'!$B14:$B31,'TỔNG XUẤT'!$B14)</f>
        <v>0</v>
      </c>
      <c r="K14" s="32">
        <f>SUMIFS('7.6'!$T14:$T31,'7.6'!$B14:$B31,'TỔNG XUẤT'!$B14)</f>
        <v>0</v>
      </c>
      <c r="L14" s="32">
        <f>SUMIFS('8.6'!$T14:$T31,'8.6'!$B14:$B31,'TỔNG XUẤT'!$B14)</f>
        <v>0</v>
      </c>
      <c r="M14" s="32">
        <f>SUMIFS('9.6'!$T14:$T31,'9.6'!$B14:$B31,'TỔNG XUẤT'!$B14)</f>
        <v>0</v>
      </c>
      <c r="N14" s="32">
        <f>SUMIFS('10.6'!$T14:$T31,'10.6'!$B14:$B31,'TỔNG XUẤT'!$B14)</f>
        <v>0</v>
      </c>
      <c r="O14" s="32">
        <f>SUMIFS('11.6'!$T14:$T31,'11.6'!$B14:$B31,'TỔNG XUẤT'!$B14)</f>
        <v>0</v>
      </c>
      <c r="P14" s="32">
        <f>SUMIFS('12.6'!$U14:$U31,'12.6'!$B14:$B31,'TỔNG XUẤT'!$B14)</f>
        <v>0</v>
      </c>
      <c r="Q14" s="32">
        <f>SUMIFS('13.6'!$U14:$U31,'13.6'!$B14:$B31,'TỔNG XUẤT'!$B14)</f>
        <v>0</v>
      </c>
      <c r="R14" s="32">
        <f>SUMIFS('14.6'!$U14:$U31,'14.6'!$B14:$B31,'TỔNG XUẤT'!$B14)</f>
        <v>0</v>
      </c>
      <c r="S14" s="32">
        <f>SUMIFS('15.6'!$U14:$U31,'15.6'!$B14:$B31,'TỔNG XUẤT'!$B14)</f>
        <v>0</v>
      </c>
      <c r="T14" s="32">
        <f>SUMIFS('16.6'!$U14:$U31,'16.6'!$B14:$B31,'TỔNG XUẤT'!$B14)</f>
        <v>0</v>
      </c>
      <c r="U14" s="32">
        <f>SUMIFS('17.6'!$U14:$U31,'17.6'!$B14:$B31,'TỔNG XUẤT'!$B14)</f>
        <v>0</v>
      </c>
      <c r="V14" s="32">
        <f>SUMIFS('18.6'!$U14:$U31,'18.6'!$B14:$B31,'TỔNG XUẤT'!$B14)</f>
        <v>0</v>
      </c>
      <c r="W14" s="32">
        <f>SUMIFS('19.6'!$U14:$U31,'19.6'!$B14:$B31,'TỔNG XUẤT'!$B14)</f>
        <v>0</v>
      </c>
      <c r="X14" s="32">
        <f>SUMIFS('20.6'!$U14:$U31,'20.6'!$B14:$B31,'TỔNG XUẤT'!$B14)</f>
        <v>0</v>
      </c>
      <c r="Y14" s="32">
        <f>SUMIFS('21.6'!$U14:$U31,'21.6'!$B14:$B31,'TỔNG XUẤT'!$B14)</f>
        <v>0</v>
      </c>
      <c r="Z14" s="32">
        <f>SUMIFS('22.6'!$U14:$U31,'22.6'!$B14:$B31,'TỔNG XUẤT'!$B14)</f>
        <v>0</v>
      </c>
      <c r="AA14" s="32">
        <f>SUMIFS('23.6'!$U14:$U31,'23.6'!$B14:$B31,'TỔNG XUẤT'!$B14)</f>
        <v>0</v>
      </c>
      <c r="AB14" s="32">
        <f>SUMIFS('24.6'!$U14:$U31,'24.6'!$B14:$B31,'TỔNG XUẤT'!$B14)</f>
        <v>0</v>
      </c>
      <c r="AC14" s="32">
        <f>SUMIFS('25.6'!$U14:$U31,'25.6'!$B14:$B31,'TỔNG XUẤT'!$B14)</f>
        <v>0</v>
      </c>
      <c r="AD14" s="32">
        <f>SUMIFS('26.6'!$U14:$U31,'26.6'!$B14:$B31,'TỔNG XUẤT'!$B14)</f>
        <v>5</v>
      </c>
      <c r="AE14" s="32">
        <f>SUMIFS('27.6'!$U14:$U31,'27.6'!$B14:$B31,'TỔNG XUẤT'!$B14)</f>
        <v>0</v>
      </c>
      <c r="AF14" s="32">
        <f>SUMIFS('28.6'!$U14:$U31,'28.6'!$B14:$B31,'TỔNG XUẤT'!$B14)</f>
        <v>0</v>
      </c>
      <c r="AG14" s="32">
        <f>SUMIFS('29.6'!$U14:$U31,'29.6'!$B14:$B31,'TỔNG XUẤT'!$B14)</f>
        <v>0</v>
      </c>
      <c r="AH14" s="32">
        <f>SUMIFS('30.6'!$U14:$U31,'30.6'!$B14:$B31,'TỔNG XUẤT'!$B14)</f>
        <v>0</v>
      </c>
    </row>
    <row r="15" spans="1:34" ht="18.75">
      <c r="A15" s="6">
        <v>9</v>
      </c>
      <c r="B15" s="7" t="s">
        <v>20</v>
      </c>
      <c r="C15" s="8" t="s">
        <v>12</v>
      </c>
      <c r="D15" s="13">
        <f t="shared" si="1"/>
        <v>6</v>
      </c>
      <c r="E15" s="32">
        <f>SUMIFS('1.6'!$T15:$T32,'1.6'!$B15:$B32,'TỔNG XUẤT'!$B15)</f>
        <v>0</v>
      </c>
      <c r="F15" s="32">
        <f>SUMIFS('2.6'!$T15:$T32,'2.6'!$B15:$B32,'TỔNG XUẤT'!$B15)</f>
        <v>0</v>
      </c>
      <c r="G15" s="32">
        <f>SUMIFS('3.6'!$T15:$T32,'3.6'!$B15:$B32,'TỔNG XUẤT'!$B15)</f>
        <v>0</v>
      </c>
      <c r="H15" s="32">
        <f>SUMIFS('4.6'!$T15:$T32,'4.6'!$B15:$B32,'TỔNG XUẤT'!$B15)</f>
        <v>0</v>
      </c>
      <c r="I15" s="32">
        <f>SUMIFS('5.6'!$T15:$T32,'5.6'!$B15:$B32,'TỔNG XUẤT'!$B15)</f>
        <v>2</v>
      </c>
      <c r="J15" s="32">
        <f>SUMIFS('6.6'!$T15:$T32,'6.6'!$B15:$B32,'TỔNG XUẤT'!$B15)</f>
        <v>0</v>
      </c>
      <c r="K15" s="32">
        <f>SUMIFS('7.6'!$T15:$T32,'7.6'!$B15:$B32,'TỔNG XUẤT'!$B15)</f>
        <v>0</v>
      </c>
      <c r="L15" s="32">
        <f>SUMIFS('8.6'!$T15:$T32,'8.6'!$B15:$B32,'TỔNG XUẤT'!$B15)</f>
        <v>0</v>
      </c>
      <c r="M15" s="32">
        <f>SUMIFS('9.6'!$T15:$T32,'9.6'!$B15:$B32,'TỔNG XUẤT'!$B15)</f>
        <v>0</v>
      </c>
      <c r="N15" s="32">
        <f>SUMIFS('10.6'!$T15:$T32,'10.6'!$B15:$B32,'TỔNG XUẤT'!$B15)</f>
        <v>0</v>
      </c>
      <c r="O15" s="32">
        <f>SUMIFS('11.6'!$T15:$T32,'11.6'!$B15:$B32,'TỔNG XUẤT'!$B15)</f>
        <v>0</v>
      </c>
      <c r="P15" s="32">
        <f>SUMIFS('12.6'!$U15:$U32,'12.6'!$B15:$B32,'TỔNG XUẤT'!$B15)</f>
        <v>1</v>
      </c>
      <c r="Q15" s="32">
        <f>SUMIFS('13.6'!$U15:$U32,'13.6'!$B15:$B32,'TỔNG XUẤT'!$B15)</f>
        <v>0</v>
      </c>
      <c r="R15" s="32">
        <f>SUMIFS('14.6'!$U15:$U32,'14.6'!$B15:$B32,'TỔNG XUẤT'!$B15)</f>
        <v>0</v>
      </c>
      <c r="S15" s="32">
        <f>SUMIFS('15.6'!$U15:$U32,'15.6'!$B15:$B32,'TỔNG XUẤT'!$B15)</f>
        <v>0</v>
      </c>
      <c r="T15" s="32">
        <f>SUMIFS('16.6'!$U15:$U32,'16.6'!$B15:$B32,'TỔNG XUẤT'!$B15)</f>
        <v>0</v>
      </c>
      <c r="U15" s="32">
        <f>SUMIFS('17.6'!$U15:$U32,'17.6'!$B15:$B32,'TỔNG XUẤT'!$B15)</f>
        <v>0</v>
      </c>
      <c r="V15" s="32">
        <f>SUMIFS('18.6'!$U15:$U32,'18.6'!$B15:$B32,'TỔNG XUẤT'!$B15)</f>
        <v>0</v>
      </c>
      <c r="W15" s="32">
        <f>SUMIFS('19.6'!$U15:$U32,'19.6'!$B15:$B32,'TỔNG XUẤT'!$B15)</f>
        <v>3</v>
      </c>
      <c r="X15" s="32">
        <f>SUMIFS('20.6'!$U15:$U32,'20.6'!$B15:$B32,'TỔNG XUẤT'!$B15)</f>
        <v>0</v>
      </c>
      <c r="Y15" s="32">
        <f>SUMIFS('21.6'!$U15:$U32,'21.6'!$B15:$B32,'TỔNG XUẤT'!$B15)</f>
        <v>0</v>
      </c>
      <c r="Z15" s="32">
        <f>SUMIFS('22.6'!$U15:$U32,'22.6'!$B15:$B32,'TỔNG XUẤT'!$B15)</f>
        <v>0</v>
      </c>
      <c r="AA15" s="32">
        <f>SUMIFS('23.6'!$U15:$U32,'23.6'!$B15:$B32,'TỔNG XUẤT'!$B15)</f>
        <v>0</v>
      </c>
      <c r="AB15" s="32">
        <f>SUMIFS('24.6'!$U15:$U32,'24.6'!$B15:$B32,'TỔNG XUẤT'!$B15)</f>
        <v>0</v>
      </c>
      <c r="AC15" s="32">
        <f>SUMIFS('25.6'!$U15:$U32,'25.6'!$B15:$B32,'TỔNG XUẤT'!$B15)</f>
        <v>0</v>
      </c>
      <c r="AD15" s="32">
        <f>SUMIFS('26.6'!$U15:$U32,'26.6'!$B15:$B32,'TỔNG XUẤT'!$B15)</f>
        <v>0</v>
      </c>
      <c r="AE15" s="32">
        <f>SUMIFS('27.6'!$U15:$U32,'27.6'!$B15:$B32,'TỔNG XUẤT'!$B15)</f>
        <v>0</v>
      </c>
      <c r="AF15" s="32">
        <f>SUMIFS('28.6'!$U15:$U32,'28.6'!$B15:$B32,'TỔNG XUẤT'!$B15)</f>
        <v>0</v>
      </c>
      <c r="AG15" s="32">
        <f>SUMIFS('29.6'!$U15:$U32,'29.6'!$B15:$B32,'TỔNG XUẤT'!$B15)</f>
        <v>0</v>
      </c>
      <c r="AH15" s="32">
        <f>SUMIFS('30.6'!$U15:$U32,'30.6'!$B15:$B32,'TỔNG XUẤT'!$B15)</f>
        <v>0</v>
      </c>
    </row>
    <row r="16" spans="1:34" ht="18.75">
      <c r="A16" s="6">
        <v>10</v>
      </c>
      <c r="B16" s="7" t="s">
        <v>21</v>
      </c>
      <c r="C16" s="8" t="s">
        <v>12</v>
      </c>
      <c r="D16" s="13">
        <f t="shared" si="1"/>
        <v>18</v>
      </c>
      <c r="E16" s="32">
        <f>SUMIFS('1.6'!$T16:$T33,'1.6'!$B16:$B33,'TỔNG XUẤT'!$B16)</f>
        <v>0</v>
      </c>
      <c r="F16" s="32">
        <f>SUMIFS('2.6'!$T16:$T33,'2.6'!$B16:$B33,'TỔNG XUẤT'!$B16)</f>
        <v>0</v>
      </c>
      <c r="G16" s="32">
        <f>SUMIFS('3.6'!$T16:$T33,'3.6'!$B16:$B33,'TỔNG XUẤT'!$B16)</f>
        <v>0</v>
      </c>
      <c r="H16" s="32">
        <f>SUMIFS('4.6'!$T16:$T33,'4.6'!$B16:$B33,'TỔNG XUẤT'!$B16)</f>
        <v>0</v>
      </c>
      <c r="I16" s="32">
        <f>SUMIFS('5.6'!$T16:$T33,'5.6'!$B16:$B33,'TỔNG XUẤT'!$B16)</f>
        <v>5</v>
      </c>
      <c r="J16" s="32">
        <f>SUMIFS('6.6'!$T16:$T33,'6.6'!$B16:$B33,'TỔNG XUẤT'!$B16)</f>
        <v>0</v>
      </c>
      <c r="K16" s="32">
        <f>SUMIFS('7.6'!$T16:$T33,'7.6'!$B16:$B33,'TỔNG XUẤT'!$B16)</f>
        <v>0</v>
      </c>
      <c r="L16" s="32">
        <f>SUMIFS('8.6'!$T16:$T33,'8.6'!$B16:$B33,'TỔNG XUẤT'!$B16)</f>
        <v>0</v>
      </c>
      <c r="M16" s="32">
        <f>SUMIFS('9.6'!$T16:$T33,'9.6'!$B16:$B33,'TỔNG XUẤT'!$B16)</f>
        <v>0</v>
      </c>
      <c r="N16" s="32">
        <f>SUMIFS('10.6'!$T16:$T33,'10.6'!$B16:$B33,'TỔNG XUẤT'!$B16)</f>
        <v>0</v>
      </c>
      <c r="O16" s="32">
        <f>SUMIFS('11.6'!$T16:$T33,'11.6'!$B16:$B33,'TỔNG XUẤT'!$B16)</f>
        <v>0</v>
      </c>
      <c r="P16" s="32">
        <f>SUMIFS('12.6'!$U16:$U33,'12.6'!$B16:$B33,'TỔNG XUẤT'!$B16)</f>
        <v>6.9</v>
      </c>
      <c r="Q16" s="32">
        <f>SUMIFS('13.6'!$U16:$U33,'13.6'!$B16:$B33,'TỔNG XUẤT'!$B16)</f>
        <v>0</v>
      </c>
      <c r="R16" s="32">
        <f>SUMIFS('14.6'!$U16:$U33,'14.6'!$B16:$B33,'TỔNG XUẤT'!$B16)</f>
        <v>0</v>
      </c>
      <c r="S16" s="32">
        <f>SUMIFS('15.6'!$U16:$U33,'15.6'!$B16:$B33,'TỔNG XUẤT'!$B16)</f>
        <v>0</v>
      </c>
      <c r="T16" s="32">
        <f>SUMIFS('16.6'!$U16:$U33,'16.6'!$B16:$B33,'TỔNG XUẤT'!$B16)</f>
        <v>0</v>
      </c>
      <c r="U16" s="32">
        <f>SUMIFS('17.6'!$U16:$U33,'17.6'!$B16:$B33,'TỔNG XUẤT'!$B16)</f>
        <v>0</v>
      </c>
      <c r="V16" s="32">
        <f>SUMIFS('18.6'!$U16:$U33,'18.6'!$B16:$B33,'TỔNG XUẤT'!$B16)</f>
        <v>0</v>
      </c>
      <c r="W16" s="32">
        <f>SUMIFS('19.6'!$U16:$U33,'19.6'!$B16:$B33,'TỔNG XUẤT'!$B16)</f>
        <v>3.1</v>
      </c>
      <c r="X16" s="32">
        <f>SUMIFS('20.6'!$U16:$U33,'20.6'!$B16:$B33,'TỔNG XUẤT'!$B16)</f>
        <v>0</v>
      </c>
      <c r="Y16" s="32">
        <f>SUMIFS('21.6'!$U16:$U33,'21.6'!$B16:$B33,'TỔNG XUẤT'!$B16)</f>
        <v>0</v>
      </c>
      <c r="Z16" s="32">
        <f>SUMIFS('22.6'!$U16:$U33,'22.6'!$B16:$B33,'TỔNG XUẤT'!$B16)</f>
        <v>0</v>
      </c>
      <c r="AA16" s="32">
        <f>SUMIFS('23.6'!$U16:$U33,'23.6'!$B16:$B33,'TỔNG XUẤT'!$B16)</f>
        <v>0</v>
      </c>
      <c r="AB16" s="32">
        <f>SUMIFS('24.6'!$U16:$U33,'24.6'!$B16:$B33,'TỔNG XUẤT'!$B16)</f>
        <v>0</v>
      </c>
      <c r="AC16" s="32">
        <f>SUMIFS('25.6'!$U16:$U33,'25.6'!$B16:$B33,'TỔNG XUẤT'!$B16)</f>
        <v>0</v>
      </c>
      <c r="AD16" s="32">
        <f>SUMIFS('26.6'!$U16:$U33,'26.6'!$B16:$B33,'TỔNG XUẤT'!$B16)</f>
        <v>3</v>
      </c>
      <c r="AE16" s="32">
        <f>SUMIFS('27.6'!$U16:$U33,'27.6'!$B16:$B33,'TỔNG XUẤT'!$B16)</f>
        <v>0</v>
      </c>
      <c r="AF16" s="32">
        <f>SUMIFS('28.6'!$U16:$U33,'28.6'!$B16:$B33,'TỔNG XUẤT'!$B16)</f>
        <v>0</v>
      </c>
      <c r="AG16" s="32">
        <f>SUMIFS('29.6'!$U16:$U33,'29.6'!$B16:$B33,'TỔNG XUẤT'!$B16)</f>
        <v>0</v>
      </c>
      <c r="AH16" s="32">
        <f>SUMIFS('30.6'!$U16:$U33,'30.6'!$B16:$B33,'TỔNG XUẤT'!$B16)</f>
        <v>0</v>
      </c>
    </row>
    <row r="17" spans="1:34" ht="18.75">
      <c r="A17" s="6">
        <v>11</v>
      </c>
      <c r="B17" s="7" t="s">
        <v>68</v>
      </c>
      <c r="C17" s="8" t="s">
        <v>12</v>
      </c>
      <c r="D17" s="13">
        <f t="shared" si="1"/>
        <v>3</v>
      </c>
      <c r="E17" s="32">
        <f>SUMIFS('1.6'!$T17:$T34,'1.6'!$B17:$B34,'TỔNG XUẤT'!$B17)</f>
        <v>0</v>
      </c>
      <c r="F17" s="32">
        <f>SUMIFS('2.6'!$T17:$T34,'2.6'!$B17:$B34,'TỔNG XUẤT'!$B17)</f>
        <v>0</v>
      </c>
      <c r="G17" s="32">
        <f>SUMIFS('3.6'!$T17:$T34,'3.6'!$B17:$B34,'TỔNG XUẤT'!$B17)</f>
        <v>0</v>
      </c>
      <c r="H17" s="32">
        <f>SUMIFS('4.6'!$T17:$T34,'4.6'!$B17:$B34,'TỔNG XUẤT'!$B17)</f>
        <v>0</v>
      </c>
      <c r="I17" s="32">
        <f>SUMIFS('5.6'!$T17:$T34,'5.6'!$B17:$B34,'TỔNG XUẤT'!$B17)</f>
        <v>0</v>
      </c>
      <c r="J17" s="32">
        <f>SUMIFS('6.6'!$T17:$T34,'6.6'!$B17:$B34,'TỔNG XUẤT'!$B17)</f>
        <v>0</v>
      </c>
      <c r="K17" s="32">
        <f>SUMIFS('7.6'!$T17:$T34,'7.6'!$B17:$B34,'TỔNG XUẤT'!$B17)</f>
        <v>0</v>
      </c>
      <c r="L17" s="32">
        <f>SUMIFS('8.6'!$T17:$T34,'8.6'!$B17:$B34,'TỔNG XUẤT'!$B17)</f>
        <v>0</v>
      </c>
      <c r="M17" s="32">
        <f>SUMIFS('9.6'!$T17:$T34,'9.6'!$B17:$B34,'TỔNG XUẤT'!$B17)</f>
        <v>0</v>
      </c>
      <c r="N17" s="32">
        <f>SUMIFS('10.6'!$T17:$T34,'10.6'!$B17:$B34,'TỔNG XUẤT'!$B17)</f>
        <v>0</v>
      </c>
      <c r="O17" s="32">
        <f>SUMIFS('11.6'!$T17:$T34,'11.6'!$B17:$B34,'TỔNG XUẤT'!$B17)</f>
        <v>0</v>
      </c>
      <c r="P17" s="32">
        <f>SUMIFS('12.6'!$U17:$U34,'12.6'!$B17:$B34,'TỔNG XUẤT'!$B17)</f>
        <v>0</v>
      </c>
      <c r="Q17" s="32">
        <f>SUMIFS('13.6'!$U17:$U34,'13.6'!$B17:$B34,'TỔNG XUẤT'!$B17)</f>
        <v>0</v>
      </c>
      <c r="R17" s="32">
        <f>SUMIFS('14.6'!$U17:$U34,'14.6'!$B17:$B34,'TỔNG XUẤT'!$B17)</f>
        <v>0</v>
      </c>
      <c r="S17" s="32">
        <f>SUMIFS('15.6'!$U17:$U34,'15.6'!$B17:$B34,'TỔNG XUẤT'!$B17)</f>
        <v>3</v>
      </c>
      <c r="T17" s="32">
        <f>SUMIFS('16.6'!$U17:$U34,'16.6'!$B17:$B34,'TỔNG XUẤT'!$B17)</f>
        <v>0</v>
      </c>
      <c r="U17" s="32">
        <f>SUMIFS('17.6'!$U17:$U34,'17.6'!$B17:$B34,'TỔNG XUẤT'!$B17)</f>
        <v>0</v>
      </c>
      <c r="V17" s="32">
        <f>SUMIFS('18.6'!$U17:$U34,'18.6'!$B17:$B34,'TỔNG XUẤT'!$B17)</f>
        <v>0</v>
      </c>
      <c r="W17" s="32">
        <f>SUMIFS('19.6'!$U17:$U34,'19.6'!$B17:$B34,'TỔNG XUẤT'!$B17)</f>
        <v>0</v>
      </c>
      <c r="X17" s="32">
        <f>SUMIFS('20.6'!$U17:$U34,'20.6'!$B17:$B34,'TỔNG XUẤT'!$B17)</f>
        <v>0</v>
      </c>
      <c r="Y17" s="32">
        <f>SUMIFS('21.6'!$U17:$U34,'21.6'!$B17:$B34,'TỔNG XUẤT'!$B17)</f>
        <v>0</v>
      </c>
      <c r="Z17" s="32">
        <f>SUMIFS('22.6'!$U17:$U34,'22.6'!$B17:$B34,'TỔNG XUẤT'!$B17)</f>
        <v>0</v>
      </c>
      <c r="AA17" s="32">
        <f>SUMIFS('23.6'!$U17:$U34,'23.6'!$B17:$B34,'TỔNG XUẤT'!$B17)</f>
        <v>0</v>
      </c>
      <c r="AB17" s="32">
        <f>SUMIFS('24.6'!$U17:$U34,'24.6'!$B17:$B34,'TỔNG XUẤT'!$B17)</f>
        <v>0</v>
      </c>
      <c r="AC17" s="32">
        <f>SUMIFS('25.6'!$U17:$U34,'25.6'!$B17:$B34,'TỔNG XUẤT'!$B17)</f>
        <v>0</v>
      </c>
      <c r="AD17" s="32">
        <f>SUMIFS('26.6'!$U17:$U34,'26.6'!$B17:$B34,'TỔNG XUẤT'!$B17)</f>
        <v>0</v>
      </c>
      <c r="AE17" s="32">
        <f>SUMIFS('27.6'!$U17:$U34,'27.6'!$B17:$B34,'TỔNG XUẤT'!$B17)</f>
        <v>0</v>
      </c>
      <c r="AF17" s="32">
        <f>SUMIFS('28.6'!$U17:$U34,'28.6'!$B17:$B34,'TỔNG XUẤT'!$B17)</f>
        <v>0</v>
      </c>
      <c r="AG17" s="32">
        <f>SUMIFS('29.6'!$U17:$U34,'29.6'!$B17:$B34,'TỔNG XUẤT'!$B17)</f>
        <v>0</v>
      </c>
      <c r="AH17" s="32">
        <f>SUMIFS('30.6'!$U17:$U34,'30.6'!$B17:$B34,'TỔNG XUẤT'!$B17)</f>
        <v>0</v>
      </c>
    </row>
    <row r="18" spans="1:34" ht="18.75">
      <c r="A18" s="6">
        <v>12</v>
      </c>
      <c r="B18" s="7" t="s">
        <v>23</v>
      </c>
      <c r="C18" s="8" t="s">
        <v>12</v>
      </c>
      <c r="D18" s="13">
        <f t="shared" si="1"/>
        <v>6</v>
      </c>
      <c r="E18" s="32">
        <f>SUMIFS('1.6'!$T18:$T35,'1.6'!$B18:$B35,'TỔNG XUẤT'!$B18)</f>
        <v>2</v>
      </c>
      <c r="F18" s="32">
        <f>SUMIFS('2.6'!$T18:$T35,'2.6'!$B18:$B35,'TỔNG XUẤT'!$B18)</f>
        <v>0</v>
      </c>
      <c r="G18" s="32">
        <f>SUMIFS('3.6'!$T18:$T35,'3.6'!$B18:$B35,'TỔNG XUẤT'!$B18)</f>
        <v>0</v>
      </c>
      <c r="H18" s="32">
        <f>SUMIFS('4.6'!$T18:$T35,'4.6'!$B18:$B35,'TỔNG XUẤT'!$B18)</f>
        <v>0</v>
      </c>
      <c r="I18" s="32">
        <f>SUMIFS('5.6'!$T18:$T35,'5.6'!$B18:$B35,'TỔNG XUẤT'!$B18)</f>
        <v>0</v>
      </c>
      <c r="J18" s="32">
        <f>SUMIFS('6.6'!$T18:$T35,'6.6'!$B18:$B35,'TỔNG XUẤT'!$B18)</f>
        <v>0</v>
      </c>
      <c r="K18" s="32">
        <f>SUMIFS('7.6'!$T18:$T35,'7.6'!$B18:$B35,'TỔNG XUẤT'!$B18)</f>
        <v>0</v>
      </c>
      <c r="L18" s="32">
        <f>SUMIFS('8.6'!$T18:$T35,'8.6'!$B18:$B35,'TỔNG XUẤT'!$B18)</f>
        <v>1</v>
      </c>
      <c r="M18" s="32">
        <f>SUMIFS('9.6'!$T18:$T35,'9.6'!$B18:$B35,'TỔNG XUẤT'!$B18)</f>
        <v>0</v>
      </c>
      <c r="N18" s="32">
        <f>SUMIFS('10.6'!$T18:$T35,'10.6'!$B18:$B35,'TỔNG XUẤT'!$B18)</f>
        <v>0</v>
      </c>
      <c r="O18" s="32">
        <f>SUMIFS('11.6'!$T18:$T35,'11.6'!$B18:$B35,'TỔNG XUẤT'!$B18)</f>
        <v>0</v>
      </c>
      <c r="P18" s="32">
        <f>SUMIFS('12.6'!$U18:$U35,'12.6'!$B18:$B35,'TỔNG XUẤT'!$B18)</f>
        <v>0</v>
      </c>
      <c r="Q18" s="32">
        <f>SUMIFS('13.6'!$U18:$U35,'13.6'!$B18:$B35,'TỔNG XUẤT'!$B18)</f>
        <v>0</v>
      </c>
      <c r="R18" s="32">
        <f>SUMIFS('14.6'!$U18:$U35,'14.6'!$B18:$B35,'TỔNG XUẤT'!$B18)</f>
        <v>0</v>
      </c>
      <c r="S18" s="32">
        <f>SUMIFS('15.6'!$U18:$U35,'15.6'!$B18:$B35,'TỔNG XUẤT'!$B18)</f>
        <v>1</v>
      </c>
      <c r="T18" s="32">
        <f>SUMIFS('16.6'!$U18:$U35,'16.6'!$B18:$B35,'TỔNG XUẤT'!$B18)</f>
        <v>0</v>
      </c>
      <c r="U18" s="32">
        <f>SUMIFS('17.6'!$U18:$U35,'17.6'!$B18:$B35,'TỔNG XUẤT'!$B18)</f>
        <v>0</v>
      </c>
      <c r="V18" s="32">
        <f>SUMIFS('18.6'!$U18:$U35,'18.6'!$B18:$B35,'TỔNG XUẤT'!$B18)</f>
        <v>0</v>
      </c>
      <c r="W18" s="32">
        <f>SUMIFS('19.6'!$U18:$U35,'19.6'!$B18:$B35,'TỔNG XUẤT'!$B18)</f>
        <v>0</v>
      </c>
      <c r="X18" s="32">
        <f>SUMIFS('20.6'!$U18:$U35,'20.6'!$B18:$B35,'TỔNG XUẤT'!$B18)</f>
        <v>0</v>
      </c>
      <c r="Y18" s="32">
        <f>SUMIFS('21.6'!$U18:$U35,'21.6'!$B18:$B35,'TỔNG XUẤT'!$B18)</f>
        <v>0</v>
      </c>
      <c r="Z18" s="32">
        <f>SUMIFS('22.6'!$U18:$U35,'22.6'!$B18:$B35,'TỔNG XUẤT'!$B18)</f>
        <v>2</v>
      </c>
      <c r="AA18" s="32">
        <f>SUMIFS('23.6'!$U18:$U35,'23.6'!$B18:$B35,'TỔNG XUẤT'!$B18)</f>
        <v>0</v>
      </c>
      <c r="AB18" s="32">
        <f>SUMIFS('24.6'!$U18:$U35,'24.6'!$B18:$B35,'TỔNG XUẤT'!$B18)</f>
        <v>0</v>
      </c>
      <c r="AC18" s="32">
        <f>SUMIFS('25.6'!$U18:$U35,'25.6'!$B18:$B35,'TỔNG XUẤT'!$B18)</f>
        <v>0</v>
      </c>
      <c r="AD18" s="32">
        <f>SUMIFS('26.6'!$U18:$U35,'26.6'!$B18:$B35,'TỔNG XUẤT'!$B18)</f>
        <v>0</v>
      </c>
      <c r="AE18" s="32">
        <f>SUMIFS('27.6'!$U18:$U35,'27.6'!$B18:$B35,'TỔNG XUẤT'!$B18)</f>
        <v>0</v>
      </c>
      <c r="AF18" s="32">
        <f>SUMIFS('28.6'!$U18:$U35,'28.6'!$B18:$B35,'TỔNG XUẤT'!$B18)</f>
        <v>0</v>
      </c>
      <c r="AG18" s="32">
        <f>SUMIFS('29.6'!$U18:$U35,'29.6'!$B18:$B35,'TỔNG XUẤT'!$B18)</f>
        <v>0</v>
      </c>
      <c r="AH18" s="32">
        <f>SUMIFS('30.6'!$U18:$U35,'30.6'!$B18:$B35,'TỔNG XUẤT'!$B18)</f>
        <v>0</v>
      </c>
    </row>
    <row r="19" spans="1:34" ht="18.75">
      <c r="A19" s="6">
        <v>13</v>
      </c>
      <c r="B19" s="7" t="s">
        <v>69</v>
      </c>
      <c r="C19" s="8" t="s">
        <v>12</v>
      </c>
      <c r="D19" s="13">
        <f t="shared" si="1"/>
        <v>23</v>
      </c>
      <c r="E19" s="32">
        <f>SUMIFS('1.6'!$T19:$T36,'1.6'!$B19:$B36,'TỔNG XUẤT'!$B19)</f>
        <v>0</v>
      </c>
      <c r="F19" s="32">
        <f>SUMIFS('2.6'!$T19:$T36,'2.6'!$B19:$B36,'TỔNG XUẤT'!$B19)</f>
        <v>1</v>
      </c>
      <c r="G19" s="32">
        <f>SUMIFS('3.6'!$T19:$T36,'3.6'!$B19:$B36,'TỔNG XUẤT'!$B19)</f>
        <v>0</v>
      </c>
      <c r="H19" s="32">
        <f>SUMIFS('4.6'!$T19:$T36,'4.6'!$B19:$B36,'TỔNG XUẤT'!$B19)</f>
        <v>0</v>
      </c>
      <c r="I19" s="32">
        <f>SUMIFS('5.6'!$T19:$T36,'5.6'!$B19:$B36,'TỔNG XUẤT'!$B19)</f>
        <v>0</v>
      </c>
      <c r="J19" s="32">
        <f>SUMIFS('6.6'!$T19:$T36,'6.6'!$B19:$B36,'TỔNG XUẤT'!$B19)</f>
        <v>0</v>
      </c>
      <c r="K19" s="32">
        <f>SUMIFS('7.6'!$T19:$T36,'7.6'!$B19:$B36,'TỔNG XUẤT'!$B19)</f>
        <v>3.5</v>
      </c>
      <c r="L19" s="32">
        <f>SUMIFS('8.6'!$T19:$T36,'8.6'!$B19:$B36,'TỔNG XUẤT'!$B19)</f>
        <v>0</v>
      </c>
      <c r="M19" s="32">
        <f>SUMIFS('9.6'!$T19:$T36,'9.6'!$B19:$B36,'TỔNG XUẤT'!$B19)</f>
        <v>1</v>
      </c>
      <c r="N19" s="32">
        <f>SUMIFS('10.6'!$T19:$T36,'10.6'!$B19:$B36,'TỔNG XUẤT'!$B19)</f>
        <v>0</v>
      </c>
      <c r="O19" s="32">
        <f>SUMIFS('11.6'!$T19:$T36,'11.6'!$B19:$B36,'TỔNG XUẤT'!$B19)</f>
        <v>0</v>
      </c>
      <c r="P19" s="32">
        <f>SUMIFS('12.6'!$U19:$U36,'12.6'!$B19:$B36,'TỔNG XUẤT'!$B19)</f>
        <v>0</v>
      </c>
      <c r="Q19" s="32">
        <f>SUMIFS('13.6'!$U19:$U36,'13.6'!$B19:$B36,'TỔNG XUẤT'!$B19)</f>
        <v>0</v>
      </c>
      <c r="R19" s="32">
        <f>SUMIFS('14.6'!$U19:$U36,'14.6'!$B19:$B36,'TỔNG XUẤT'!$B19)</f>
        <v>4.5</v>
      </c>
      <c r="S19" s="32">
        <f>SUMIFS('15.6'!$U19:$U36,'15.6'!$B19:$B36,'TỔNG XUẤT'!$B19)</f>
        <v>1</v>
      </c>
      <c r="T19" s="32">
        <f>SUMIFS('16.6'!$U19:$U36,'16.6'!$B19:$B36,'TỔNG XUẤT'!$B19)</f>
        <v>0</v>
      </c>
      <c r="U19" s="32">
        <f>SUMIFS('17.6'!$U19:$U36,'17.6'!$B19:$B36,'TỔNG XUẤT'!$B19)</f>
        <v>0</v>
      </c>
      <c r="V19" s="32">
        <f>SUMIFS('18.6'!$U19:$U36,'18.6'!$B19:$B36,'TỔNG XUẤT'!$B19)</f>
        <v>0</v>
      </c>
      <c r="W19" s="32">
        <f>SUMIFS('19.6'!$U19:$U36,'19.6'!$B19:$B36,'TỔNG XUẤT'!$B19)</f>
        <v>0</v>
      </c>
      <c r="X19" s="32">
        <f>SUMIFS('20.6'!$U19:$U36,'20.6'!$B19:$B36,'TỔNG XUẤT'!$B19)</f>
        <v>0</v>
      </c>
      <c r="Y19" s="32">
        <f>SUMIFS('21.6'!$U19:$U36,'21.6'!$B19:$B36,'TỔNG XUẤT'!$B19)</f>
        <v>3.5</v>
      </c>
      <c r="Z19" s="32">
        <f>SUMIFS('22.6'!$U19:$U36,'22.6'!$B19:$B36,'TỔNG XUẤT'!$B19)</f>
        <v>1.5</v>
      </c>
      <c r="AA19" s="32">
        <f>SUMIFS('23.6'!$U19:$U36,'23.6'!$B19:$B36,'TỔNG XUẤT'!$B19)</f>
        <v>0</v>
      </c>
      <c r="AB19" s="32">
        <f>SUMIFS('24.6'!$U19:$U36,'24.6'!$B19:$B36,'TỔNG XUẤT'!$B19)</f>
        <v>0</v>
      </c>
      <c r="AC19" s="32">
        <f>SUMIFS('25.6'!$U19:$U36,'25.6'!$B19:$B36,'TỔNG XUẤT'!$B19)</f>
        <v>0</v>
      </c>
      <c r="AD19" s="32">
        <f>SUMIFS('26.6'!$U19:$U36,'26.6'!$B19:$B36,'TỔNG XUẤT'!$B19)</f>
        <v>0</v>
      </c>
      <c r="AE19" s="32">
        <f>SUMIFS('27.6'!$U19:$U36,'27.6'!$B19:$B36,'TỔNG XUẤT'!$B19)</f>
        <v>0</v>
      </c>
      <c r="AF19" s="32">
        <f>SUMIFS('28.6'!$U19:$U36,'28.6'!$B19:$B36,'TỔNG XUẤT'!$B19)</f>
        <v>5</v>
      </c>
      <c r="AG19" s="32">
        <f>SUMIFS('29.6'!$U19:$U36,'29.6'!$B19:$B36,'TỔNG XUẤT'!$B19)</f>
        <v>2</v>
      </c>
      <c r="AH19" s="32">
        <f>SUMIFS('30.6'!$U19:$U36,'30.6'!$B19:$B36,'TỔNG XUẤT'!$B19)</f>
        <v>0</v>
      </c>
    </row>
    <row r="20" spans="1:34" ht="18.75">
      <c r="A20" s="6">
        <v>14</v>
      </c>
      <c r="B20" s="7" t="s">
        <v>25</v>
      </c>
      <c r="C20" s="8" t="s">
        <v>12</v>
      </c>
      <c r="D20" s="13">
        <f t="shared" si="1"/>
        <v>0</v>
      </c>
      <c r="E20" s="32">
        <f>SUMIFS('1.6'!$T20:$T37,'1.6'!$B20:$B37,'TỔNG XUẤT'!$B20)</f>
        <v>0</v>
      </c>
      <c r="F20" s="32">
        <f>SUMIFS('2.6'!$T20:$T37,'2.6'!$B20:$B37,'TỔNG XUẤT'!$B20)</f>
        <v>0</v>
      </c>
      <c r="G20" s="32">
        <f>SUMIFS('3.6'!$T20:$T37,'3.6'!$B20:$B37,'TỔNG XUẤT'!$B20)</f>
        <v>0</v>
      </c>
      <c r="H20" s="32">
        <f>SUMIFS('4.6'!$T20:$T37,'4.6'!$B20:$B37,'TỔNG XUẤT'!$B20)</f>
        <v>0</v>
      </c>
      <c r="I20" s="32">
        <f>SUMIFS('5.6'!$T20:$T37,'5.6'!$B20:$B37,'TỔNG XUẤT'!$B20)</f>
        <v>0</v>
      </c>
      <c r="J20" s="32">
        <f>SUMIFS('6.6'!$T20:$T37,'6.6'!$B20:$B37,'TỔNG XUẤT'!$B20)</f>
        <v>0</v>
      </c>
      <c r="K20" s="32">
        <f>SUMIFS('7.6'!$T20:$T37,'7.6'!$B20:$B37,'TỔNG XUẤT'!$B20)</f>
        <v>0</v>
      </c>
      <c r="L20" s="32">
        <f>SUMIFS('8.6'!$T20:$T37,'8.6'!$B20:$B37,'TỔNG XUẤT'!$B20)</f>
        <v>0</v>
      </c>
      <c r="M20" s="32">
        <f>SUMIFS('9.6'!$T20:$T37,'9.6'!$B20:$B37,'TỔNG XUẤT'!$B20)</f>
        <v>0</v>
      </c>
      <c r="N20" s="32">
        <f>SUMIFS('10.6'!$T20:$T37,'10.6'!$B20:$B37,'TỔNG XUẤT'!$B20)</f>
        <v>0</v>
      </c>
      <c r="O20" s="32">
        <f>SUMIFS('11.6'!$T20:$T37,'11.6'!$B20:$B37,'TỔNG XUẤT'!$B20)</f>
        <v>0</v>
      </c>
      <c r="P20" s="32">
        <f>SUMIFS('12.6'!$U20:$U37,'12.6'!$B20:$B37,'TỔNG XUẤT'!$B20)</f>
        <v>0</v>
      </c>
      <c r="Q20" s="32">
        <f>SUMIFS('13.6'!$U20:$U37,'13.6'!$B20:$B37,'TỔNG XUẤT'!$B20)</f>
        <v>0</v>
      </c>
      <c r="R20" s="32">
        <f>SUMIFS('14.6'!$U20:$U37,'14.6'!$B20:$B37,'TỔNG XUẤT'!$B20)</f>
        <v>0</v>
      </c>
      <c r="S20" s="32">
        <f>SUMIFS('15.6'!$U20:$U37,'15.6'!$B20:$B37,'TỔNG XUẤT'!$B20)</f>
        <v>0</v>
      </c>
      <c r="T20" s="32">
        <f>SUMIFS('16.6'!$U20:$U37,'16.6'!$B20:$B37,'TỔNG XUẤT'!$B20)</f>
        <v>0</v>
      </c>
      <c r="U20" s="32">
        <f>SUMIFS('17.6'!$U20:$U37,'17.6'!$B20:$B37,'TỔNG XUẤT'!$B20)</f>
        <v>0</v>
      </c>
      <c r="V20" s="32">
        <f>SUMIFS('18.6'!$U20:$U37,'18.6'!$B20:$B37,'TỔNG XUẤT'!$B20)</f>
        <v>0</v>
      </c>
      <c r="W20" s="32">
        <f>SUMIFS('19.6'!$U20:$U37,'19.6'!$B20:$B37,'TỔNG XUẤT'!$B20)</f>
        <v>0</v>
      </c>
      <c r="X20" s="32">
        <f>SUMIFS('20.6'!$U20:$U37,'20.6'!$B20:$B37,'TỔNG XUẤT'!$B20)</f>
        <v>0</v>
      </c>
      <c r="Y20" s="32">
        <f>SUMIFS('21.6'!$U20:$U37,'21.6'!$B20:$B37,'TỔNG XUẤT'!$B20)</f>
        <v>0</v>
      </c>
      <c r="Z20" s="32">
        <f>SUMIFS('22.6'!$U20:$U37,'22.6'!$B20:$B37,'TỔNG XUẤT'!$B20)</f>
        <v>0</v>
      </c>
      <c r="AA20" s="32">
        <f>SUMIFS('23.6'!$U20:$U37,'23.6'!$B20:$B37,'TỔNG XUẤT'!$B20)</f>
        <v>0</v>
      </c>
      <c r="AB20" s="32">
        <f>SUMIFS('24.6'!$U20:$U37,'24.6'!$B20:$B37,'TỔNG XUẤT'!$B20)</f>
        <v>0</v>
      </c>
      <c r="AC20" s="32">
        <f>SUMIFS('25.6'!$U20:$U37,'25.6'!$B20:$B37,'TỔNG XUẤT'!$B20)</f>
        <v>0</v>
      </c>
      <c r="AD20" s="32">
        <f>SUMIFS('26.6'!$U20:$U37,'26.6'!$B20:$B37,'TỔNG XUẤT'!$B20)</f>
        <v>0</v>
      </c>
      <c r="AE20" s="32">
        <f>SUMIFS('27.6'!$U20:$U37,'27.6'!$B20:$B37,'TỔNG XUẤT'!$B20)</f>
        <v>0</v>
      </c>
      <c r="AF20" s="32">
        <f>SUMIFS('28.6'!$U20:$U37,'28.6'!$B20:$B37,'TỔNG XUẤT'!$B20)</f>
        <v>0</v>
      </c>
      <c r="AG20" s="32">
        <f>SUMIFS('29.6'!$U20:$U37,'29.6'!$B20:$B37,'TỔNG XUẤT'!$B20)</f>
        <v>0</v>
      </c>
      <c r="AH20" s="32">
        <f>SUMIFS('30.6'!$U20:$U37,'30.6'!$B20:$B37,'TỔNG XUẤT'!$B20)</f>
        <v>0</v>
      </c>
    </row>
    <row r="21" spans="1:34" ht="18.75">
      <c r="A21" s="6">
        <v>15</v>
      </c>
      <c r="B21" s="7" t="s">
        <v>26</v>
      </c>
      <c r="C21" s="8" t="s">
        <v>12</v>
      </c>
      <c r="D21" s="13">
        <f t="shared" si="1"/>
        <v>58.85</v>
      </c>
      <c r="E21" s="32">
        <f>SUMIFS('1.6'!$T21:$T38,'1.6'!$B21:$B38,'TỔNG XUẤT'!$B21)</f>
        <v>1</v>
      </c>
      <c r="F21" s="32">
        <f>SUMIFS('2.6'!$T21:$T38,'2.6'!$B21:$B38,'TỔNG XUẤT'!$B21)</f>
        <v>5</v>
      </c>
      <c r="G21" s="32">
        <f>SUMIFS('3.6'!$T21:$T38,'3.6'!$B21:$B38,'TỔNG XUẤT'!$B21)</f>
        <v>2</v>
      </c>
      <c r="H21" s="32">
        <f>SUMIFS('4.6'!$T21:$T38,'4.6'!$B21:$B38,'TỔNG XUẤT'!$B21)</f>
        <v>0</v>
      </c>
      <c r="I21" s="32">
        <f>SUMIFS('5.6'!$T21:$T38,'5.6'!$B21:$B38,'TỔNG XUẤT'!$B21)</f>
        <v>0</v>
      </c>
      <c r="J21" s="32">
        <f>SUMIFS('6.6'!$T21:$T38,'6.6'!$B21:$B38,'TỔNG XUẤT'!$B21)</f>
        <v>1</v>
      </c>
      <c r="K21" s="32">
        <f>SUMIFS('7.6'!$T21:$T38,'7.6'!$B21:$B38,'TỔNG XUẤT'!$B21)</f>
        <v>1</v>
      </c>
      <c r="L21" s="32">
        <f>SUMIFS('8.6'!$T21:$T38,'8.6'!$B21:$B38,'TỔNG XUẤT'!$B21)</f>
        <v>3</v>
      </c>
      <c r="M21" s="32">
        <f>SUMIFS('9.6'!$T21:$T38,'9.6'!$B21:$B38,'TỔNG XUẤT'!$B21)</f>
        <v>3.9</v>
      </c>
      <c r="N21" s="32">
        <f>SUMIFS('10.6'!$T21:$T38,'10.6'!$B21:$B38,'TỔNG XUẤT'!$B21)</f>
        <v>0</v>
      </c>
      <c r="O21" s="32">
        <f>SUMIFS('11.6'!$T21:$T38,'11.6'!$B21:$B38,'TỔNG XUẤT'!$B21)</f>
        <v>0</v>
      </c>
      <c r="P21" s="32">
        <f>SUMIFS('12.6'!$U21:$U38,'12.6'!$B21:$B38,'TỔNG XUẤT'!$B21)</f>
        <v>0</v>
      </c>
      <c r="Q21" s="32">
        <f>SUMIFS('13.6'!$U21:$U38,'13.6'!$B21:$B38,'TỔNG XUẤT'!$B21)</f>
        <v>4.5</v>
      </c>
      <c r="R21" s="32">
        <f>SUMIFS('14.6'!$U21:$U38,'14.6'!$B21:$B38,'TỔNG XUẤT'!$B21)</f>
        <v>1</v>
      </c>
      <c r="S21" s="32">
        <f>SUMIFS('15.6'!$U21:$U38,'15.6'!$B21:$B38,'TỔNG XUẤT'!$B21)</f>
        <v>1</v>
      </c>
      <c r="T21" s="32">
        <f>SUMIFS('16.6'!$U21:$U38,'16.6'!$B21:$B38,'TỔNG XUẤT'!$B21)</f>
        <v>1</v>
      </c>
      <c r="U21" s="32">
        <f>SUMIFS('17.6'!$U21:$U38,'17.6'!$B21:$B38,'TỔNG XUẤT'!$B21)</f>
        <v>0</v>
      </c>
      <c r="V21" s="32">
        <f>SUMIFS('18.6'!$U21:$U38,'18.6'!$B21:$B38,'TỔNG XUẤT'!$B21)</f>
        <v>0</v>
      </c>
      <c r="W21" s="32">
        <f>SUMIFS('19.6'!$U21:$U38,'19.6'!$B21:$B38,'TỔNG XUẤT'!$B21)</f>
        <v>1</v>
      </c>
      <c r="X21" s="32">
        <f>SUMIFS('20.6'!$U21:$U38,'20.6'!$B21:$B38,'TỔNG XUẤT'!$B21)</f>
        <v>5.5</v>
      </c>
      <c r="Y21" s="32">
        <f>SUMIFS('21.6'!$U21:$U38,'21.6'!$B21:$B38,'TỔNG XUẤT'!$B21)</f>
        <v>2.5</v>
      </c>
      <c r="Z21" s="32">
        <f>SUMIFS('22.6'!$U21:$U38,'22.6'!$B21:$B38,'TỔNG XUẤT'!$B21)</f>
        <v>1.5</v>
      </c>
      <c r="AA21" s="32">
        <f>SUMIFS('23.6'!$U21:$U38,'23.6'!$B21:$B38,'TỔNG XUẤT'!$B21)</f>
        <v>1</v>
      </c>
      <c r="AB21" s="32">
        <f>SUMIFS('24.6'!$U21:$U38,'24.6'!$B21:$B38,'TỔNG XUẤT'!$B21)</f>
        <v>0</v>
      </c>
      <c r="AC21" s="32">
        <f>SUMIFS('25.6'!$U21:$U38,'25.6'!$B21:$B38,'TỔNG XUẤT'!$B21)</f>
        <v>0</v>
      </c>
      <c r="AD21" s="32">
        <f>SUMIFS('26.6'!$U21:$U38,'26.6'!$B21:$B38,'TỔNG XUẤT'!$B21)</f>
        <v>7</v>
      </c>
      <c r="AE21" s="32">
        <f>SUMIFS('27.6'!$U21:$U38,'27.6'!$B21:$B38,'TỔNG XUẤT'!$B21)</f>
        <v>0</v>
      </c>
      <c r="AF21" s="32">
        <f>SUMIFS('28.6'!$U21:$U38,'28.6'!$B21:$B38,'TỔNG XUẤT'!$B21)</f>
        <v>3</v>
      </c>
      <c r="AG21" s="32">
        <f>SUMIFS('29.6'!$U21:$U38,'29.6'!$B21:$B38,'TỔNG XUẤT'!$B21)</f>
        <v>7</v>
      </c>
      <c r="AH21" s="32">
        <f>SUMIFS('30.6'!$U21:$U38,'30.6'!$B21:$B38,'TỔNG XUẤT'!$B21)</f>
        <v>5.95</v>
      </c>
    </row>
    <row r="22" spans="1:34" ht="18.75">
      <c r="A22" s="6">
        <v>16</v>
      </c>
      <c r="B22" s="7" t="s">
        <v>27</v>
      </c>
      <c r="C22" s="8" t="s">
        <v>12</v>
      </c>
      <c r="D22" s="13">
        <f t="shared" si="1"/>
        <v>2</v>
      </c>
      <c r="E22" s="32">
        <f>SUMIFS('1.6'!$T22:$T39,'1.6'!$B22:$B39,'TỔNG XUẤT'!$B22)</f>
        <v>0</v>
      </c>
      <c r="F22" s="32">
        <f>SUMIFS('2.6'!$T22:$T39,'2.6'!$B22:$B39,'TỔNG XUẤT'!$B22)</f>
        <v>0</v>
      </c>
      <c r="G22" s="32">
        <f>SUMIFS('3.6'!$T22:$T39,'3.6'!$B22:$B39,'TỔNG XUẤT'!$B22)</f>
        <v>0</v>
      </c>
      <c r="H22" s="32">
        <f>SUMIFS('4.6'!$T22:$T39,'4.6'!$B22:$B39,'TỔNG XUẤT'!$B22)</f>
        <v>0</v>
      </c>
      <c r="I22" s="32">
        <f>SUMIFS('5.6'!$T22:$T39,'5.6'!$B22:$B39,'TỔNG XUẤT'!$B22)</f>
        <v>0</v>
      </c>
      <c r="J22" s="32">
        <f>SUMIFS('6.6'!$T22:$T39,'6.6'!$B22:$B39,'TỔNG XUẤT'!$B22)</f>
        <v>0</v>
      </c>
      <c r="K22" s="32">
        <f>SUMIFS('7.6'!$T22:$T39,'7.6'!$B22:$B39,'TỔNG XUẤT'!$B22)</f>
        <v>0</v>
      </c>
      <c r="L22" s="32">
        <f>SUMIFS('8.6'!$T22:$T39,'8.6'!$B22:$B39,'TỔNG XUẤT'!$B22)</f>
        <v>0</v>
      </c>
      <c r="M22" s="32">
        <f>SUMIFS('9.6'!$T22:$T39,'9.6'!$B22:$B39,'TỔNG XUẤT'!$B22)</f>
        <v>2</v>
      </c>
      <c r="N22" s="32">
        <f>SUMIFS('10.6'!$T22:$T39,'10.6'!$B22:$B39,'TỔNG XUẤT'!$B22)</f>
        <v>0</v>
      </c>
      <c r="O22" s="32">
        <f>SUMIFS('11.6'!$T22:$T39,'11.6'!$B22:$B39,'TỔNG XUẤT'!$B22)</f>
        <v>0</v>
      </c>
      <c r="P22" s="32">
        <f>SUMIFS('12.6'!$U22:$U39,'12.6'!$B22:$B39,'TỔNG XUẤT'!$B22)</f>
        <v>0</v>
      </c>
      <c r="Q22" s="32">
        <f>SUMIFS('13.6'!$U22:$U39,'13.6'!$B22:$B39,'TỔNG XUẤT'!$B22)</f>
        <v>0</v>
      </c>
      <c r="R22" s="32">
        <f>SUMIFS('14.6'!$U22:$U39,'14.6'!$B22:$B39,'TỔNG XUẤT'!$B22)</f>
        <v>0</v>
      </c>
      <c r="S22" s="32">
        <f>SUMIFS('15.6'!$U22:$U39,'15.6'!$B22:$B39,'TỔNG XUẤT'!$B22)</f>
        <v>0</v>
      </c>
      <c r="T22" s="32">
        <f>SUMIFS('16.6'!$U22:$U39,'16.6'!$B22:$B39,'TỔNG XUẤT'!$B22)</f>
        <v>0</v>
      </c>
      <c r="U22" s="32">
        <f>SUMIFS('17.6'!$U22:$U39,'17.6'!$B22:$B39,'TỔNG XUẤT'!$B22)</f>
        <v>0</v>
      </c>
      <c r="V22" s="32">
        <f>SUMIFS('18.6'!$U22:$U39,'18.6'!$B22:$B39,'TỔNG XUẤT'!$B22)</f>
        <v>0</v>
      </c>
      <c r="W22" s="32">
        <f>SUMIFS('19.6'!$U22:$U39,'19.6'!$B22:$B39,'TỔNG XUẤT'!$B22)</f>
        <v>0</v>
      </c>
      <c r="X22" s="32">
        <f>SUMIFS('20.6'!$U22:$U39,'20.6'!$B22:$B39,'TỔNG XUẤT'!$B22)</f>
        <v>0</v>
      </c>
      <c r="Y22" s="32">
        <f>SUMIFS('21.6'!$U22:$U39,'21.6'!$B22:$B39,'TỔNG XUẤT'!$B22)</f>
        <v>0</v>
      </c>
      <c r="Z22" s="32">
        <f>SUMIFS('22.6'!$U22:$U39,'22.6'!$B22:$B39,'TỔNG XUẤT'!$B22)</f>
        <v>0</v>
      </c>
      <c r="AA22" s="32">
        <f>SUMIFS('23.6'!$U22:$U39,'23.6'!$B22:$B39,'TỔNG XUẤT'!$B22)</f>
        <v>0</v>
      </c>
      <c r="AB22" s="32">
        <f>SUMIFS('24.6'!$U22:$U39,'24.6'!$B22:$B39,'TỔNG XUẤT'!$B22)</f>
        <v>0</v>
      </c>
      <c r="AC22" s="32">
        <f>SUMIFS('25.6'!$U22:$U39,'25.6'!$B22:$B39,'TỔNG XUẤT'!$B22)</f>
        <v>0</v>
      </c>
      <c r="AD22" s="32">
        <f>SUMIFS('26.6'!$U22:$U39,'26.6'!$B22:$B39,'TỔNG XUẤT'!$B22)</f>
        <v>0</v>
      </c>
      <c r="AE22" s="32">
        <f>SUMIFS('27.6'!$U22:$U39,'27.6'!$B22:$B39,'TỔNG XUẤT'!$B22)</f>
        <v>0</v>
      </c>
      <c r="AF22" s="32">
        <f>SUMIFS('28.6'!$U22:$U39,'28.6'!$B22:$B39,'TỔNG XUẤT'!$B22)</f>
        <v>0</v>
      </c>
      <c r="AG22" s="32">
        <f>SUMIFS('29.6'!$U22:$U39,'29.6'!$B22:$B39,'TỔNG XUẤT'!$B22)</f>
        <v>0</v>
      </c>
      <c r="AH22" s="32">
        <f>SUMIFS('30.6'!$U22:$U39,'30.6'!$B22:$B39,'TỔNG XUẤT'!$B22)</f>
        <v>0</v>
      </c>
    </row>
    <row r="23" spans="1:34" ht="18.75">
      <c r="A23" s="6">
        <v>17</v>
      </c>
      <c r="B23" s="7" t="s">
        <v>73</v>
      </c>
      <c r="C23" s="8" t="s">
        <v>12</v>
      </c>
      <c r="D23" s="13">
        <f t="shared" si="1"/>
        <v>0</v>
      </c>
      <c r="E23" s="32">
        <f>SUMIFS('1.6'!$T23:$T40,'1.6'!$B23:$B40,'TỔNG XUẤT'!$B23)</f>
        <v>0</v>
      </c>
      <c r="F23" s="32">
        <f>SUMIFS('2.6'!$T23:$T40,'2.6'!$B23:$B40,'TỔNG XUẤT'!$B23)</f>
        <v>0</v>
      </c>
      <c r="G23" s="32">
        <f>SUMIFS('3.6'!$T23:$T40,'3.6'!$B23:$B40,'TỔNG XUẤT'!$B23)</f>
        <v>0</v>
      </c>
      <c r="H23" s="32">
        <f>SUMIFS('4.6'!$T23:$T40,'4.6'!$B23:$B40,'TỔNG XUẤT'!$B23)</f>
        <v>0</v>
      </c>
      <c r="I23" s="32">
        <f>SUMIFS('5.6'!$T23:$T40,'5.6'!$B23:$B40,'TỔNG XUẤT'!$B23)</f>
        <v>0</v>
      </c>
      <c r="J23" s="32">
        <f>SUMIFS('6.6'!$T23:$T40,'6.6'!$B23:$B40,'TỔNG XUẤT'!$B23)</f>
        <v>0</v>
      </c>
      <c r="K23" s="32">
        <f>SUMIFS('7.6'!$T23:$T40,'7.6'!$B23:$B40,'TỔNG XUẤT'!$B23)</f>
        <v>0</v>
      </c>
      <c r="L23" s="32">
        <f>SUMIFS('8.6'!$T23:$T40,'8.6'!$B23:$B40,'TỔNG XUẤT'!$B23)</f>
        <v>0</v>
      </c>
      <c r="M23" s="32">
        <f>SUMIFS('9.6'!$T23:$T40,'9.6'!$B23:$B40,'TỔNG XUẤT'!$B23)</f>
        <v>0</v>
      </c>
      <c r="N23" s="32">
        <f>SUMIFS('10.6'!$T23:$T40,'10.6'!$B23:$B40,'TỔNG XUẤT'!$B23)</f>
        <v>0</v>
      </c>
      <c r="O23" s="32">
        <f>SUMIFS('11.6'!$T23:$T40,'11.6'!$B23:$B40,'TỔNG XUẤT'!$B23)</f>
        <v>0</v>
      </c>
      <c r="P23" s="32">
        <f>SUMIFS('12.6'!$U23:$U40,'12.6'!$B23:$B40,'TỔNG XUẤT'!$B23)</f>
        <v>0</v>
      </c>
      <c r="Q23" s="32">
        <f>SUMIFS('13.6'!$U23:$U40,'13.6'!$B23:$B40,'TỔNG XUẤT'!$B23)</f>
        <v>0</v>
      </c>
      <c r="R23" s="32">
        <f>SUMIFS('14.6'!$U23:$U40,'14.6'!$B23:$B40,'TỔNG XUẤT'!$B23)</f>
        <v>0</v>
      </c>
      <c r="S23" s="32">
        <f>SUMIFS('15.6'!$U23:$U40,'15.6'!$B23:$B40,'TỔNG XUẤT'!$B23)</f>
        <v>0</v>
      </c>
      <c r="T23" s="32">
        <f>SUMIFS('16.6'!$U23:$U40,'16.6'!$B23:$B40,'TỔNG XUẤT'!$B23)</f>
        <v>0</v>
      </c>
      <c r="U23" s="32">
        <f>SUMIFS('17.6'!$U23:$U40,'17.6'!$B23:$B40,'TỔNG XUẤT'!$B23)</f>
        <v>0</v>
      </c>
      <c r="V23" s="32">
        <f>SUMIFS('18.6'!$U23:$U40,'18.6'!$B23:$B40,'TỔNG XUẤT'!$B23)</f>
        <v>0</v>
      </c>
      <c r="W23" s="32">
        <f>SUMIFS('19.6'!$U23:$U40,'19.6'!$B23:$B40,'TỔNG XUẤT'!$B23)</f>
        <v>0</v>
      </c>
      <c r="X23" s="32">
        <f>SUMIFS('20.6'!$U23:$U40,'20.6'!$B23:$B40,'TỔNG XUẤT'!$B23)</f>
        <v>0</v>
      </c>
      <c r="Y23" s="32">
        <f>SUMIFS('21.6'!$U23:$U40,'21.6'!$B23:$B40,'TỔNG XUẤT'!$B23)</f>
        <v>0</v>
      </c>
      <c r="Z23" s="32">
        <f>SUMIFS('22.6'!$U23:$U40,'22.6'!$B23:$B40,'TỔNG XUẤT'!$B23)</f>
        <v>0</v>
      </c>
      <c r="AA23" s="32">
        <f>SUMIFS('23.6'!$U23:$U40,'23.6'!$B23:$B40,'TỔNG XUẤT'!$B23)</f>
        <v>0</v>
      </c>
      <c r="AB23" s="32">
        <f>SUMIFS('24.6'!$U23:$U40,'24.6'!$B23:$B40,'TỔNG XUẤT'!$B23)</f>
        <v>0</v>
      </c>
      <c r="AC23" s="32">
        <f>SUMIFS('25.6'!$U23:$U40,'25.6'!$B23:$B40,'TỔNG XUẤT'!$B23)</f>
        <v>0</v>
      </c>
      <c r="AD23" s="32">
        <f>SUMIFS('26.6'!$U23:$U40,'26.6'!$B23:$B40,'TỔNG XUẤT'!$B23)</f>
        <v>0</v>
      </c>
      <c r="AE23" s="32">
        <f>SUMIFS('27.6'!$U23:$U40,'27.6'!$B23:$B40,'TỔNG XUẤT'!$B23)</f>
        <v>0</v>
      </c>
      <c r="AF23" s="32">
        <f>SUMIFS('28.6'!$U23:$U40,'28.6'!$B23:$B40,'TỔNG XUẤT'!$B23)</f>
        <v>0</v>
      </c>
      <c r="AG23" s="32">
        <f>SUMIFS('29.6'!$U23:$U40,'29.6'!$B23:$B40,'TỔNG XUẤT'!$B23)</f>
        <v>0</v>
      </c>
      <c r="AH23" s="32">
        <f>SUMIFS('30.6'!$U23:$U40,'30.6'!$B23:$B40,'TỔNG XUẤT'!$B23)</f>
        <v>0</v>
      </c>
    </row>
    <row r="24" spans="1:34" ht="18.75">
      <c r="A24" s="6">
        <v>18</v>
      </c>
      <c r="B24" s="7" t="s">
        <v>74</v>
      </c>
      <c r="C24" s="8" t="s">
        <v>12</v>
      </c>
      <c r="D24" s="13">
        <f t="shared" si="1"/>
        <v>1242.5</v>
      </c>
      <c r="E24" s="32">
        <f>SUMIFS('1.6'!$T24:$T41,'1.6'!$B24:$B41,'TỔNG XUẤT'!$B24)</f>
        <v>43.5</v>
      </c>
      <c r="F24" s="32">
        <f>SUMIFS('2.6'!$T24:$T41,'2.6'!$B24:$B41,'TỔNG XUẤT'!$B24)</f>
        <v>47.5</v>
      </c>
      <c r="G24" s="32">
        <f>SUMIFS('3.6'!$T24:$T41,'3.6'!$B24:$B41,'TỔNG XUẤT'!$B24)</f>
        <v>57</v>
      </c>
      <c r="H24" s="32">
        <f>SUMIFS('4.6'!$T24:$T41,'4.6'!$B24:$B41,'TỔNG XUẤT'!$B24)</f>
        <v>40</v>
      </c>
      <c r="I24" s="32">
        <f>SUMIFS('5.6'!$T24:$T41,'5.6'!$B24:$B41,'TỔNG XUẤT'!$B24)</f>
        <v>32.5</v>
      </c>
      <c r="J24" s="32">
        <f>SUMIFS('6.6'!$T24:$T41,'6.6'!$B24:$B41,'TỔNG XUẤT'!$B24)</f>
        <v>43.5</v>
      </c>
      <c r="K24" s="32">
        <f>SUMIFS('7.6'!$T24:$T41,'7.6'!$B24:$B41,'TỔNG XUẤT'!$B24)</f>
        <v>43.5</v>
      </c>
      <c r="L24" s="32">
        <f>SUMIFS('8.6'!$T24:$T41,'8.6'!$B24:$B41,'TỔNG XUẤT'!$B24)</f>
        <v>51.5</v>
      </c>
      <c r="M24" s="32">
        <f>SUMIFS('9.6'!$T24:$T41,'9.6'!$B24:$B41,'TỔNG XUẤT'!$B24)</f>
        <v>33.5</v>
      </c>
      <c r="N24" s="32">
        <f>SUMIFS('10.6'!$T24:$T41,'10.6'!$B24:$B41,'TỔNG XUẤT'!$B24)</f>
        <v>70.5</v>
      </c>
      <c r="O24" s="32">
        <f>SUMIFS('11.6'!$T24:$T41,'11.6'!$B24:$B41,'TỔNG XUẤT'!$B24)</f>
        <v>50.5</v>
      </c>
      <c r="P24" s="32">
        <f>SUMIFS('12.6'!$U24:$U41,'12.6'!$B24:$B41,'TỔNG XUẤT'!$B24)</f>
        <v>35.5</v>
      </c>
      <c r="Q24" s="32">
        <f>SUMIFS('13.6'!$U24:$U41,'13.6'!$B24:$B41,'TỔNG XUẤT'!$B24)</f>
        <v>36</v>
      </c>
      <c r="R24" s="32">
        <f>SUMIFS('14.6'!$U24:$U41,'14.6'!$B24:$B41,'TỔNG XUẤT'!$B24)</f>
        <v>30</v>
      </c>
      <c r="S24" s="32">
        <f>SUMIFS('15.6'!$U24:$U41,'15.6'!$B24:$B41,'TỔNG XUẤT'!$B24)</f>
        <v>39.5</v>
      </c>
      <c r="T24" s="32">
        <f>SUMIFS('16.6'!$U24:$U41,'16.6'!$B24:$B41,'TỔNG XUẤT'!$B24)</f>
        <v>25.5</v>
      </c>
      <c r="U24" s="32">
        <f>SUMIFS('17.6'!$U24:$U41,'17.6'!$B24:$B41,'TỔNG XUẤT'!$B24)</f>
        <v>66.5</v>
      </c>
      <c r="V24" s="32">
        <f>SUMIFS('18.6'!$U24:$U41,'18.6'!$B24:$B41,'TỔNG XUẤT'!$B24)</f>
        <v>40.5</v>
      </c>
      <c r="W24" s="32">
        <f>SUMIFS('19.6'!$U24:$U41,'19.6'!$B24:$B41,'TỔNG XUẤT'!$B24)</f>
        <v>32.5</v>
      </c>
      <c r="X24" s="32">
        <f>SUMIFS('20.6'!$U24:$U41,'20.6'!$B24:$B41,'TỔNG XUẤT'!$B24)</f>
        <v>31.5</v>
      </c>
      <c r="Y24" s="32">
        <f>SUMIFS('21.6'!$U24:$U41,'21.6'!$B24:$B41,'TỔNG XUẤT'!$B24)</f>
        <v>37.5</v>
      </c>
      <c r="Z24" s="32">
        <f>SUMIFS('22.6'!$U24:$U41,'22.6'!$B24:$B41,'TỔNG XUẤT'!$B24)</f>
        <v>43.5</v>
      </c>
      <c r="AA24" s="32">
        <f>SUMIFS('23.6'!$U24:$U41,'23.6'!$B24:$B41,'TỔNG XUẤT'!$B24)</f>
        <v>46.5</v>
      </c>
      <c r="AB24" s="32">
        <f>SUMIFS('24.6'!$U24:$U41,'24.6'!$B24:$B41,'TỔNG XUẤT'!$B24)</f>
        <v>32.5</v>
      </c>
      <c r="AC24" s="32">
        <f>SUMIFS('25.6'!$U24:$U41,'25.6'!$B24:$B41,'TỔNG XUẤT'!$B24)</f>
        <v>37.5</v>
      </c>
      <c r="AD24" s="32">
        <f>SUMIFS('26.6'!$U24:$U41,'26.6'!$B24:$B41,'TỔNG XUẤT'!$B24)</f>
        <v>33.5</v>
      </c>
      <c r="AE24" s="32">
        <f>SUMIFS('27.6'!$U24:$U41,'27.6'!$B24:$B41,'TỔNG XUẤT'!$B24)</f>
        <v>41.5</v>
      </c>
      <c r="AF24" s="32">
        <f>SUMIFS('28.6'!$U24:$U41,'28.6'!$B24:$B41,'TỔNG XUẤT'!$B24)</f>
        <v>27</v>
      </c>
      <c r="AG24" s="32">
        <f>SUMIFS('29.6'!$U24:$U41,'29.6'!$B24:$B41,'TỔNG XUẤT'!$B24)</f>
        <v>32.5</v>
      </c>
      <c r="AH24" s="32">
        <f>SUMIFS('30.6'!$U24:$U41,'30.6'!$B24:$B41,'TỔNG XUẤT'!$B24)</f>
        <v>59.5</v>
      </c>
    </row>
    <row r="25" spans="1:34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29" t="e">
        <f>SUMIFS(#REF!,#REF!,'TỔNG XUẤT'!$B25)</f>
        <v>#REF!</v>
      </c>
      <c r="F25" s="29" t="e">
        <f>SUMIFS(#REF!,#REF!,'TỔNG XUẤT'!$B25)</f>
        <v>#REF!</v>
      </c>
      <c r="G25" s="29" t="e">
        <f>SUMIFS(#REF!,#REF!,'TỔNG XUẤT'!$B25)</f>
        <v>#REF!</v>
      </c>
      <c r="H25" s="29" t="e">
        <f>SUMIFS(#REF!,#REF!,'TỔNG XUẤT'!$B25)</f>
        <v>#REF!</v>
      </c>
      <c r="I25" s="29" t="e">
        <f>SUMIFS(#REF!,#REF!,'TỔNG XUẤT'!$B25)</f>
        <v>#REF!</v>
      </c>
      <c r="J25" s="29" t="e">
        <f>SUMIFS(#REF!,#REF!,'TỔNG XUẤT'!$B25)</f>
        <v>#REF!</v>
      </c>
      <c r="K25" s="29" t="e">
        <f>SUMIFS(#REF!,#REF!,'TỔNG XUẤT'!$B25)</f>
        <v>#REF!</v>
      </c>
      <c r="L25" s="29" t="e">
        <f>SUMIFS(#REF!,#REF!,'TỔNG XUẤT'!$B25)</f>
        <v>#REF!</v>
      </c>
      <c r="M25" s="29" t="e">
        <f>SUMIFS(#REF!,#REF!,'TỔNG XUẤT'!$B25)</f>
        <v>#REF!</v>
      </c>
      <c r="N25" s="29" t="e">
        <f>SUMIFS(#REF!,#REF!,'TỔNG XUẤT'!$B25)</f>
        <v>#REF!</v>
      </c>
      <c r="O25" s="29" t="e">
        <f>SUMIFS(#REF!,#REF!,'TỔNG XUẤT'!$B25)</f>
        <v>#REF!</v>
      </c>
      <c r="P25" s="29" t="e">
        <f>SUMIFS(#REF!,#REF!,'TỔNG XUẤT'!$B25)</f>
        <v>#REF!</v>
      </c>
      <c r="Q25" s="29" t="e">
        <f>SUMIFS(#REF!,#REF!,'TỔNG XUẤT'!$B25)</f>
        <v>#REF!</v>
      </c>
      <c r="R25" s="29" t="e">
        <f>SUMIFS(#REF!,#REF!,'TỔNG XUẤT'!$B25)</f>
        <v>#REF!</v>
      </c>
      <c r="S25" s="29" t="e">
        <f>SUMIFS(#REF!,#REF!,'TỔNG XUẤT'!$B25)</f>
        <v>#REF!</v>
      </c>
      <c r="T25" s="29" t="e">
        <f>SUMIFS(#REF!,#REF!,'TỔNG XUẤT'!$B25)</f>
        <v>#REF!</v>
      </c>
      <c r="U25" s="29" t="e">
        <f>SUMIFS(#REF!,#REF!,'TỔNG XUẤT'!$B25)</f>
        <v>#REF!</v>
      </c>
      <c r="V25" s="29" t="e">
        <f>SUMIFS(#REF!,#REF!,'TỔNG XUẤT'!$B25)</f>
        <v>#REF!</v>
      </c>
      <c r="W25" s="29" t="e">
        <f>SUMIFS(#REF!,#REF!,'TỔNG XUẤT'!$B25)</f>
        <v>#REF!</v>
      </c>
      <c r="X25" s="29" t="e">
        <f>SUMIFS(#REF!,#REF!,'TỔNG XUẤT'!$B25)</f>
        <v>#REF!</v>
      </c>
      <c r="Y25" s="29" t="e">
        <f>SUMIFS(#REF!,#REF!,'TỔNG XUẤT'!$B25)</f>
        <v>#REF!</v>
      </c>
      <c r="Z25" s="29" t="e">
        <f>SUMIFS(#REF!,#REF!,'TỔNG XUẤT'!$B25)</f>
        <v>#REF!</v>
      </c>
      <c r="AA25" s="29" t="e">
        <f>SUMIFS(#REF!,#REF!,'TỔNG XUẤT'!$B25)</f>
        <v>#REF!</v>
      </c>
      <c r="AB25" s="29" t="e">
        <f>SUMIFS(#REF!,#REF!,'TỔNG XUẤT'!$B25)</f>
        <v>#REF!</v>
      </c>
      <c r="AC25" s="29" t="e">
        <f>SUMIFS(#REF!,#REF!,'TỔNG XUẤT'!$B25)</f>
        <v>#REF!</v>
      </c>
      <c r="AD25" s="29" t="e">
        <f>SUMIFS(#REF!,#REF!,'TỔNG XUẤT'!$B25)</f>
        <v>#REF!</v>
      </c>
      <c r="AE25" s="29" t="e">
        <f>SUMIFS(#REF!,#REF!,'TỔNG XUẤT'!$B25)</f>
        <v>#REF!</v>
      </c>
      <c r="AF25" s="29" t="e">
        <f>SUMIFS(#REF!,#REF!,'TỔNG XUẤT'!$B25)</f>
        <v>#REF!</v>
      </c>
      <c r="AG25" s="29" t="e">
        <f>SUMIFS(#REF!,#REF!,'TỔNG XUẤT'!$B25)</f>
        <v>#REF!</v>
      </c>
      <c r="AH25" s="29" t="e">
        <f>SUMIFS(#REF!,#REF!,'TỔNG XUẤT'!$B25)</f>
        <v>#REF!</v>
      </c>
    </row>
    <row r="26" spans="1:34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29" t="e">
        <f>SUMIFS(#REF!,#REF!,'TỔNG XUẤT'!$B26)</f>
        <v>#REF!</v>
      </c>
      <c r="F26" s="29" t="e">
        <f>SUMIFS(#REF!,#REF!,'TỔNG XUẤT'!$B26)</f>
        <v>#REF!</v>
      </c>
      <c r="G26" s="29" t="e">
        <f>SUMIFS(#REF!,#REF!,'TỔNG XUẤT'!$B26)</f>
        <v>#REF!</v>
      </c>
      <c r="H26" s="29" t="e">
        <f>SUMIFS(#REF!,#REF!,'TỔNG XUẤT'!$B26)</f>
        <v>#REF!</v>
      </c>
      <c r="I26" s="29" t="e">
        <f>SUMIFS(#REF!,#REF!,'TỔNG XUẤT'!$B26)</f>
        <v>#REF!</v>
      </c>
      <c r="J26" s="29" t="e">
        <f>SUMIFS(#REF!,#REF!,'TỔNG XUẤT'!$B26)</f>
        <v>#REF!</v>
      </c>
      <c r="K26" s="29" t="e">
        <f>SUMIFS(#REF!,#REF!,'TỔNG XUẤT'!$B26)</f>
        <v>#REF!</v>
      </c>
      <c r="L26" s="29" t="e">
        <f>SUMIFS(#REF!,#REF!,'TỔNG XUẤT'!$B26)</f>
        <v>#REF!</v>
      </c>
      <c r="M26" s="29" t="e">
        <f>SUMIFS(#REF!,#REF!,'TỔNG XUẤT'!$B26)</f>
        <v>#REF!</v>
      </c>
      <c r="N26" s="29" t="e">
        <f>SUMIFS(#REF!,#REF!,'TỔNG XUẤT'!$B26)</f>
        <v>#REF!</v>
      </c>
      <c r="O26" s="29" t="e">
        <f>SUMIFS(#REF!,#REF!,'TỔNG XUẤT'!$B26)</f>
        <v>#REF!</v>
      </c>
      <c r="P26" s="29" t="e">
        <f>SUMIFS(#REF!,#REF!,'TỔNG XUẤT'!$B26)</f>
        <v>#REF!</v>
      </c>
      <c r="Q26" s="29" t="e">
        <f>SUMIFS(#REF!,#REF!,'TỔNG XUẤT'!$B26)</f>
        <v>#REF!</v>
      </c>
      <c r="R26" s="29" t="e">
        <f>SUMIFS(#REF!,#REF!,'TỔNG XUẤT'!$B26)</f>
        <v>#REF!</v>
      </c>
      <c r="S26" s="29" t="e">
        <f>SUMIFS(#REF!,#REF!,'TỔNG XUẤT'!$B26)</f>
        <v>#REF!</v>
      </c>
      <c r="T26" s="29" t="e">
        <f>SUMIFS(#REF!,#REF!,'TỔNG XUẤT'!$B26)</f>
        <v>#REF!</v>
      </c>
      <c r="U26" s="29" t="e">
        <f>SUMIFS(#REF!,#REF!,'TỔNG XUẤT'!$B26)</f>
        <v>#REF!</v>
      </c>
      <c r="V26" s="29" t="e">
        <f>SUMIFS(#REF!,#REF!,'TỔNG XUẤT'!$B26)</f>
        <v>#REF!</v>
      </c>
      <c r="W26" s="29" t="e">
        <f>SUMIFS(#REF!,#REF!,'TỔNG XUẤT'!$B26)</f>
        <v>#REF!</v>
      </c>
      <c r="X26" s="29" t="e">
        <f>SUMIFS(#REF!,#REF!,'TỔNG XUẤT'!$B26)</f>
        <v>#REF!</v>
      </c>
      <c r="Y26" s="29" t="e">
        <f>SUMIFS(#REF!,#REF!,'TỔNG XUẤT'!$B26)</f>
        <v>#REF!</v>
      </c>
      <c r="Z26" s="29" t="e">
        <f>SUMIFS(#REF!,#REF!,'TỔNG XUẤT'!$B26)</f>
        <v>#REF!</v>
      </c>
      <c r="AA26" s="29" t="e">
        <f>SUMIFS(#REF!,#REF!,'TỔNG XUẤT'!$B26)</f>
        <v>#REF!</v>
      </c>
      <c r="AB26" s="29" t="e">
        <f>SUMIFS(#REF!,#REF!,'TỔNG XUẤT'!$B26)</f>
        <v>#REF!</v>
      </c>
      <c r="AC26" s="29" t="e">
        <f>SUMIFS(#REF!,#REF!,'TỔNG XUẤT'!$B26)</f>
        <v>#REF!</v>
      </c>
      <c r="AD26" s="29" t="e">
        <f>SUMIFS(#REF!,#REF!,'TỔNG XUẤT'!$B26)</f>
        <v>#REF!</v>
      </c>
      <c r="AE26" s="29" t="e">
        <f>SUMIFS(#REF!,#REF!,'TỔNG XUẤT'!$B26)</f>
        <v>#REF!</v>
      </c>
      <c r="AF26" s="29" t="e">
        <f>SUMIFS(#REF!,#REF!,'TỔNG XUẤT'!$B26)</f>
        <v>#REF!</v>
      </c>
      <c r="AG26" s="29" t="e">
        <f>SUMIFS(#REF!,#REF!,'TỔNG XUẤT'!$B26)</f>
        <v>#REF!</v>
      </c>
      <c r="AH26" s="29" t="e">
        <f>SUMIFS(#REF!,#REF!,'TỔNG XUẤT'!$B26)</f>
        <v>#REF!</v>
      </c>
    </row>
    <row r="27" spans="1:34" ht="18.75">
      <c r="A27" s="6"/>
      <c r="B27" s="7" t="s">
        <v>31</v>
      </c>
      <c r="C27" s="6"/>
      <c r="D27" s="13">
        <f>SUM(D7:D24)</f>
        <v>2852.25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E5:AH5"/>
  </mergeCells>
  <pageMargins left="0.7" right="0.7" top="0.75" bottom="0.75" header="0.3" footer="0.3"/>
  <pageSetup orientation="portrait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DATE(2015,4,27)</f>
        <v>42121</v>
      </c>
      <c r="E4" s="36">
        <f>D4+1</f>
        <v>42122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VLOOKUP($B7,'2704'!$B7:$N26,12,0)</f>
        <v>22</v>
      </c>
      <c r="E7" s="10">
        <v>70</v>
      </c>
      <c r="F7" s="10">
        <v>10</v>
      </c>
      <c r="G7" s="10">
        <v>14</v>
      </c>
      <c r="H7" s="11"/>
      <c r="I7" s="10"/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VLOOKUP($B9,'2704'!$B9:$N28,12,0)</f>
        <v>13.5</v>
      </c>
      <c r="E9" s="10"/>
      <c r="F9" s="11"/>
      <c r="G9" s="10">
        <v>3.5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VLOOKUP($B10,'2704'!$B10:$N29,12,0)</f>
        <v>13</v>
      </c>
      <c r="F10" s="11"/>
      <c r="G10" s="10">
        <v>3</v>
      </c>
      <c r="H10" s="10"/>
      <c r="I10" s="11"/>
      <c r="J10" s="10"/>
      <c r="K10" s="10"/>
      <c r="L10" s="14">
        <f t="shared" si="1"/>
        <v>10</v>
      </c>
      <c r="M10" s="10">
        <v>10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VLOOKUP($B11,'2704'!$B11:$N30,12,0)</f>
        <v>7.6</v>
      </c>
      <c r="E11" s="10">
        <v>23.3</v>
      </c>
      <c r="F11" s="11"/>
      <c r="G11" s="10">
        <v>7</v>
      </c>
      <c r="H11" s="10"/>
      <c r="I11" s="11"/>
      <c r="J11" s="10"/>
      <c r="K11" s="10"/>
      <c r="L11" s="14">
        <f t="shared" si="1"/>
        <v>23.9</v>
      </c>
      <c r="M11" s="10">
        <v>23.9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VLOOKUP($B12,'2704'!$B12:$N31,12,0)</f>
        <v>8.8000000000000007</v>
      </c>
      <c r="E12" s="10">
        <v>12.1</v>
      </c>
      <c r="F12" s="11"/>
      <c r="G12" s="10">
        <v>1.5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VLOOKUP($B13,'2704'!$B13:$N32,12,0)</f>
        <v>1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VLOOKUP($B14,'2704'!$B14:$N33,12,0)</f>
        <v>5.5</v>
      </c>
      <c r="E14" s="10">
        <v>8.25</v>
      </c>
      <c r="F14" s="11">
        <v>1</v>
      </c>
      <c r="G14" s="10">
        <v>3</v>
      </c>
      <c r="H14" s="10"/>
      <c r="I14" s="11"/>
      <c r="J14" s="10"/>
      <c r="K14" s="10"/>
      <c r="L14" s="14">
        <f t="shared" si="1"/>
        <v>9.75</v>
      </c>
      <c r="M14" s="10">
        <v>9.75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VLOOKUP($B15,'2704'!$B15:$N34,12,0)</f>
        <v>5</v>
      </c>
      <c r="E15" s="10"/>
      <c r="F15" s="11"/>
      <c r="G15" s="10"/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VLOOKUP($B16,'2704'!$B16:$N35,12,0)</f>
        <v>18.2</v>
      </c>
      <c r="E16" s="10"/>
      <c r="F16" s="11"/>
      <c r="G16" s="10">
        <v>7</v>
      </c>
      <c r="H16" s="10"/>
      <c r="I16" s="10"/>
      <c r="J16" s="10"/>
      <c r="K16" s="10"/>
      <c r="L16" s="14">
        <f t="shared" si="1"/>
        <v>11.2</v>
      </c>
      <c r="M16" s="10">
        <v>11.2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VLOOKUP($B18,'2704'!$B18:$N37,12,0)</f>
        <v>6.06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3.9599999999999995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VLOOKUP($B20,'2704'!$B20:$N39,12,0)</f>
        <v>6.35</v>
      </c>
      <c r="E20" s="12"/>
      <c r="F20" s="12">
        <v>1.5</v>
      </c>
      <c r="G20" s="12"/>
      <c r="H20" s="11"/>
      <c r="I20" s="12"/>
      <c r="J20" s="12"/>
      <c r="K20" s="12"/>
      <c r="L20" s="14">
        <f t="shared" si="1"/>
        <v>4.8499999999999996</v>
      </c>
      <c r="M20" s="12">
        <v>4.8499999999999996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VLOOKUP($B21,'2704'!$B21:$N40,12,0)</f>
        <v>7.3</v>
      </c>
      <c r="E21" s="12"/>
      <c r="F21" s="12"/>
      <c r="G21" s="12">
        <v>2.7</v>
      </c>
      <c r="H21" s="11"/>
      <c r="I21" s="12"/>
      <c r="J21" s="12"/>
      <c r="K21" s="12"/>
      <c r="L21" s="14">
        <f t="shared" si="1"/>
        <v>4.5999999999999996</v>
      </c>
      <c r="M21" s="12">
        <v>4.5999999999999996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VLOOKUP($B22,'2704'!$B22:$N41,12,0)</f>
        <v>4.2</v>
      </c>
      <c r="E22" s="10"/>
      <c r="F22" s="10"/>
      <c r="G22" s="12">
        <v>2.4</v>
      </c>
      <c r="H22" s="11"/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123.01</v>
      </c>
      <c r="E27" s="13">
        <f t="shared" si="2"/>
        <v>114.64999999999999</v>
      </c>
      <c r="F27" s="13">
        <f t="shared" si="2"/>
        <v>12.5</v>
      </c>
      <c r="G27" s="13">
        <f t="shared" si="2"/>
        <v>46.2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178.96</v>
      </c>
      <c r="M27" s="13">
        <f t="shared" si="2"/>
        <v>178.96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6" priority="1" stopIfTrue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="90" zoomScaleNormal="90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DATE(2015,4,28)</f>
        <v>42122</v>
      </c>
      <c r="E4" s="36">
        <f>D4+1</f>
        <v>42123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VLOOKUP($B7,'2804'!$B7:$N26,12,0)</f>
        <v>68</v>
      </c>
      <c r="E7" s="10">
        <v>20</v>
      </c>
      <c r="F7" s="10">
        <v>16</v>
      </c>
      <c r="G7" s="10">
        <v>40</v>
      </c>
      <c r="H7" s="11">
        <v>16</v>
      </c>
      <c r="I7" s="10"/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VLOOKUP($B8,'2804'!$B8:$N27,12,0)</f>
        <v>4.5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VLOOKUP($B9,'2804'!$B9:$N28,12,0)</f>
        <v>10</v>
      </c>
      <c r="E9" s="10">
        <v>18.18</v>
      </c>
      <c r="F9" s="11">
        <v>2</v>
      </c>
      <c r="G9" s="10">
        <f>7+13.18</f>
        <v>20.18</v>
      </c>
      <c r="H9" s="10">
        <v>3</v>
      </c>
      <c r="I9" s="10"/>
      <c r="J9" s="10"/>
      <c r="K9" s="10"/>
      <c r="L9" s="14">
        <f t="shared" si="1"/>
        <v>3</v>
      </c>
      <c r="M9" s="10">
        <v>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VLOOKUP($B10,'2804'!$B10:$N29,12,0)</f>
        <v>10</v>
      </c>
      <c r="F10" s="11">
        <v>3</v>
      </c>
      <c r="G10" s="10"/>
      <c r="H10" s="10"/>
      <c r="I10" s="11"/>
      <c r="J10" s="10"/>
      <c r="K10" s="10"/>
      <c r="L10" s="14">
        <f t="shared" si="1"/>
        <v>7</v>
      </c>
      <c r="M10" s="10">
        <v>7.2</v>
      </c>
      <c r="N10" s="15">
        <f t="shared" si="0"/>
        <v>0.20000000000000018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VLOOKUP($B11,'2804'!$B11:$N30,12,0)</f>
        <v>23.9</v>
      </c>
      <c r="E11" s="10"/>
      <c r="F11" s="11">
        <v>0.8</v>
      </c>
      <c r="G11" s="10">
        <v>18.100000000000001</v>
      </c>
      <c r="H11" s="10">
        <v>5</v>
      </c>
      <c r="I11" s="11"/>
      <c r="J11" s="10"/>
      <c r="K11" s="10"/>
      <c r="L11" s="14">
        <f t="shared" si="1"/>
        <v>0</v>
      </c>
      <c r="M11" s="10"/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VLOOKUP($B12,'2804'!$B12:$N31,12,0)</f>
        <v>19.399999999999999</v>
      </c>
      <c r="E12" s="10"/>
      <c r="F12" s="11">
        <v>8</v>
      </c>
      <c r="G12" s="10"/>
      <c r="H12" s="10">
        <v>5</v>
      </c>
      <c r="I12" s="11"/>
      <c r="J12" s="10"/>
      <c r="K12" s="10"/>
      <c r="L12" s="14">
        <f t="shared" si="1"/>
        <v>6.3999999999999986</v>
      </c>
      <c r="M12" s="10">
        <v>6.6</v>
      </c>
      <c r="N12" s="15">
        <f t="shared" si="0"/>
        <v>0.20000000000000107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VLOOKUP($B13,'2804'!$B13:$N32,12,0)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VLOOKUP($B14,'2804'!$B14:$N33,12,0)</f>
        <v>9.75</v>
      </c>
      <c r="E14" s="10"/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4.75</v>
      </c>
      <c r="M14" s="10">
        <f>4.5+0.25</f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VLOOKUP($B15,'2804'!$B15:$N34,12,0)</f>
        <v>5</v>
      </c>
      <c r="E15" s="10"/>
      <c r="F15" s="11">
        <v>3</v>
      </c>
      <c r="G15" s="10"/>
      <c r="H15" s="10">
        <v>1</v>
      </c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VLOOKUP($B16,'2804'!$B16:$N35,12,0)</f>
        <v>11.2</v>
      </c>
      <c r="E16" s="10"/>
      <c r="F16" s="11">
        <v>3</v>
      </c>
      <c r="G16" s="10"/>
      <c r="H16" s="10">
        <v>4</v>
      </c>
      <c r="I16" s="10"/>
      <c r="J16" s="10"/>
      <c r="K16" s="10"/>
      <c r="L16" s="14">
        <f t="shared" si="1"/>
        <v>4.1999999999999993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VLOOKUP($B20,'2804'!$B20:$N39,12,0)</f>
        <v>4.8499999999999996</v>
      </c>
      <c r="E20" s="12"/>
      <c r="F20" s="12"/>
      <c r="G20" s="12">
        <v>4.8499999999999996</v>
      </c>
      <c r="H20" s="11"/>
      <c r="I20" s="12"/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VLOOKUP($B21,'2804'!$B21:$N40,12,0)</f>
        <v>4.5999999999999996</v>
      </c>
      <c r="E21" s="12">
        <f>8+2.4+0.38</f>
        <v>10.780000000000001</v>
      </c>
      <c r="F21" s="12">
        <v>3</v>
      </c>
      <c r="G21" s="12">
        <f>8+2.1+0.48</f>
        <v>10.58</v>
      </c>
      <c r="H21" s="11">
        <v>1.8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VLOOKUP($B22,'2804'!$B22:$N41,12,0)</f>
        <v>1.8</v>
      </c>
      <c r="E22" s="10">
        <v>10.5</v>
      </c>
      <c r="F22" s="10"/>
      <c r="G22" s="12">
        <v>10.5</v>
      </c>
      <c r="H22" s="11">
        <v>1.8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178.96</v>
      </c>
      <c r="E27" s="13">
        <f t="shared" si="2"/>
        <v>59.46</v>
      </c>
      <c r="F27" s="13">
        <f t="shared" si="2"/>
        <v>42.8</v>
      </c>
      <c r="G27" s="13">
        <f t="shared" si="2"/>
        <v>104.21</v>
      </c>
      <c r="H27" s="13">
        <f t="shared" si="2"/>
        <v>41.499999999999993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49.910000000000004</v>
      </c>
      <c r="M27" s="13">
        <f t="shared" si="2"/>
        <v>50.31</v>
      </c>
      <c r="N27" s="13">
        <f t="shared" si="2"/>
        <v>0.40000000000000124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5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DATE(2015,4,2)</f>
        <v>42096</v>
      </c>
      <c r="E4" s="36">
        <f>D4+1</f>
        <v>42097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VLOOKUP($B7,'0204'!$B7:$N26,12,0)</f>
        <v>40</v>
      </c>
      <c r="E7" s="10">
        <v>20</v>
      </c>
      <c r="F7" s="10">
        <v>4</v>
      </c>
      <c r="G7" s="10">
        <v>24</v>
      </c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VLOOKUP($B8,'0204'!$B8:$N27,12,0)</f>
        <v>7.9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VLOOKUP($B9,'0204'!$B9:$N28,12,0)</f>
        <v>20.8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VLOOKUP($B10,'0204'!$B10:$N29,12,0)</f>
        <v>11.2</v>
      </c>
      <c r="F10" s="11"/>
      <c r="G10" s="10">
        <v>2.1</v>
      </c>
      <c r="H10" s="10"/>
      <c r="I10" s="11"/>
      <c r="J10" s="10"/>
      <c r="K10" s="10"/>
      <c r="L10" s="14">
        <f t="shared" si="1"/>
        <v>9.1</v>
      </c>
      <c r="M10" s="10">
        <v>9.1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VLOOKUP($B11,'0204'!$B11:$N30,12,0)</f>
        <v>15.15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9.15</v>
      </c>
      <c r="M11" s="10">
        <v>9.15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VLOOKUP($B12,'0204'!$B12:$N31,12,0)</f>
        <v>2</v>
      </c>
      <c r="E12" s="10">
        <v>11.1</v>
      </c>
      <c r="F12" s="11"/>
      <c r="G12" s="10">
        <v>2</v>
      </c>
      <c r="H12" s="10"/>
      <c r="I12" s="11"/>
      <c r="J12" s="10"/>
      <c r="K12" s="10"/>
      <c r="L12" s="14">
        <f t="shared" si="1"/>
        <v>11.1</v>
      </c>
      <c r="M12" s="10">
        <v>11.1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VLOOKUP($B14,'0204'!$B14:$N33,12,0)</f>
        <v>9.5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VLOOKUP($B15,'0204'!$B15:$N34,12,0)</f>
        <v>13.4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VLOOKUP($B16,'0204'!$B16:$N35,12,0)</f>
        <v>12.9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9.9</v>
      </c>
      <c r="M16" s="10">
        <v>9.9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VLOOKUP($B18,'0204'!$B18:$N37,12,0)</f>
        <v>15.1</v>
      </c>
      <c r="E18" s="10"/>
      <c r="F18" s="11"/>
      <c r="G18" s="10">
        <v>1.3</v>
      </c>
      <c r="H18" s="10"/>
      <c r="I18" s="10"/>
      <c r="J18" s="10"/>
      <c r="K18" s="10"/>
      <c r="L18" s="14">
        <f t="shared" si="1"/>
        <v>13.799999999999999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VLOOKUP($B20,'0204'!$B20:$N39,12,0)</f>
        <v>7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VLOOKUP($B21,'0204'!$B21:$N40,12,0)</f>
        <v>8.1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VLOOKUP($B22,'0204'!$B22:$N41,12,0)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168.15</v>
      </c>
      <c r="E27" s="13">
        <f t="shared" si="2"/>
        <v>43.1</v>
      </c>
      <c r="F27" s="13">
        <f t="shared" si="2"/>
        <v>4</v>
      </c>
      <c r="G27" s="13">
        <f t="shared" si="2"/>
        <v>51.4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1" priority="1" stopIfTrue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12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DATE(2015,4,29)</f>
        <v>42123</v>
      </c>
      <c r="E4" s="36">
        <f>D4+1</f>
        <v>42124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VLOOKUP($B7,'2904'!$B7:$N26,12,0)</f>
        <v>16</v>
      </c>
      <c r="E7" s="10">
        <v>40</v>
      </c>
      <c r="F7" s="10"/>
      <c r="G7" s="10">
        <v>6</v>
      </c>
      <c r="H7" s="11">
        <v>10</v>
      </c>
      <c r="I7" s="10">
        <v>2</v>
      </c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VLOOKUP($B9,'2904'!$B9:$N28,12,0)</f>
        <v>3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VLOOKUP($B10,'2904'!$B10:$N29,12,0)</f>
        <v>7.2</v>
      </c>
      <c r="F10" s="11"/>
      <c r="G10" s="10">
        <v>2.1</v>
      </c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VLOOKUP($B11,'2904'!$B11:$N30,12,0)</f>
        <v>0</v>
      </c>
      <c r="E11" s="10">
        <v>23.17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VLOOKUP($B15,'2904'!$B15:$N34,12,0)</f>
        <v>1</v>
      </c>
      <c r="E15" s="10"/>
      <c r="F15" s="11"/>
      <c r="G15" s="10"/>
      <c r="H15" s="10"/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VLOOKUP($B20,'2904'!$B20:$N39,12,0)</f>
        <v>0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50.31</v>
      </c>
      <c r="E27" s="13">
        <f t="shared" si="2"/>
        <v>75.67</v>
      </c>
      <c r="F27" s="13">
        <f t="shared" si="2"/>
        <v>0</v>
      </c>
      <c r="G27" s="13">
        <f t="shared" si="2"/>
        <v>14.1</v>
      </c>
      <c r="H27" s="13">
        <f t="shared" si="2"/>
        <v>11.5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98.38</v>
      </c>
      <c r="M27" s="13">
        <f t="shared" si="2"/>
        <v>98.38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4" priority="1" stopIfTrue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DATE(2015,4,30)</f>
        <v>42124</v>
      </c>
      <c r="E4" s="36">
        <f>D4+1</f>
        <v>42125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VLOOKUP($B7,'3004'!$B7:$N26,12,0)</f>
        <v>38</v>
      </c>
      <c r="E7" s="10">
        <v>40</v>
      </c>
      <c r="F7" s="10">
        <v>10</v>
      </c>
      <c r="G7" s="10">
        <v>32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VLOOKUP($B9,'3004'!$B9:$N28,12,0)</f>
        <v>0</v>
      </c>
      <c r="E9" s="10">
        <v>9.6</v>
      </c>
      <c r="F9" s="11"/>
      <c r="G9" s="10"/>
      <c r="H9" s="10"/>
      <c r="I9" s="10"/>
      <c r="J9" s="10"/>
      <c r="K9" s="10"/>
      <c r="L9" s="14">
        <f t="shared" si="1"/>
        <v>9.6</v>
      </c>
      <c r="M9" s="10">
        <v>9.6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VLOOKUP($B10,'3004'!$B10:$N29,12,0)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VLOOKUP($B11,'3004'!$B11:$N30,12,0)</f>
        <v>18.670000000000002</v>
      </c>
      <c r="E11" s="10"/>
      <c r="F11" s="11"/>
      <c r="G11" s="10"/>
      <c r="H11" s="10"/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VLOOKUP($B15,'3004'!$B15:$N34,12,0)</f>
        <v>1</v>
      </c>
      <c r="E15" s="10">
        <v>5.17</v>
      </c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VLOOKUP($B18,'3004'!$B18:$N37,12,0)</f>
        <v>3.96</v>
      </c>
      <c r="E18" s="10">
        <v>10.8</v>
      </c>
      <c r="F18" s="11"/>
      <c r="G18" s="10"/>
      <c r="H18" s="10"/>
      <c r="I18" s="10"/>
      <c r="J18" s="10"/>
      <c r="K18" s="10"/>
      <c r="L18" s="14">
        <f t="shared" si="1"/>
        <v>14.760000000000002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VLOOKUP($B20,'3004'!$B20:$N39,12,0)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VLOOKUP($B22,'3004'!$B22:$N41,12,0)</f>
        <v>0</v>
      </c>
      <c r="E22" s="10">
        <v>11.5</v>
      </c>
      <c r="F22" s="10"/>
      <c r="G22" s="12"/>
      <c r="H22" s="11"/>
      <c r="I22" s="12"/>
      <c r="J22" s="12"/>
      <c r="K22" s="12"/>
      <c r="L22" s="14">
        <f t="shared" si="1"/>
        <v>11.5</v>
      </c>
      <c r="M22" s="12">
        <v>11.5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98.38</v>
      </c>
      <c r="E27" s="13">
        <f t="shared" si="2"/>
        <v>77.070000000000007</v>
      </c>
      <c r="F27" s="13">
        <f t="shared" si="2"/>
        <v>10</v>
      </c>
      <c r="G27" s="13">
        <f t="shared" si="2"/>
        <v>32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133.44999999999999</v>
      </c>
      <c r="M27" s="13">
        <f t="shared" si="2"/>
        <v>133.44999999999999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3" priority="1" stopIfTrue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VLOOKUP($B7,'0105'!$B7:$N26,12,0)</f>
        <v>36</v>
      </c>
      <c r="E7" s="10">
        <v>40</v>
      </c>
      <c r="F7" s="10"/>
      <c r="G7" s="10">
        <v>20</v>
      </c>
      <c r="H7" s="11">
        <v>14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VLOOKUP($B9,'0105'!$B9:$N28,12,0)</f>
        <v>9.6</v>
      </c>
      <c r="E9" s="10"/>
      <c r="F9" s="11"/>
      <c r="G9" s="10">
        <v>9.6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VLOOKUP($B11,'0105'!$B11:$N30,12,0)</f>
        <v>18.670000000000002</v>
      </c>
      <c r="E11" s="10">
        <f>23.5+0.34</f>
        <v>23.84</v>
      </c>
      <c r="F11" s="11"/>
      <c r="G11" s="10">
        <v>20</v>
      </c>
      <c r="H11" s="10"/>
      <c r="I11" s="11"/>
      <c r="J11" s="10"/>
      <c r="K11" s="10"/>
      <c r="L11" s="14">
        <f t="shared" si="1"/>
        <v>22.510000000000005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VLOOKUP($B12,'0105'!$B12:$N31,12,0)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VLOOKUP($B20,'0105'!$B20:$N39,12,0)</f>
        <v>12.5</v>
      </c>
      <c r="E20" s="12">
        <v>13</v>
      </c>
      <c r="F20" s="12"/>
      <c r="G20" s="12">
        <v>10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VLOOKUP($B21,'0105'!$B21:$N40,12,0)</f>
        <v>0</v>
      </c>
      <c r="E21" s="12">
        <f>10.5+0.38</f>
        <v>10.88</v>
      </c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VLOOKUP($B22,'0105'!$B22:$N41,12,0)</f>
        <v>11.5</v>
      </c>
      <c r="E22" s="10"/>
      <c r="F22" s="10"/>
      <c r="G22" s="12">
        <v>5</v>
      </c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133.44999999999999</v>
      </c>
      <c r="E27" s="13">
        <f t="shared" si="2"/>
        <v>87.72</v>
      </c>
      <c r="F27" s="13">
        <f t="shared" si="2"/>
        <v>0</v>
      </c>
      <c r="G27" s="13">
        <f t="shared" si="2"/>
        <v>64.599999999999994</v>
      </c>
      <c r="H27" s="13">
        <f t="shared" si="2"/>
        <v>14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142.57000000000002</v>
      </c>
      <c r="M27" s="13">
        <f t="shared" si="2"/>
        <v>142.57000000000002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2" priority="1" stopIfTrue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DATE(2015,5,2)</f>
        <v>42126</v>
      </c>
      <c r="E4" s="36">
        <f>D4+1</f>
        <v>42127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VLOOKUP($B7,'0205'!$B7:$N26,12,0)</f>
        <v>42</v>
      </c>
      <c r="E7" s="10"/>
      <c r="F7" s="10"/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VLOOKUP($B9,'0205'!$B9:$N28,12,0)</f>
        <v>0</v>
      </c>
      <c r="E9" s="10">
        <v>17.2</v>
      </c>
      <c r="F9" s="11"/>
      <c r="G9" s="10"/>
      <c r="H9" s="10"/>
      <c r="I9" s="10"/>
      <c r="J9" s="10"/>
      <c r="K9" s="10"/>
      <c r="L9" s="14">
        <f t="shared" si="1"/>
        <v>17.2</v>
      </c>
      <c r="M9" s="10">
        <v>17.2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VLOOKUP($B11,'0205'!$B11:$N30,12,0)</f>
        <v>22.51</v>
      </c>
      <c r="E11" s="10"/>
      <c r="F11" s="11"/>
      <c r="G11" s="10"/>
      <c r="H11" s="10"/>
      <c r="I11" s="11"/>
      <c r="J11" s="10"/>
      <c r="K11" s="10"/>
      <c r="L11" s="14">
        <f t="shared" si="1"/>
        <v>22.51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VLOOKUP($B12,'0205'!$B12:$N31,12,0)</f>
        <v>6.6</v>
      </c>
      <c r="E12" s="10">
        <v>12</v>
      </c>
      <c r="F12" s="11"/>
      <c r="G12" s="10"/>
      <c r="H12" s="10"/>
      <c r="I12" s="11"/>
      <c r="J12" s="10"/>
      <c r="K12" s="10"/>
      <c r="L12" s="14">
        <f t="shared" si="1"/>
        <v>18.600000000000001</v>
      </c>
      <c r="M12" s="10">
        <v>18.600000000000001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142.57000000000002</v>
      </c>
      <c r="E27" s="13">
        <f t="shared" si="2"/>
        <v>29.2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171.76999999999998</v>
      </c>
      <c r="M27" s="13">
        <f t="shared" si="2"/>
        <v>171.76999999999998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1" priority="1" stopIfTrue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VLOOKUP($B7,'0305'!$B7:$N26,12,0)</f>
        <v>42</v>
      </c>
      <c r="E7" s="10">
        <v>20</v>
      </c>
      <c r="F7" s="10"/>
      <c r="G7" s="10">
        <v>10</v>
      </c>
      <c r="H7" s="11">
        <v>10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VLOOKUP($B9,'0305'!$B9:$N28,12,0)</f>
        <v>17.2</v>
      </c>
      <c r="E9" s="10">
        <v>9</v>
      </c>
      <c r="F9" s="11"/>
      <c r="G9" s="10">
        <v>1.7</v>
      </c>
      <c r="H9" s="10"/>
      <c r="I9" s="10"/>
      <c r="J9" s="10"/>
      <c r="K9" s="10"/>
      <c r="L9" s="14">
        <f t="shared" si="1"/>
        <v>24.5</v>
      </c>
      <c r="M9" s="10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VLOOKUP($B10,'0305'!$B10:$N29,12,0)</f>
        <v>5.0999999999999996</v>
      </c>
      <c r="E10">
        <v>10.199999999999999</v>
      </c>
      <c r="F10" s="11"/>
      <c r="G10" s="10"/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VLOOKUP($B11,'0305'!$B11:$N30,12,0)</f>
        <v>22.51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21.51</v>
      </c>
      <c r="M11" s="10">
        <v>21.51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VLOOKUP($B12,'0305'!$B12:$N31,12,0)</f>
        <v>18.600000000000001</v>
      </c>
      <c r="E12" s="10"/>
      <c r="F12" s="11"/>
      <c r="G12" s="10"/>
      <c r="H12" s="10">
        <v>8</v>
      </c>
      <c r="I12" s="11"/>
      <c r="J12" s="10"/>
      <c r="K12" s="10"/>
      <c r="L12" s="14">
        <f t="shared" si="1"/>
        <v>10.600000000000001</v>
      </c>
      <c r="M12" s="10">
        <v>10.6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VLOOKUP($B16,'0305'!$B16:$N35,12,0)</f>
        <v>4.2</v>
      </c>
      <c r="E16" s="10">
        <v>18.25</v>
      </c>
      <c r="F16" s="11"/>
      <c r="G16" s="10"/>
      <c r="H16" s="10"/>
      <c r="I16" s="10"/>
      <c r="J16" s="10"/>
      <c r="K16" s="10"/>
      <c r="L16" s="14">
        <f t="shared" si="1"/>
        <v>22.45</v>
      </c>
      <c r="M16" s="10">
        <v>22.45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VLOOKUP($B20,'0305'!$B20:$N39,12,0)</f>
        <v>15.5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171.76999999999998</v>
      </c>
      <c r="E27" s="13">
        <f t="shared" si="2"/>
        <v>57.45</v>
      </c>
      <c r="F27" s="13">
        <f t="shared" si="2"/>
        <v>0</v>
      </c>
      <c r="G27" s="13">
        <f t="shared" si="2"/>
        <v>13.7</v>
      </c>
      <c r="H27" s="13">
        <f t="shared" si="2"/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197.51999999999995</v>
      </c>
      <c r="M27" s="13">
        <f t="shared" si="2"/>
        <v>197.51999999999995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0" priority="1" stopIfTrue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DATE(2015,5,4)</f>
        <v>42128</v>
      </c>
      <c r="E4" s="36">
        <f>D4+1</f>
        <v>42129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VLOOKUP($B7,'0405'!$B7:$N26,12,0)</f>
        <v>42</v>
      </c>
      <c r="E7" s="10">
        <v>30</v>
      </c>
      <c r="F7" s="10">
        <v>6</v>
      </c>
      <c r="G7" s="10">
        <v>10</v>
      </c>
      <c r="H7" s="11">
        <v>2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VLOOKUP($B9,'0405'!$B9:$N28,12,0)</f>
        <v>24.5</v>
      </c>
      <c r="E9" s="10"/>
      <c r="F9" s="11"/>
      <c r="G9" s="10">
        <v>1.5</v>
      </c>
      <c r="H9" s="10">
        <v>2.5</v>
      </c>
      <c r="I9" s="10"/>
      <c r="J9" s="10"/>
      <c r="K9" s="10"/>
      <c r="L9" s="14">
        <f t="shared" si="1"/>
        <v>20.5</v>
      </c>
      <c r="M9" s="10">
        <v>20.5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VLOOKUP($B10,'0405'!$B10:$N29,12,0)</f>
        <v>15.3</v>
      </c>
      <c r="F10" s="11"/>
      <c r="G10" s="10">
        <v>0.6</v>
      </c>
      <c r="H10" s="10"/>
      <c r="I10" s="11"/>
      <c r="J10" s="10"/>
      <c r="K10" s="10"/>
      <c r="L10" s="14">
        <f t="shared" si="1"/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VLOOKUP($B11,'0405'!$B11:$N30,12,0)</f>
        <v>21.51</v>
      </c>
      <c r="E11" s="10">
        <v>24.3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41.31</v>
      </c>
      <c r="M11" s="10">
        <v>41.3</v>
      </c>
      <c r="N11" s="15">
        <f t="shared" si="0"/>
        <v>-1.0000000000005116E-2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VLOOKUP($B12,'0405'!$B12:$N31,12,0)</f>
        <v>10.6</v>
      </c>
      <c r="E12" s="10"/>
      <c r="F12" s="11"/>
      <c r="G12" s="10"/>
      <c r="H12" s="10">
        <v>1</v>
      </c>
      <c r="I12" s="11"/>
      <c r="J12" s="10"/>
      <c r="K12" s="10"/>
      <c r="L12" s="14">
        <f t="shared" si="1"/>
        <v>9.6</v>
      </c>
      <c r="M12" s="10">
        <v>9.6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VLOOKUP($B13,'0405'!$B13:$N32,12,0)</f>
        <v>0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VLOOKUP($B14,'0405'!$B14:$N33,12,0)</f>
        <v>4.75</v>
      </c>
      <c r="E14" s="10">
        <v>7.5</v>
      </c>
      <c r="F14" s="11"/>
      <c r="G14" s="10"/>
      <c r="H14" s="10">
        <v>1</v>
      </c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VLOOKUP($B15,'0405'!$B15:$N34,12,0)</f>
        <v>6.17</v>
      </c>
      <c r="E15" s="10">
        <v>9.1999999999999993</v>
      </c>
      <c r="F15" s="11"/>
      <c r="G15" s="10"/>
      <c r="H15" s="10">
        <v>1.5</v>
      </c>
      <c r="I15" s="10"/>
      <c r="J15" s="10"/>
      <c r="K15" s="10"/>
      <c r="L15" s="14">
        <f t="shared" si="1"/>
        <v>13.87</v>
      </c>
      <c r="M15" s="10">
        <v>13.87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VLOOKUP($B16,'0405'!$B16:$N35,12,0)</f>
        <v>22.45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VLOOKUP($B18,'0405'!$B18:$N37,12,0)</f>
        <v>14.76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VLOOKUP($B20,'0405'!$B20:$N39,12,0)</f>
        <v>14.5</v>
      </c>
      <c r="E20" s="12"/>
      <c r="F20" s="12"/>
      <c r="G20" s="12"/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VLOOKUP($B21,'0405'!$B21:$N40,12,0)</f>
        <v>10.88</v>
      </c>
      <c r="E21" s="12"/>
      <c r="F21" s="12"/>
      <c r="G21" s="12">
        <v>1.2</v>
      </c>
      <c r="H21" s="11">
        <v>0.3</v>
      </c>
      <c r="I21" s="12"/>
      <c r="J21" s="12"/>
      <c r="K21" s="12"/>
      <c r="L21" s="14">
        <f t="shared" si="1"/>
        <v>9.3800000000000008</v>
      </c>
      <c r="M21" s="12">
        <v>9.3800000000000008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VLOOKUP($B22,'0405'!$B22:$N41,12,0)</f>
        <v>6.5</v>
      </c>
      <c r="E22" s="10"/>
      <c r="F22" s="10"/>
      <c r="G22" s="12"/>
      <c r="H22" s="11">
        <v>1.8</v>
      </c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197.51999999999995</v>
      </c>
      <c r="E27" s="13">
        <f t="shared" si="2"/>
        <v>72</v>
      </c>
      <c r="F27" s="13">
        <f t="shared" si="2"/>
        <v>6</v>
      </c>
      <c r="G27" s="13">
        <f t="shared" si="2"/>
        <v>17.5</v>
      </c>
      <c r="H27" s="13">
        <f t="shared" si="2"/>
        <v>13.600000000000001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232.42</v>
      </c>
      <c r="M27" s="13">
        <f t="shared" si="2"/>
        <v>232.40999999999997</v>
      </c>
      <c r="N27" s="13">
        <f t="shared" si="2"/>
        <v>-1.0000000000005116E-2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9" priority="1" stopIfTrue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DATE(2015,5,5)</f>
        <v>42129</v>
      </c>
      <c r="E4" s="36">
        <f>D4+1</f>
        <v>42130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VLOOKUP($B7,'0505'!$B7:$N26,12,0)</f>
        <v>54</v>
      </c>
      <c r="E7" s="10">
        <v>20</v>
      </c>
      <c r="F7" s="10">
        <v>14</v>
      </c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VLOOKUP($B9,'0505'!$B9:$N28,12,0)</f>
        <v>20.5</v>
      </c>
      <c r="E9" s="10"/>
      <c r="F9" s="11">
        <v>4</v>
      </c>
      <c r="G9" s="10"/>
      <c r="H9" s="10"/>
      <c r="I9" s="10"/>
      <c r="J9" s="10"/>
      <c r="K9" s="10"/>
      <c r="L9" s="14">
        <f t="shared" si="1"/>
        <v>16.5</v>
      </c>
      <c r="M9" s="10">
        <v>16.5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VLOOKUP($B10,'0505'!$B10:$N29,12,0)</f>
        <v>14.7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VLOOKUP($B11,'0505'!$B11:$N30,12,0)</f>
        <v>41.3</v>
      </c>
      <c r="E11" s="10"/>
      <c r="F11" s="11">
        <v>4</v>
      </c>
      <c r="G11" s="10"/>
      <c r="H11" s="10"/>
      <c r="I11" s="11"/>
      <c r="J11" s="10"/>
      <c r="K11" s="10"/>
      <c r="L11" s="14">
        <f t="shared" si="1"/>
        <v>37.299999999999997</v>
      </c>
      <c r="M11" s="10">
        <v>37.299999999999997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VLOOKUP($B12,'0505'!$B12:$N31,12,0)</f>
        <v>9.6</v>
      </c>
      <c r="E12" s="10">
        <v>13.9</v>
      </c>
      <c r="F12" s="11"/>
      <c r="G12" s="10"/>
      <c r="H12" s="10"/>
      <c r="I12" s="11"/>
      <c r="J12" s="10"/>
      <c r="K12" s="10"/>
      <c r="L12" s="14">
        <f t="shared" si="1"/>
        <v>23.5</v>
      </c>
      <c r="M12" s="10">
        <v>23.5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VLOOKUP($B13,'0505'!$B13:$N32,12,0)</f>
        <v>1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VLOOKUP($B14,'0505'!$B14:$N33,12,0)</f>
        <v>11.25</v>
      </c>
      <c r="E14" s="10"/>
      <c r="F14" s="11"/>
      <c r="G14" s="10"/>
      <c r="H14" s="10"/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VLOOKUP($B15,'0505'!$B15:$N34,12,0)</f>
        <v>13.87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12.87</v>
      </c>
      <c r="M15" s="10">
        <v>12.87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VLOOKUP($B16,'0505'!$B16:$N35,12,0)</f>
        <v>20.45</v>
      </c>
      <c r="E16" s="10"/>
      <c r="F16" s="11"/>
      <c r="G16" s="10"/>
      <c r="H16" s="10"/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VLOOKUP($B20,'0505'!$B20:$N39,12,0)</f>
        <v>14.5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VLOOKUP($B21,'0505'!$B21:$N40,12,0)</f>
        <v>9.3800000000000008</v>
      </c>
      <c r="E21" s="12"/>
      <c r="F21" s="12">
        <v>0.9</v>
      </c>
      <c r="G21" s="12"/>
      <c r="H21" s="11"/>
      <c r="I21" s="12"/>
      <c r="J21" s="12"/>
      <c r="K21" s="12"/>
      <c r="L21" s="14">
        <f t="shared" si="1"/>
        <v>8.48</v>
      </c>
      <c r="M21" s="12">
        <v>8.48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VLOOKUP($B22,'0505'!$B22:$N41,12,0)</f>
        <v>4.7</v>
      </c>
      <c r="E22" s="10">
        <f>4.8+0.45</f>
        <v>5.25</v>
      </c>
      <c r="F22" s="10"/>
      <c r="G22" s="12"/>
      <c r="H22" s="11"/>
      <c r="I22" s="12"/>
      <c r="J22" s="12"/>
      <c r="K22" s="12"/>
      <c r="L22" s="14">
        <f t="shared" si="1"/>
        <v>9.9499999999999993</v>
      </c>
      <c r="M22" s="12">
        <v>9.9499999999999993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232.40999999999997</v>
      </c>
      <c r="E27" s="13">
        <f t="shared" si="2"/>
        <v>39.15</v>
      </c>
      <c r="F27" s="13">
        <f t="shared" si="2"/>
        <v>26.9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244.65999999999997</v>
      </c>
      <c r="M27" s="13">
        <f t="shared" si="2"/>
        <v>244.65999999999997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8" priority="1" stopIfTrue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DATE(2015,5,6)</f>
        <v>42130</v>
      </c>
      <c r="E4" s="36">
        <f>D4+1</f>
        <v>42131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VLOOKUP($B7,'0605'!$B7:$N26,12,0)</f>
        <v>60</v>
      </c>
      <c r="E7" s="10">
        <v>60</v>
      </c>
      <c r="F7" s="10"/>
      <c r="G7" s="10">
        <v>40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VLOOKUP($B8,'0605'!$B8:$N27,12,0)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 t="shared" ref="L8:L22" si="1"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VLOOKUP($B9,'0605'!$B9:$N28,12,0)</f>
        <v>16.5</v>
      </c>
      <c r="E9" s="10">
        <f>11.7+5.5</f>
        <v>17.2</v>
      </c>
      <c r="F9" s="11"/>
      <c r="G9" s="10">
        <v>3</v>
      </c>
      <c r="H9" s="10">
        <v>4</v>
      </c>
      <c r="I9" s="10"/>
      <c r="J9" s="10"/>
      <c r="K9" s="10"/>
      <c r="L9" s="14">
        <f t="shared" si="1"/>
        <v>26.700000000000003</v>
      </c>
      <c r="M9" s="10">
        <v>26.7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VLOOKUP($B10,'0605'!$B10:$N29,12,0)</f>
        <v>14.7</v>
      </c>
      <c r="F10" s="11"/>
      <c r="G10" s="10"/>
      <c r="H10" s="10">
        <v>2.1</v>
      </c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VLOOKUP($B11,'0605'!$B11:$N30,12,0)</f>
        <v>37.299999999999997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32.299999999999997</v>
      </c>
      <c r="M11" s="10">
        <v>32.299999999999997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VLOOKUP($B12,'0605'!$B12:$N31,12,0)</f>
        <v>23.5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20.5</v>
      </c>
      <c r="M12" s="10">
        <v>20.5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VLOOKUP($B14,'0605'!$B14:$N33,12,0)</f>
        <v>11.25</v>
      </c>
      <c r="E14" s="10"/>
      <c r="F14" s="11"/>
      <c r="G14" s="10"/>
      <c r="H14" s="10">
        <v>2.25</v>
      </c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VLOOKUP($B15,'0605'!$B15:$N34,12,0)</f>
        <v>12.87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VLOOKUP($B16,'0605'!$B16:$N35,12,0)</f>
        <v>20.45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VLOOKUP($B21,'0605'!$B21:$N40,12,0)</f>
        <v>8.48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6.3800000000000008</v>
      </c>
      <c r="M21" s="12">
        <v>6.38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VLOOKUP($B22,'0605'!$B22:$N41,12,0)</f>
        <v>9.9499999999999993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7.85</v>
      </c>
      <c r="M22" s="12">
        <v>7.85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244.65999999999997</v>
      </c>
      <c r="E27" s="13">
        <f t="shared" si="2"/>
        <v>77.2</v>
      </c>
      <c r="F27" s="13">
        <f t="shared" si="2"/>
        <v>0</v>
      </c>
      <c r="G27" s="13">
        <f t="shared" si="2"/>
        <v>48</v>
      </c>
      <c r="H27" s="13">
        <f t="shared" si="2"/>
        <v>42.150000000000006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231.70999999999998</v>
      </c>
      <c r="M27" s="13">
        <f t="shared" si="2"/>
        <v>231.70999999999998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7" priority="1" stopIfTrue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DATE(2015,5,7)</f>
        <v>42131</v>
      </c>
      <c r="E4" s="36">
        <f>D4+1</f>
        <v>42132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32</v>
      </c>
      <c r="I6" s="5" t="s">
        <v>50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VLOOKUP($B7,'0705'!$B7:$N26,12,0)</f>
        <v>60</v>
      </c>
      <c r="E7" s="10"/>
      <c r="F7" s="10">
        <v>16</v>
      </c>
      <c r="G7" s="10">
        <v>30</v>
      </c>
      <c r="H7" s="11">
        <v>10</v>
      </c>
      <c r="I7" s="10"/>
      <c r="J7" s="10"/>
      <c r="K7" s="10"/>
      <c r="L7" s="14">
        <f>D7+E7-SUM(F7:K7)</f>
        <v>4</v>
      </c>
      <c r="M7" s="10">
        <v>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VLOOKUP($B8,'0705'!$B8:$N27,12,0)</f>
        <v>3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VLOOKUP($B9,'0705'!$B9:$N28,12,0)</f>
        <v>26.7</v>
      </c>
      <c r="E9" s="10"/>
      <c r="F9" s="11"/>
      <c r="G9" s="10">
        <v>8</v>
      </c>
      <c r="H9" s="10">
        <v>3</v>
      </c>
      <c r="I9" s="10"/>
      <c r="J9" s="10"/>
      <c r="K9" s="10"/>
      <c r="L9" s="14">
        <f t="shared" si="1"/>
        <v>15.7</v>
      </c>
      <c r="M9" s="10">
        <v>15.7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VLOOKUP($B10,'0705'!$B10:$N29,12,0)</f>
        <v>12.6</v>
      </c>
      <c r="F10" s="11"/>
      <c r="G10" s="10"/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VLOOKUP($B11,'0705'!$B11:$N30,12,0)</f>
        <v>32.299999999999997</v>
      </c>
      <c r="E11" s="10"/>
      <c r="F11" s="11"/>
      <c r="G11" s="10">
        <v>7</v>
      </c>
      <c r="H11" s="10">
        <v>4</v>
      </c>
      <c r="I11" s="11">
        <v>3</v>
      </c>
      <c r="J11" s="10"/>
      <c r="K11" s="10"/>
      <c r="L11" s="14">
        <f t="shared" si="1"/>
        <v>18.299999999999997</v>
      </c>
      <c r="M11" s="10">
        <v>18.3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VLOOKUP($B12,'0705'!$B12:$N31,12,0)</f>
        <v>20.5</v>
      </c>
      <c r="E12" s="10"/>
      <c r="F12" s="11"/>
      <c r="G12" s="10"/>
      <c r="H12" s="10">
        <v>1</v>
      </c>
      <c r="I12" s="11">
        <v>1</v>
      </c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VLOOKUP($B21,'0705'!$B21:$N40,12,0)</f>
        <v>6.38</v>
      </c>
      <c r="E21" s="12">
        <f>9.6+0.35</f>
        <v>9.9499999999999993</v>
      </c>
      <c r="F21" s="12"/>
      <c r="G21" s="12"/>
      <c r="H21" s="11">
        <v>1.2</v>
      </c>
      <c r="I21" s="12"/>
      <c r="J21" s="12"/>
      <c r="K21" s="12"/>
      <c r="L21" s="14">
        <f t="shared" si="1"/>
        <v>15.129999999999999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VLOOKUP($B22,'0705'!$B22:$N41,12,0)</f>
        <v>7.85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6.6499999999999995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231.70999999999998</v>
      </c>
      <c r="E27" s="13">
        <f t="shared" si="2"/>
        <v>9.9499999999999993</v>
      </c>
      <c r="F27" s="13">
        <f t="shared" si="2"/>
        <v>16</v>
      </c>
      <c r="G27" s="13">
        <f t="shared" si="2"/>
        <v>45.9</v>
      </c>
      <c r="H27" s="13">
        <f t="shared" si="2"/>
        <v>20.399999999999999</v>
      </c>
      <c r="I27" s="13">
        <f t="shared" si="2"/>
        <v>4</v>
      </c>
      <c r="J27" s="13">
        <f t="shared" si="2"/>
        <v>0</v>
      </c>
      <c r="K27" s="13">
        <f t="shared" si="2"/>
        <v>0</v>
      </c>
      <c r="L27" s="13">
        <f t="shared" si="2"/>
        <v>155.35999999999999</v>
      </c>
      <c r="M27" s="13">
        <f t="shared" si="2"/>
        <v>155.36000000000001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6" priority="1" stopIfTrue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DATE(2015,5,8)</f>
        <v>42132</v>
      </c>
      <c r="E4" s="36">
        <f>D4+1</f>
        <v>42133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VLOOKUP($B7,'0805'!$B7:$N26,12,0)</f>
        <v>4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VLOOKUP($B8,'0805'!$B8:$N27,12,0)</f>
        <v>2.1</v>
      </c>
      <c r="E8" s="10">
        <v>6.6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VLOOKUP($B9,'0805'!$B9:$N28,12,0)</f>
        <v>15.7</v>
      </c>
      <c r="E9" s="10"/>
      <c r="F9" s="11"/>
      <c r="G9" s="10">
        <v>4</v>
      </c>
      <c r="H9" s="10"/>
      <c r="I9" s="10">
        <v>1.5</v>
      </c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VLOOKUP($B10,'0805'!$B10:$N29,12,0)</f>
        <v>12.6</v>
      </c>
      <c r="F10" s="11"/>
      <c r="G10" s="10">
        <v>2.4</v>
      </c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VLOOKUP($B11,'0805'!$B11:$N30,12,0)</f>
        <v>18.3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42.400000000000006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VLOOKUP($B12,'0805'!$B12:$N31,12,0)</f>
        <v>18.5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VLOOKUP($B18,'0805'!$B18:$N37,12,0)</f>
        <v>13.56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VLOOKUP($B20,'0805'!$B20:$N39,12,0)</f>
        <v>12.5</v>
      </c>
      <c r="E20" s="12">
        <v>11.2</v>
      </c>
      <c r="F20" s="12">
        <v>3</v>
      </c>
      <c r="G20" s="12">
        <v>3</v>
      </c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155.36000000000001</v>
      </c>
      <c r="E27" s="13">
        <f t="shared" si="2"/>
        <v>71.900000000000006</v>
      </c>
      <c r="F27" s="13">
        <f t="shared" si="2"/>
        <v>3</v>
      </c>
      <c r="G27" s="13">
        <f t="shared" si="2"/>
        <v>16.3</v>
      </c>
      <c r="H27" s="13">
        <f t="shared" si="2"/>
        <v>2</v>
      </c>
      <c r="I27" s="13">
        <f t="shared" si="2"/>
        <v>1.5</v>
      </c>
      <c r="J27" s="13">
        <f t="shared" si="2"/>
        <v>0</v>
      </c>
      <c r="K27" s="13">
        <f t="shared" si="2"/>
        <v>0</v>
      </c>
      <c r="L27" s="13">
        <f t="shared" si="2"/>
        <v>204.45999999999998</v>
      </c>
      <c r="M27" s="13">
        <f t="shared" si="2"/>
        <v>204.45999999999998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5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DATE(2015,4,3)</f>
        <v>42097</v>
      </c>
      <c r="E4" s="36">
        <f>D4+1</f>
        <v>42098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VLOOKUP($B7,'0304'!$B7:$N26,12,0)</f>
        <v>30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VLOOKUP($B8,'0304'!$B8:$N27,12,0)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VLOOKUP($B10,'0304'!$B10:$N29,12,0)</f>
        <v>9.1</v>
      </c>
      <c r="F10" s="11">
        <v>1.2</v>
      </c>
      <c r="G10" s="10">
        <v>1.2</v>
      </c>
      <c r="H10" s="10"/>
      <c r="I10" s="11"/>
      <c r="J10" s="10"/>
      <c r="K10" s="10"/>
      <c r="L10" s="14">
        <f t="shared" si="1"/>
        <v>6.6999999999999993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VLOOKUP($B11,'0304'!$B11:$N30,12,0)</f>
        <v>9.15</v>
      </c>
      <c r="E11" s="10">
        <v>22.7</v>
      </c>
      <c r="F11" s="11"/>
      <c r="G11" s="10">
        <v>3</v>
      </c>
      <c r="H11" s="10"/>
      <c r="I11" s="11"/>
      <c r="J11" s="10"/>
      <c r="K11" s="10"/>
      <c r="L11" s="14">
        <f t="shared" si="1"/>
        <v>28.85</v>
      </c>
      <c r="M11" s="10">
        <f>28.85</f>
        <v>28.85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VLOOKUP($B12,'0304'!$B12:$N31,12,0)</f>
        <v>11.1</v>
      </c>
      <c r="E12" s="10">
        <v>13.8</v>
      </c>
      <c r="F12" s="11"/>
      <c r="G12" s="10">
        <v>2.1</v>
      </c>
      <c r="H12" s="10">
        <v>4</v>
      </c>
      <c r="I12" s="11"/>
      <c r="J12" s="10"/>
      <c r="K12" s="10"/>
      <c r="L12" s="14">
        <f t="shared" si="1"/>
        <v>18.799999999999997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VLOOKUP($B16,'0304'!$B16:$N35,12,0)</f>
        <v>9.9</v>
      </c>
      <c r="E16" s="10"/>
      <c r="F16" s="11"/>
      <c r="G16" s="10"/>
      <c r="H16" s="10"/>
      <c r="I16" s="10"/>
      <c r="J16" s="10"/>
      <c r="K16" s="10"/>
      <c r="L16" s="14">
        <f t="shared" si="1"/>
        <v>9.9</v>
      </c>
      <c r="M16" s="10">
        <v>10</v>
      </c>
      <c r="N16" s="15">
        <f t="shared" si="0"/>
        <v>9.9999999999999645E-2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VLOOKUP($B18,'0304'!$B18:$N37,12,0)</f>
        <v>13.8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12.600000000000001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VLOOKUP($B20,'0304'!$B20:$N39,12,0)</f>
        <v>16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VLOOKUP($B22,'0304'!$B22:$N41,12,0)</f>
        <v>0.6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153.85</v>
      </c>
      <c r="E27" s="13">
        <f t="shared" si="2"/>
        <v>72.2</v>
      </c>
      <c r="F27" s="13">
        <f t="shared" si="2"/>
        <v>7.2</v>
      </c>
      <c r="G27" s="13">
        <f t="shared" si="2"/>
        <v>10.399999999999999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204.45</v>
      </c>
      <c r="M27" s="13">
        <f t="shared" si="2"/>
        <v>204.55</v>
      </c>
      <c r="N27" s="13">
        <f t="shared" si="2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0" priority="1" stopIfTrue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DATE(2015,5,9)</f>
        <v>42133</v>
      </c>
      <c r="E4" s="36">
        <f>D4+1</f>
        <v>42134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VLOOKUP($B7,'0905'!$B7:$N26,12,0)</f>
        <v>32</v>
      </c>
      <c r="E7" s="10"/>
      <c r="F7" s="10"/>
      <c r="G7" s="10">
        <v>12</v>
      </c>
      <c r="H7" s="11">
        <v>2</v>
      </c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VLOOKUP($B8,'0905'!$B8:$N27,12,0)</f>
        <v>6.6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VLOOKUP($B9,'0905'!$B9:$N28,12,0)</f>
        <v>10.199999999999999</v>
      </c>
      <c r="E9" s="10"/>
      <c r="F9" s="11"/>
      <c r="G9" s="10"/>
      <c r="H9" s="10"/>
      <c r="I9" s="10"/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VLOOKUP($B10,'0905'!$B10:$N29,12,0)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VLOOKUP($B11,'0905'!$B11:$N30,12,0)</f>
        <v>42.4</v>
      </c>
      <c r="E11" s="10"/>
      <c r="F11" s="11"/>
      <c r="G11" s="10"/>
      <c r="H11" s="10"/>
      <c r="I11" s="11"/>
      <c r="J11" s="10"/>
      <c r="K11" s="10"/>
      <c r="L11" s="14">
        <f t="shared" si="1"/>
        <v>42.4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VLOOKUP($B12,'0905'!$B12:$N31,12,0)</f>
        <v>15.5</v>
      </c>
      <c r="E12" s="10"/>
      <c r="F12" s="11"/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VLOOKUP($B20,'0905'!$B20:$N39,12,0)</f>
        <v>17.7</v>
      </c>
      <c r="E20" s="12"/>
      <c r="F20" s="12"/>
      <c r="G20" s="12"/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204.45999999999998</v>
      </c>
      <c r="E27" s="13"/>
      <c r="F27" s="13">
        <f t="shared" si="2"/>
        <v>0</v>
      </c>
      <c r="G27" s="13">
        <f t="shared" si="2"/>
        <v>12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190.45999999999998</v>
      </c>
      <c r="M27" s="13">
        <f t="shared" si="2"/>
        <v>190.45999999999998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4" priority="1" stopIfTrue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DATE(2015,5,10)</f>
        <v>42134</v>
      </c>
      <c r="E4" s="36">
        <f>D4+1</f>
        <v>42135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VLOOKUP($B7,'1005'!$B7:$N26,12,0)</f>
        <v>18</v>
      </c>
      <c r="E7" s="10">
        <v>50</v>
      </c>
      <c r="F7" s="10">
        <v>4</v>
      </c>
      <c r="G7" s="10">
        <v>4</v>
      </c>
      <c r="H7" s="11">
        <v>6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VLOOKUP($B8,'1005'!$B8:$N27,12,0)</f>
        <v>6.6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VLOOKUP($B9,'1005'!$B9:$N28,12,0)</f>
        <v>10.199999999999999</v>
      </c>
      <c r="E9" s="10"/>
      <c r="F9" s="11"/>
      <c r="G9" s="10">
        <v>5.7</v>
      </c>
      <c r="H9" s="10">
        <v>2</v>
      </c>
      <c r="I9" s="10"/>
      <c r="J9" s="10"/>
      <c r="K9" s="10"/>
      <c r="L9" s="14">
        <f t="shared" si="1"/>
        <v>2.4999999999999991</v>
      </c>
      <c r="M9" s="10">
        <v>3</v>
      </c>
      <c r="N9" s="15">
        <f t="shared" si="0"/>
        <v>0.50000000000000089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VLOOKUP($B10,'1005'!$B10:$N29,12,0)</f>
        <v>10.199999999999999</v>
      </c>
      <c r="E10">
        <v>1.2</v>
      </c>
      <c r="F10" s="11"/>
      <c r="G10" s="10">
        <v>2.1</v>
      </c>
      <c r="H10" s="10"/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VLOOKUP($B11,'1005'!$B11:$N30,12,0)</f>
        <v>42.4</v>
      </c>
      <c r="E11" s="10"/>
      <c r="F11" s="11">
        <v>1.46</v>
      </c>
      <c r="G11" s="10">
        <v>6</v>
      </c>
      <c r="H11" s="10">
        <v>2</v>
      </c>
      <c r="I11" s="11"/>
      <c r="J11" s="10"/>
      <c r="K11" s="10"/>
      <c r="L11" s="14">
        <f t="shared" si="1"/>
        <v>32.94</v>
      </c>
      <c r="M11" s="10">
        <f>32.6+0.34</f>
        <v>32.940000000000005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VLOOKUP($B12,'1005'!$B12:$N31,12,0)</f>
        <v>15.5</v>
      </c>
      <c r="E12" s="10"/>
      <c r="F12" s="11"/>
      <c r="G12" s="10">
        <v>9</v>
      </c>
      <c r="H12" s="10"/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VLOOKUP($B14,'1005'!$B14:$N33,12,0)</f>
        <v>9</v>
      </c>
      <c r="E14" s="10"/>
      <c r="F14" s="11">
        <v>1.5</v>
      </c>
      <c r="G14" s="10">
        <v>1</v>
      </c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VLOOKUP($B15,'1005'!$B15:$N34,12,0)</f>
        <v>9.8699999999999992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8.8699999999999992</v>
      </c>
      <c r="M15" s="10">
        <f>7.5+0.67+0.2</f>
        <v>8.3699999999999992</v>
      </c>
      <c r="N15" s="15">
        <f t="shared" si="0"/>
        <v>-0.5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VLOOKUP($B16,'1005'!$B16:$N35,12,0)</f>
        <v>17.45</v>
      </c>
      <c r="E16" s="10"/>
      <c r="F16" s="11">
        <v>2</v>
      </c>
      <c r="G16" s="10">
        <v>0.95</v>
      </c>
      <c r="H16" s="10">
        <v>2</v>
      </c>
      <c r="I16" s="10"/>
      <c r="J16" s="10"/>
      <c r="K16" s="10"/>
      <c r="L16" s="14">
        <f t="shared" si="1"/>
        <v>12.5</v>
      </c>
      <c r="M16" s="10">
        <v>12.5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12</v>
      </c>
      <c r="N18" s="15">
        <f t="shared" si="0"/>
        <v>0.24000000000000021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VLOOKUP($B20,'1005'!$B20:$N39,12,0)</f>
        <v>17.7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15.7</v>
      </c>
      <c r="M20" s="12">
        <v>16.5</v>
      </c>
      <c r="N20" s="15">
        <f t="shared" si="0"/>
        <v>0.80000000000000071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VLOOKUP($B21,'1005'!$B21:$N40,12,0)</f>
        <v>15.13</v>
      </c>
      <c r="E21" s="12"/>
      <c r="F21" s="12"/>
      <c r="G21" s="12"/>
      <c r="H21" s="11">
        <v>1.2</v>
      </c>
      <c r="I21" s="12"/>
      <c r="J21" s="12"/>
      <c r="K21" s="12"/>
      <c r="L21" s="14">
        <f t="shared" si="1"/>
        <v>13.930000000000001</v>
      </c>
      <c r="M21" s="12">
        <v>13.93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f>6.6+0.45</f>
        <v>7.05</v>
      </c>
      <c r="N22" s="15">
        <f t="shared" si="0"/>
        <v>0.39999999999999947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190.45999999999998</v>
      </c>
      <c r="E27" s="13">
        <f t="shared" si="2"/>
        <v>51.2</v>
      </c>
      <c r="F27" s="13">
        <f t="shared" si="2"/>
        <v>8.9600000000000009</v>
      </c>
      <c r="G27" s="13">
        <f t="shared" si="2"/>
        <v>29.749999999999996</v>
      </c>
      <c r="H27" s="13">
        <f t="shared" si="2"/>
        <v>17.3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185.65</v>
      </c>
      <c r="M27" s="13">
        <f t="shared" si="2"/>
        <v>187.09000000000003</v>
      </c>
      <c r="N27" s="13">
        <f t="shared" si="2"/>
        <v>1.4400000000000013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3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DATE(2015,5,11)</f>
        <v>42135</v>
      </c>
      <c r="E4" s="36">
        <f>D4+1</f>
        <v>42136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48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VLOOKUP($B7,'1105'!$B7:$N26,12,0)</f>
        <v>54</v>
      </c>
      <c r="E7" s="10">
        <v>30</v>
      </c>
      <c r="F7" s="10"/>
      <c r="G7" s="10">
        <v>10</v>
      </c>
      <c r="H7" s="11">
        <v>8</v>
      </c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VLOOKUP($B8,'1105'!$B8:$N27,12,0)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VLOOKUP($B9,'1105'!$B9:$N28,12,0)</f>
        <v>3</v>
      </c>
      <c r="E9" s="10">
        <f>16*0.5+0.2</f>
        <v>8.1999999999999993</v>
      </c>
      <c r="F9" s="11"/>
      <c r="G9" s="10">
        <v>2.5</v>
      </c>
      <c r="H9" s="10">
        <v>1</v>
      </c>
      <c r="I9" s="10"/>
      <c r="J9" s="10"/>
      <c r="K9" s="10"/>
      <c r="L9" s="14">
        <f t="shared" si="1"/>
        <v>7.6999999999999993</v>
      </c>
      <c r="M9" s="10">
        <v>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VLOOKUP($B10,'1105'!$B10:$N29,12,0)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VLOOKUP($B11,'1105'!$B11:$N30,12,0)</f>
        <v>32.940000000000005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27.940000000000005</v>
      </c>
      <c r="M11" s="10">
        <v>27.94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VLOOKUP($B12,'1105'!$B12:$N31,12,0)</f>
        <v>6.5</v>
      </c>
      <c r="E12" s="10">
        <v>12.8</v>
      </c>
      <c r="F12" s="11"/>
      <c r="G12" s="10">
        <v>1</v>
      </c>
      <c r="H12" s="10">
        <v>0.5</v>
      </c>
      <c r="I12" s="11"/>
      <c r="J12" s="10"/>
      <c r="K12" s="10"/>
      <c r="L12" s="14">
        <f t="shared" si="1"/>
        <v>17.8</v>
      </c>
      <c r="M12" s="10">
        <v>17.8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VLOOKUP($B14,'1105'!$B14:$N33,12,0)</f>
        <v>6.5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VLOOKUP($B15,'1105'!$B15:$N34,12,0)</f>
        <v>8.3699999999999992</v>
      </c>
      <c r="E15" s="10"/>
      <c r="F15" s="11"/>
      <c r="G15" s="10">
        <v>1.5</v>
      </c>
      <c r="H15" s="10">
        <v>1.17</v>
      </c>
      <c r="I15" s="10"/>
      <c r="J15" s="10"/>
      <c r="K15" s="10"/>
      <c r="L15" s="14">
        <f t="shared" si="1"/>
        <v>5.6999999999999993</v>
      </c>
      <c r="M15" s="10">
        <v>5.7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VLOOKUP($B16,'1105'!$B16:$N35,12,0)</f>
        <v>12.5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11.5</v>
      </c>
      <c r="M16" s="10">
        <v>11.5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VLOOKUP($B18,'1105'!$B18:$N37,12,0)</f>
        <v>12</v>
      </c>
      <c r="E18" s="10"/>
      <c r="F18" s="11"/>
      <c r="G18" s="10">
        <v>1.8</v>
      </c>
      <c r="H18" s="10">
        <v>0.9</v>
      </c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VLOOKUP($B20,'1105'!$B20:$N39,12,0)</f>
        <v>16.5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VLOOKUP($B21,'1105'!$B21:$N40,12,0)</f>
        <v>13.93</v>
      </c>
      <c r="E21" s="12"/>
      <c r="F21" s="12"/>
      <c r="G21" s="12"/>
      <c r="H21" s="11">
        <v>0.3</v>
      </c>
      <c r="I21" s="12"/>
      <c r="J21" s="12"/>
      <c r="K21" s="12"/>
      <c r="L21" s="14">
        <f t="shared" si="1"/>
        <v>13.629999999999999</v>
      </c>
      <c r="M21" s="12">
        <v>13.63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VLOOKUP($B22,'1105'!$B22:$N41,12,0)</f>
        <v>7.05</v>
      </c>
      <c r="E22" s="10"/>
      <c r="F22" s="10"/>
      <c r="G22" s="12">
        <v>1.5</v>
      </c>
      <c r="H22" s="11">
        <v>0.9</v>
      </c>
      <c r="I22" s="12"/>
      <c r="J22" s="12"/>
      <c r="K22" s="12"/>
      <c r="L22" s="14">
        <f t="shared" si="1"/>
        <v>4.6500000000000004</v>
      </c>
      <c r="M22" s="12">
        <v>4.6500000000000004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187.09000000000003</v>
      </c>
      <c r="E27" s="13">
        <f t="shared" si="2"/>
        <v>51</v>
      </c>
      <c r="F27" s="13">
        <f t="shared" si="2"/>
        <v>0</v>
      </c>
      <c r="G27" s="13">
        <f t="shared" si="2"/>
        <v>23.3</v>
      </c>
      <c r="H27" s="13">
        <f t="shared" si="2"/>
        <v>15.770000000000001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197.02</v>
      </c>
      <c r="M27" s="13">
        <f t="shared" si="2"/>
        <v>197.02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2" priority="1" stopIfTrue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DATE(2015,5,12)</f>
        <v>42136</v>
      </c>
      <c r="E4" s="36">
        <f>D4+1</f>
        <v>42137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VLOOKUP($B7,'1205'!$B7:$N26,12,0)</f>
        <v>64</v>
      </c>
      <c r="E7" s="10">
        <v>30</v>
      </c>
      <c r="F7" s="10">
        <v>8</v>
      </c>
      <c r="G7" s="10">
        <v>40</v>
      </c>
      <c r="H7" s="11">
        <v>16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VLOOKUP($B8,'1205'!$B8:$N27,12,0)</f>
        <v>4.5</v>
      </c>
      <c r="E8" s="10"/>
      <c r="F8" s="11"/>
      <c r="G8" s="10"/>
      <c r="H8" s="10">
        <v>2.4</v>
      </c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VLOOKUP($B9,'1205'!$B9:$N28,12,0)</f>
        <v>7.7</v>
      </c>
      <c r="E9" s="10">
        <v>9.4</v>
      </c>
      <c r="F9" s="11"/>
      <c r="G9" s="10">
        <v>3</v>
      </c>
      <c r="H9" s="10">
        <v>5</v>
      </c>
      <c r="I9" s="10"/>
      <c r="J9" s="10"/>
      <c r="K9" s="10"/>
      <c r="L9" s="14">
        <f t="shared" si="1"/>
        <v>9.1000000000000014</v>
      </c>
      <c r="M9" s="10">
        <v>9.1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VLOOKUP($B10,'1205'!$B10:$N29,12,0)</f>
        <v>9.3000000000000007</v>
      </c>
      <c r="F10" s="11"/>
      <c r="G10" s="10"/>
      <c r="H10" s="10">
        <v>4.2</v>
      </c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VLOOKUP($B11,'1205'!$B11:$N30,12,0)</f>
        <v>27.94</v>
      </c>
      <c r="E11" s="10">
        <v>24</v>
      </c>
      <c r="F11" s="11"/>
      <c r="G11" s="10">
        <v>6.34</v>
      </c>
      <c r="H11" s="10">
        <v>10</v>
      </c>
      <c r="I11" s="11"/>
      <c r="J11" s="10"/>
      <c r="K11" s="10"/>
      <c r="L11" s="14">
        <f t="shared" si="1"/>
        <v>35.599999999999994</v>
      </c>
      <c r="M11" s="10">
        <v>35.6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VLOOKUP($B12,'1205'!$B12:$N31,12,0)</f>
        <v>17.8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14.8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VLOOKUP($B14,'1205'!$B14:$N33,12,0)</f>
        <v>5.5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VLOOKUP($B15,'1205'!$B15:$N34,12,0)</f>
        <v>5.7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VLOOKUP($B16,'1205'!$B16:$N35,12,0)</f>
        <v>11.5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VLOOKUP($B18,'1205'!$B18:$N37,12,0)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VLOOKUP($B21,'1205'!$B21:$N40,12,0)</f>
        <v>13.63</v>
      </c>
      <c r="E21" s="12"/>
      <c r="F21" s="12"/>
      <c r="G21" s="12"/>
      <c r="H21" s="11">
        <v>3.3</v>
      </c>
      <c r="I21" s="12"/>
      <c r="J21" s="12"/>
      <c r="K21" s="12"/>
      <c r="L21" s="14">
        <f t="shared" si="1"/>
        <v>10.330000000000002</v>
      </c>
      <c r="M21" s="12">
        <v>10.33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VLOOKUP($B22,'1205'!$B22:$N41,12,0)</f>
        <v>4.6500000000000004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1.6500000000000004</v>
      </c>
      <c r="M22" s="12">
        <v>1.65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197.02</v>
      </c>
      <c r="E27" s="13">
        <f t="shared" si="2"/>
        <v>63.4</v>
      </c>
      <c r="F27" s="13">
        <f t="shared" si="2"/>
        <v>8</v>
      </c>
      <c r="G27" s="13">
        <f t="shared" si="2"/>
        <v>49.34</v>
      </c>
      <c r="H27" s="13">
        <f t="shared" si="2"/>
        <v>51.899999999999991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151.18</v>
      </c>
      <c r="M27" s="13">
        <f t="shared" si="2"/>
        <v>151.18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1" priority="1" stopIfTrue="1" operator="less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DATE(2015,5,13)</f>
        <v>42137</v>
      </c>
      <c r="E4" s="36">
        <f>D4+1</f>
        <v>42138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VLOOKUP($B7,'1305'!$B7:$N26,12,0)</f>
        <v>30</v>
      </c>
      <c r="E7" s="10">
        <v>30</v>
      </c>
      <c r="F7" s="10">
        <v>4</v>
      </c>
      <c r="G7" s="10">
        <v>6</v>
      </c>
      <c r="H7" s="11">
        <v>10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VLOOKUP($B8,'1305'!$B8:$N27,12,0)</f>
        <v>2.1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0.90000000000000013</v>
      </c>
      <c r="M8" s="10">
        <v>0.9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VLOOKUP($B9,'1305'!$B9:$N28,12,0)</f>
        <v>9.1</v>
      </c>
      <c r="E9" s="10"/>
      <c r="F9" s="11">
        <v>2</v>
      </c>
      <c r="G9" s="10">
        <v>2</v>
      </c>
      <c r="H9" s="10">
        <v>1.6</v>
      </c>
      <c r="I9" s="10"/>
      <c r="J9" s="10"/>
      <c r="K9" s="10"/>
      <c r="L9" s="14">
        <f t="shared" si="1"/>
        <v>3.5</v>
      </c>
      <c r="M9" s="10">
        <v>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VLOOKUP($B10,'1305'!$B10:$N29,12,0)</f>
        <v>5.0999999999999996</v>
      </c>
      <c r="F10" s="11"/>
      <c r="G10" s="10"/>
      <c r="H10" s="10">
        <v>0.6</v>
      </c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VLOOKUP($B11,'1305'!$B11:$N30,12,0)</f>
        <v>35.6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30.6</v>
      </c>
      <c r="M11" s="10">
        <v>30.6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VLOOKUP($B12,'1305'!$B12:$N31,12,0)</f>
        <v>14.8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VLOOKUP($B13,'1305'!$B13:$N32,12,0)</f>
        <v>0</v>
      </c>
      <c r="E13" s="10">
        <v>2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VLOOKUP($B14,'1305'!$B14:$N33,12,0)</f>
        <v>3.5</v>
      </c>
      <c r="E14" s="10">
        <v>5.8</v>
      </c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VLOOKUP($B15,'1305'!$B15:$N34,12,0)</f>
        <v>3.7</v>
      </c>
      <c r="E15" s="10"/>
      <c r="F15" s="11"/>
      <c r="G15" s="10"/>
      <c r="H15" s="10"/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VLOOKUP($B18,'1305'!$B18:$N37,12,0)</f>
        <v>9.3000000000000007</v>
      </c>
      <c r="E18" s="10"/>
      <c r="F18" s="11"/>
      <c r="G18" s="10">
        <v>0.6</v>
      </c>
      <c r="H18" s="10">
        <v>1.2</v>
      </c>
      <c r="I18" s="10"/>
      <c r="J18" s="10"/>
      <c r="K18" s="10"/>
      <c r="L18" s="14">
        <f t="shared" si="1"/>
        <v>7.5000000000000009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VLOOKUP($B20,'1305'!$B20:$N39,12,0)</f>
        <v>15.5</v>
      </c>
      <c r="E20" s="12"/>
      <c r="F20" s="12">
        <v>3</v>
      </c>
      <c r="G20" s="12">
        <v>2</v>
      </c>
      <c r="H20" s="11"/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VLOOKUP($B21,'1305'!$B21:$N40,12,0)</f>
        <v>10.33</v>
      </c>
      <c r="E21" s="12"/>
      <c r="F21" s="12">
        <v>0.6</v>
      </c>
      <c r="G21" s="12"/>
      <c r="H21" s="11">
        <v>1.28</v>
      </c>
      <c r="I21" s="12"/>
      <c r="J21" s="12"/>
      <c r="K21" s="12"/>
      <c r="L21" s="14">
        <f t="shared" si="1"/>
        <v>8.4499999999999993</v>
      </c>
      <c r="M21" s="12">
        <v>8.4499999999999993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VLOOKUP($B22,'1305'!$B22:$N41,12,0)</f>
        <v>1.65</v>
      </c>
      <c r="E22" s="10">
        <v>4.5</v>
      </c>
      <c r="F22" s="10"/>
      <c r="G22" s="12">
        <v>0.9</v>
      </c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151.18</v>
      </c>
      <c r="E27" s="13">
        <f t="shared" si="2"/>
        <v>42.3</v>
      </c>
      <c r="F27" s="13">
        <f t="shared" si="2"/>
        <v>9.6</v>
      </c>
      <c r="G27" s="13">
        <f t="shared" si="2"/>
        <v>13.5</v>
      </c>
      <c r="H27" s="13">
        <f t="shared" si="2"/>
        <v>21.88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148.5</v>
      </c>
      <c r="M27" s="13">
        <f t="shared" si="2"/>
        <v>148.5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0" priority="1" stopIfTrue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DATE(2015,5,14)</f>
        <v>42138</v>
      </c>
      <c r="E4" s="36">
        <f>D4+1</f>
        <v>42139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VLOOKUP($B7,'1405'!$B7:$N26,12,0)</f>
        <v>40</v>
      </c>
      <c r="E7" s="10">
        <v>20</v>
      </c>
      <c r="F7" s="10">
        <v>6</v>
      </c>
      <c r="G7" s="10">
        <v>20</v>
      </c>
      <c r="H7" s="11"/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VLOOKUP($B8,'1405'!$B8:$N27,12,0)</f>
        <v>0.9</v>
      </c>
      <c r="E8" s="10">
        <v>6.5</v>
      </c>
      <c r="F8" s="11"/>
      <c r="G8" s="10"/>
      <c r="H8" s="10"/>
      <c r="I8" s="10"/>
      <c r="J8" s="10"/>
      <c r="K8" s="10"/>
      <c r="L8" s="14">
        <f t="shared" ref="L8:L22" si="1">D8+E8-SUM(F8:K8)</f>
        <v>7.4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VLOOKUP($B9,'1405'!$B9:$N28,12,0)</f>
        <v>3.5</v>
      </c>
      <c r="E9" s="10">
        <v>19</v>
      </c>
      <c r="F9" s="11">
        <v>3</v>
      </c>
      <c r="G9" s="10">
        <v>4</v>
      </c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VLOOKUP($B10,'1405'!$B10:$N29,12,0)</f>
        <v>4.5</v>
      </c>
      <c r="F10" s="11"/>
      <c r="G10" s="10"/>
      <c r="H10" s="10"/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VLOOKUP($B11,'1405'!$B11:$N30,12,0)</f>
        <v>30.6</v>
      </c>
      <c r="E11" s="10"/>
      <c r="F11" s="11">
        <v>4.0999999999999996</v>
      </c>
      <c r="G11" s="10">
        <v>3</v>
      </c>
      <c r="H11" s="10"/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VLOOKUP($B12,'1405'!$B12:$N31,12,0)</f>
        <v>11.8</v>
      </c>
      <c r="E12" s="10"/>
      <c r="F12" s="11">
        <v>2</v>
      </c>
      <c r="G12" s="10">
        <v>1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VLOOKUP($B13,'1405'!$B13:$N32,12,0)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VLOOKUP($B14,'1405'!$B14:$N33,12,0)</f>
        <v>9.3000000000000007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7.3000000000000007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VLOOKUP($B15,'1405'!$B15:$N34,12,0)</f>
        <v>3.7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2.7</v>
      </c>
      <c r="M15" s="10">
        <v>2.7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VLOOKUP($B18,'1405'!$B18:$N37,12,0)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VLOOKUP($B20,'1405'!$B20:$N39,12,0)</f>
        <v>10.5</v>
      </c>
      <c r="E20" s="12">
        <v>12.3</v>
      </c>
      <c r="F20" s="12">
        <v>4</v>
      </c>
      <c r="G20" s="12">
        <v>2</v>
      </c>
      <c r="H20" s="11"/>
      <c r="I20" s="12"/>
      <c r="J20" s="12"/>
      <c r="K20" s="12"/>
      <c r="L20" s="14">
        <f t="shared" si="1"/>
        <v>16.8</v>
      </c>
      <c r="M20" s="12">
        <v>16.8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VLOOKUP($B21,'1405'!$B21:$N40,12,0)</f>
        <v>8.4499999999999993</v>
      </c>
      <c r="E21" s="12"/>
      <c r="F21" s="12">
        <v>0.6</v>
      </c>
      <c r="G21" s="12">
        <v>2.4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148.5</v>
      </c>
      <c r="E27" s="13">
        <f t="shared" si="2"/>
        <v>57.8</v>
      </c>
      <c r="F27" s="13">
        <f t="shared" si="2"/>
        <v>23.700000000000003</v>
      </c>
      <c r="G27" s="13">
        <f t="shared" si="2"/>
        <v>35.5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147.1</v>
      </c>
      <c r="M27" s="13">
        <f t="shared" si="2"/>
        <v>147.1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9" priority="1" stopIfTrue="1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2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DATE(2015,5,15)</f>
        <v>42139</v>
      </c>
      <c r="E4" s="36">
        <f>D4+1</f>
        <v>42140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VLOOKUP($B7,'1505'!$B7:$N26,12,0)</f>
        <v>34</v>
      </c>
      <c r="E7" s="10">
        <v>20</v>
      </c>
      <c r="F7" s="10">
        <v>6</v>
      </c>
      <c r="G7" s="10"/>
      <c r="H7" s="11">
        <v>12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VLOOKUP($B8,'1505'!$B8:$N27,12,0)</f>
        <v>7.4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VLOOKUP($B10,'1505'!$B10:$N29,12,0)</f>
        <v>4.5</v>
      </c>
      <c r="F10" s="11"/>
      <c r="G10" s="10">
        <v>2.4</v>
      </c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VLOOKUP($B11,'1505'!$B11:$N30,12,0)</f>
        <v>23.5</v>
      </c>
      <c r="E11" s="10">
        <f>20.65+3.5</f>
        <v>24.15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39.65</v>
      </c>
      <c r="M11" s="10">
        <f>15.5+24.15</f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VLOOKUP($B12,'1505'!$B12:$N31,12,0)</f>
        <v>8.8000000000000007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5.8000000000000007</v>
      </c>
      <c r="M12" s="10">
        <v>6</v>
      </c>
      <c r="N12" s="15">
        <f t="shared" si="0"/>
        <v>0.19999999999999929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VLOOKUP($B15,'1505'!$B15:$N34,12,0)</f>
        <v>2.7</v>
      </c>
      <c r="E15" s="10">
        <v>10.1</v>
      </c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VLOOKUP($B20,'1505'!$B20:$N39,12,0)</f>
        <v>16.8</v>
      </c>
      <c r="E20" s="12">
        <v>10.5</v>
      </c>
      <c r="F20" s="12">
        <v>0.8</v>
      </c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147.1</v>
      </c>
      <c r="E27" s="13">
        <f t="shared" si="2"/>
        <v>64.75</v>
      </c>
      <c r="F27" s="13">
        <f t="shared" si="2"/>
        <v>6.8</v>
      </c>
      <c r="G27" s="13">
        <f t="shared" si="2"/>
        <v>10.6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178.45</v>
      </c>
      <c r="M27" s="13">
        <f t="shared" si="2"/>
        <v>178.65</v>
      </c>
      <c r="N27" s="13">
        <f t="shared" si="2"/>
        <v>0.19999999999999929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8" priority="1" stopIfTrue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DATE(2015,5,16)</f>
        <v>42140</v>
      </c>
      <c r="E4" s="36">
        <f>D4+1</f>
        <v>42141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VLOOKUP($B7,'1605'!$B7:$N26,12,0)</f>
        <v>36</v>
      </c>
      <c r="E7" s="10"/>
      <c r="F7" s="10"/>
      <c r="G7" s="10"/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VLOOKUP($B10,'1605'!$B10:$N29,12,0)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VLOOKUP($B11,'1605'!$B11:$N30,12,0)</f>
        <v>39.65</v>
      </c>
      <c r="E11" s="10"/>
      <c r="F11" s="11"/>
      <c r="G11" s="10"/>
      <c r="H11" s="10"/>
      <c r="I11" s="11"/>
      <c r="J11" s="10"/>
      <c r="K11" s="10"/>
      <c r="L11" s="14">
        <f t="shared" si="1"/>
        <v>39.65</v>
      </c>
      <c r="M11" s="10"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VLOOKUP($B12,'1605'!$B12:$N31,12,0)</f>
        <v>6</v>
      </c>
      <c r="E12" s="10"/>
      <c r="F12" s="11"/>
      <c r="G12" s="10"/>
      <c r="H12" s="10"/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VLOOKUP($B20,'1605'!$B20:$N39,12,0)</f>
        <v>26.5</v>
      </c>
      <c r="E20" s="12"/>
      <c r="F20" s="12"/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178.65</v>
      </c>
      <c r="M27" s="13">
        <f t="shared" si="2"/>
        <v>178.65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7" priority="1" stopIfTrue="1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DATE(2015,5,17)</f>
        <v>42141</v>
      </c>
      <c r="E4" s="36">
        <f>D4+1</f>
        <v>42142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VLOOKUP($B7,'1705'!$B7:$N26,12,0)</f>
        <v>36</v>
      </c>
      <c r="E7" s="10">
        <v>40</v>
      </c>
      <c r="F7" s="10">
        <v>8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VLOOKUP($B9,'1705'!$B9:$N28,12,0)</f>
        <v>15.5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VLOOKUP($B10,'1705'!$B10:$N29,12,0)</f>
        <v>2.1</v>
      </c>
      <c r="E10">
        <v>10.5</v>
      </c>
      <c r="F10" s="11"/>
      <c r="G10" s="10">
        <v>1.2</v>
      </c>
      <c r="H10" s="10">
        <v>0.9</v>
      </c>
      <c r="I10" s="11"/>
      <c r="J10" s="10"/>
      <c r="K10" s="10"/>
      <c r="L10" s="14">
        <f t="shared" si="1"/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VLOOKUP($B11,'1705'!$B11:$N30,12,0)</f>
        <v>39.65</v>
      </c>
      <c r="E11" s="10"/>
      <c r="F11" s="11"/>
      <c r="G11" s="10">
        <v>4</v>
      </c>
      <c r="H11" s="10">
        <v>3</v>
      </c>
      <c r="I11" s="11">
        <v>10</v>
      </c>
      <c r="J11" s="10"/>
      <c r="K11" s="10"/>
      <c r="L11" s="14">
        <f t="shared" si="1"/>
        <v>22.65</v>
      </c>
      <c r="M11" s="10">
        <v>22.65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VLOOKUP($B12,'1705'!$B12:$N31,12,0)</f>
        <v>6</v>
      </c>
      <c r="E12" s="10">
        <v>14.1</v>
      </c>
      <c r="F12" s="11"/>
      <c r="G12" s="10">
        <v>4.5</v>
      </c>
      <c r="H12" s="10"/>
      <c r="I12" s="11"/>
      <c r="J12" s="10"/>
      <c r="K12" s="10"/>
      <c r="L12" s="14">
        <f t="shared" si="1"/>
        <v>15.600000000000001</v>
      </c>
      <c r="M12" s="10">
        <v>15.6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VLOOKUP($B20,'1705'!$B20:$N39,12,0)</f>
        <v>26.5</v>
      </c>
      <c r="E20" s="12"/>
      <c r="F20" s="12"/>
      <c r="G20" s="12"/>
      <c r="H20" s="11"/>
      <c r="I20" s="12">
        <v>5</v>
      </c>
      <c r="J20" s="12"/>
      <c r="K20" s="12"/>
      <c r="L20" s="14">
        <f t="shared" si="1"/>
        <v>21.5</v>
      </c>
      <c r="M20" s="12">
        <v>21.5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VLOOKUP($B21,'1705'!$B21:$N40,12,0)</f>
        <v>5.45</v>
      </c>
      <c r="E21" s="12"/>
      <c r="F21" s="12">
        <v>0.3</v>
      </c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64.599999999999994</v>
      </c>
      <c r="F27" s="13">
        <f t="shared" si="2"/>
        <v>8.3000000000000007</v>
      </c>
      <c r="G27" s="13">
        <f t="shared" si="2"/>
        <v>20.7</v>
      </c>
      <c r="H27" s="13">
        <f t="shared" si="2"/>
        <v>13.9</v>
      </c>
      <c r="I27" s="13">
        <f t="shared" si="2"/>
        <v>21</v>
      </c>
      <c r="J27" s="13">
        <f t="shared" si="2"/>
        <v>0</v>
      </c>
      <c r="K27" s="13">
        <f t="shared" si="2"/>
        <v>0</v>
      </c>
      <c r="L27" s="13">
        <f t="shared" si="2"/>
        <v>179.35</v>
      </c>
      <c r="M27" s="13">
        <f t="shared" si="2"/>
        <v>179.35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6" priority="1" stopIfTrue="1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DATE(2015,5,18)</f>
        <v>42142</v>
      </c>
      <c r="E4" s="36">
        <f>D4+1</f>
        <v>42143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VLOOKUP($B7,'1805'!$B7:$N26,12,0)</f>
        <v>44</v>
      </c>
      <c r="E7" s="10">
        <v>30</v>
      </c>
      <c r="F7" s="10"/>
      <c r="G7" s="10">
        <v>8</v>
      </c>
      <c r="H7" s="11"/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VLOOKUP($B9,'1805'!$B9:$N28,12,0)</f>
        <v>12.5</v>
      </c>
      <c r="E9" s="10">
        <v>17.399999999999999</v>
      </c>
      <c r="F9" s="11"/>
      <c r="G9" s="10">
        <v>3</v>
      </c>
      <c r="H9" s="10"/>
      <c r="I9" s="10"/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VLOOKUP($B10,'1805'!$B10:$N29,12,0)</f>
        <v>10.5</v>
      </c>
      <c r="F10" s="11"/>
      <c r="G10" s="10">
        <v>1.2</v>
      </c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VLOOKUP($B11,'1805'!$B11:$N30,12,0)</f>
        <v>22.65</v>
      </c>
      <c r="E11" s="10">
        <v>23.85</v>
      </c>
      <c r="F11" s="11">
        <v>0.5</v>
      </c>
      <c r="G11" s="10">
        <v>3</v>
      </c>
      <c r="H11" s="10"/>
      <c r="I11" s="11"/>
      <c r="J11" s="10"/>
      <c r="K11" s="10"/>
      <c r="L11" s="14">
        <f t="shared" si="1"/>
        <v>43</v>
      </c>
      <c r="M11" s="10">
        <v>43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VLOOKUP($B12,'1805'!$B12:$N31,12,0)</f>
        <v>15.6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14.6</v>
      </c>
      <c r="M12" s="10">
        <v>14.6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VLOOKUP($B14,'1805'!$B14:$N33,12,0)</f>
        <v>7.3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5.3</v>
      </c>
      <c r="M14" s="10">
        <v>5.3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VLOOKUP($B15,'1805'!$B15:$N34,12,0)</f>
        <v>12.8</v>
      </c>
      <c r="E15" s="10"/>
      <c r="F15" s="11"/>
      <c r="G15" s="10">
        <v>2.2000000000000002</v>
      </c>
      <c r="H15" s="10"/>
      <c r="I15" s="10"/>
      <c r="J15" s="10"/>
      <c r="K15" s="10"/>
      <c r="L15" s="14">
        <f t="shared" si="1"/>
        <v>10.600000000000001</v>
      </c>
      <c r="M15" s="10">
        <v>10.6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VLOOKUP($B16,'1805'!$B16:$N35,12,0)</f>
        <v>10.5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6.5</v>
      </c>
      <c r="M16" s="10">
        <v>6.5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VLOOKUP($B18,'1805'!$B18:$N37,12,0)</f>
        <v>5.4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4.2</v>
      </c>
      <c r="M18" s="10">
        <v>4.2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VLOOKUP($B20,'1805'!$B20:$N39,12,0)</f>
        <v>21.5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17.5</v>
      </c>
      <c r="M20" s="12">
        <v>17.5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VLOOKUP($B21,'1805'!$B21:$N40,12,0)</f>
        <v>5.15</v>
      </c>
      <c r="E21" s="12"/>
      <c r="F21" s="12">
        <v>0.6</v>
      </c>
      <c r="G21" s="12">
        <v>1.5</v>
      </c>
      <c r="H21" s="11"/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VLOOKUP($B22,'1805'!$B22:$N41,12,0)</f>
        <v>5.25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3.6</v>
      </c>
      <c r="M22" s="12">
        <v>3.6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179.35</v>
      </c>
      <c r="E27" s="13">
        <f t="shared" si="2"/>
        <v>71.25</v>
      </c>
      <c r="F27" s="13">
        <f t="shared" si="2"/>
        <v>5.0999999999999996</v>
      </c>
      <c r="G27" s="13">
        <f t="shared" si="2"/>
        <v>28.749999999999996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214.74999999999997</v>
      </c>
      <c r="M27" s="13">
        <f t="shared" si="2"/>
        <v>214.74999999999997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5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DATE(2015,4,4)</f>
        <v>42098</v>
      </c>
      <c r="E4" s="36">
        <f>D4+1</f>
        <v>42099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VLOOKUP($B7,'0404'!$B7:$N26,12,0)</f>
        <v>54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VLOOKUP($B10,'0404'!$B10:$N29,12,0)</f>
        <v>6.7</v>
      </c>
      <c r="F10" s="11"/>
      <c r="G10" s="10"/>
      <c r="H10" s="10"/>
      <c r="I10" s="11"/>
      <c r="J10" s="10"/>
      <c r="K10" s="10"/>
      <c r="L10" s="14">
        <f t="shared" si="1"/>
        <v>6.7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VLOOKUP($B11,'0404'!$B11:$N30,12,0)</f>
        <v>28.85</v>
      </c>
      <c r="E11" s="10"/>
      <c r="F11" s="11">
        <v>1</v>
      </c>
      <c r="G11" s="10"/>
      <c r="H11" s="10"/>
      <c r="I11" s="11"/>
      <c r="J11" s="10"/>
      <c r="K11" s="10"/>
      <c r="L11" s="14">
        <f t="shared" si="1"/>
        <v>27.85</v>
      </c>
      <c r="M11" s="10">
        <v>27.85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VLOOKUP($B12,'0404'!$B12:$N31,12,0)</f>
        <v>18.8</v>
      </c>
      <c r="E12" s="10"/>
      <c r="F12" s="11"/>
      <c r="G12" s="10"/>
      <c r="H12" s="10"/>
      <c r="I12" s="11"/>
      <c r="J12" s="10"/>
      <c r="K12" s="10"/>
      <c r="L12" s="14">
        <f t="shared" si="1"/>
        <v>18.8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VLOOKUP($B16,'0404'!$B16:$N35,12,0)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VLOOKUP($B20,'0404'!$B20:$N39,12,0)</f>
        <v>15</v>
      </c>
      <c r="E20" s="12"/>
      <c r="F20" s="12"/>
      <c r="G20" s="12"/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204.55</v>
      </c>
      <c r="E27" s="13">
        <f t="shared" si="2"/>
        <v>0</v>
      </c>
      <c r="F27" s="13">
        <f t="shared" si="2"/>
        <v>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199.54999999999998</v>
      </c>
      <c r="M27" s="13">
        <f t="shared" si="2"/>
        <v>199.54999999999998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9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DATE(2015,5,19)</f>
        <v>42143</v>
      </c>
      <c r="E4" s="36">
        <f>D4+1</f>
        <v>42144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VLOOKUP($B7,'1905'!$B7:$N26,12,0)</f>
        <v>64</v>
      </c>
      <c r="E7" s="10">
        <v>60</v>
      </c>
      <c r="F7" s="10">
        <v>12</v>
      </c>
      <c r="G7" s="10">
        <v>10</v>
      </c>
      <c r="H7" s="11">
        <v>6</v>
      </c>
      <c r="I7" s="10">
        <v>8</v>
      </c>
      <c r="J7" s="10">
        <v>2</v>
      </c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VLOOKUP($B8,'1905'!$B8:$N27,12,0)</f>
        <v>6.2</v>
      </c>
      <c r="E8" s="10"/>
      <c r="F8" s="11"/>
      <c r="G8" s="10"/>
      <c r="H8" s="10"/>
      <c r="I8" s="10">
        <v>1.2</v>
      </c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VLOOKUP($B9,'1905'!$B9:$N28,12,0)</f>
        <v>26.9</v>
      </c>
      <c r="E9" s="10"/>
      <c r="F9" s="11">
        <v>3</v>
      </c>
      <c r="G9" s="10">
        <v>1</v>
      </c>
      <c r="H9" s="10">
        <v>1</v>
      </c>
      <c r="I9" s="10">
        <v>2</v>
      </c>
      <c r="J9" s="10"/>
      <c r="K9" s="10"/>
      <c r="L9" s="14">
        <f t="shared" si="1"/>
        <v>19.899999999999999</v>
      </c>
      <c r="M9" s="10">
        <v>19.899999999999999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VLOOKUP($B10,'1905'!$B10:$N29,12,0)</f>
        <v>9.3000000000000007</v>
      </c>
      <c r="F10" s="11"/>
      <c r="G10" s="10"/>
      <c r="H10" s="10">
        <v>0.6</v>
      </c>
      <c r="I10" s="11"/>
      <c r="J10" s="10"/>
      <c r="K10" s="10"/>
      <c r="L10" s="14">
        <f t="shared" si="1"/>
        <v>8.7000000000000011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VLOOKUP($B11,'1905'!$B11:$N30,12,0)</f>
        <v>43</v>
      </c>
      <c r="E11" s="10"/>
      <c r="F11" s="11">
        <v>7</v>
      </c>
      <c r="G11" s="10">
        <v>4</v>
      </c>
      <c r="H11" s="10">
        <v>1</v>
      </c>
      <c r="I11" s="11"/>
      <c r="J11" s="10"/>
      <c r="K11" s="10"/>
      <c r="L11" s="14">
        <f t="shared" si="1"/>
        <v>31</v>
      </c>
      <c r="M11" s="10">
        <v>31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VLOOKUP($B12,'1905'!$B12:$N31,12,0)</f>
        <v>14.6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si="1"/>
        <v>12.1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VLOOKUP($B13,'1905'!$B13:$N32,12,0)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VLOOKUP($B14,'1905'!$B14:$N33,12,0)</f>
        <v>5.3</v>
      </c>
      <c r="E14" s="10"/>
      <c r="F14" s="11">
        <v>1.8</v>
      </c>
      <c r="G14" s="10">
        <v>0.5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VLOOKUP($B15,'1905'!$B15:$N34,12,0)</f>
        <v>10.6</v>
      </c>
      <c r="E15" s="10"/>
      <c r="F15" s="11">
        <v>0.6</v>
      </c>
      <c r="G15" s="10">
        <v>0.5</v>
      </c>
      <c r="H15" s="10"/>
      <c r="I15" s="10"/>
      <c r="J15" s="10"/>
      <c r="K15" s="10"/>
      <c r="L15" s="14">
        <f t="shared" si="1"/>
        <v>9.5</v>
      </c>
      <c r="M15" s="10">
        <v>9.5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VLOOKUP($B16,'1905'!$B16:$N35,12,0)</f>
        <v>6.5</v>
      </c>
      <c r="E16" s="10">
        <v>13.5</v>
      </c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17</v>
      </c>
      <c r="M16" s="10">
        <v>17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VLOOKUP($B18,'1905'!$B18:$N37,12,0)</f>
        <v>4.2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VLOOKUP($B20,'1905'!$B20:$N39,12,0)</f>
        <v>17.5</v>
      </c>
      <c r="E20" s="12"/>
      <c r="F20" s="12">
        <v>5</v>
      </c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VLOOKUP($B21,'1905'!$B21:$N40,12,0)</f>
        <v>3.05</v>
      </c>
      <c r="E21" s="12"/>
      <c r="F21" s="12"/>
      <c r="G21" s="12">
        <v>0.65</v>
      </c>
      <c r="H21" s="11">
        <v>1.2</v>
      </c>
      <c r="I21" s="12">
        <v>1.2</v>
      </c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VLOOKUP($B22,'1905'!$B22:$N41,12,0)</f>
        <v>3.6</v>
      </c>
      <c r="E22" s="10">
        <v>5.4</v>
      </c>
      <c r="F22" s="10"/>
      <c r="G22" s="12">
        <v>1.8</v>
      </c>
      <c r="H22" s="11"/>
      <c r="I22" s="12"/>
      <c r="J22" s="12"/>
      <c r="K22" s="12"/>
      <c r="L22" s="14">
        <f t="shared" si="1"/>
        <v>7.2</v>
      </c>
      <c r="M22" s="12">
        <f>1.8+5.4</f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214.74999999999997</v>
      </c>
      <c r="E27" s="13">
        <f t="shared" si="2"/>
        <v>80.900000000000006</v>
      </c>
      <c r="F27" s="13">
        <f t="shared" si="2"/>
        <v>34.900000000000006</v>
      </c>
      <c r="G27" s="13">
        <f t="shared" si="2"/>
        <v>22.349999999999998</v>
      </c>
      <c r="H27" s="13">
        <f t="shared" si="2"/>
        <v>9.7999999999999989</v>
      </c>
      <c r="I27" s="13">
        <f t="shared" si="2"/>
        <v>13.599999999999998</v>
      </c>
      <c r="J27" s="13">
        <f t="shared" si="2"/>
        <v>2</v>
      </c>
      <c r="K27" s="13">
        <f t="shared" si="2"/>
        <v>0</v>
      </c>
      <c r="L27" s="13">
        <f t="shared" si="2"/>
        <v>213</v>
      </c>
      <c r="M27" s="13">
        <f t="shared" si="2"/>
        <v>213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4" priority="1" stopIfTrue="1" operator="lessThan">
      <formula>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DATE(2015,5,20)</f>
        <v>42144</v>
      </c>
      <c r="E4" s="36">
        <f>D4+1</f>
        <v>42145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VLOOKUP($B7,'2005'!$B7:$N26,12,0)</f>
        <v>86</v>
      </c>
      <c r="E7" s="10">
        <v>40</v>
      </c>
      <c r="F7" s="10"/>
      <c r="G7" s="10">
        <v>32</v>
      </c>
      <c r="H7" s="11">
        <v>30</v>
      </c>
      <c r="I7" s="10">
        <v>6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VLOOKUP($B8,'2005'!$B8:$N27,12,0)</f>
        <v>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VLOOKUP($B9,'2005'!$B9:$N28,12,0)</f>
        <v>19.899999999999999</v>
      </c>
      <c r="E9" s="10"/>
      <c r="F9" s="11"/>
      <c r="G9" s="10">
        <v>3</v>
      </c>
      <c r="H9" s="10">
        <v>11.5</v>
      </c>
      <c r="I9" s="10"/>
      <c r="J9" s="10"/>
      <c r="K9" s="10"/>
      <c r="L9" s="14">
        <f t="shared" si="1"/>
        <v>5.3999999999999986</v>
      </c>
      <c r="M9" s="10">
        <v>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VLOOKUP($B11,'2005'!$B11:$N30,12,0)</f>
        <v>31</v>
      </c>
      <c r="E11" s="10"/>
      <c r="F11" s="11"/>
      <c r="G11" s="10">
        <v>4</v>
      </c>
      <c r="H11" s="10">
        <v>10</v>
      </c>
      <c r="I11" s="11"/>
      <c r="J11" s="10"/>
      <c r="K11" s="10"/>
      <c r="L11" s="14">
        <f t="shared" si="1"/>
        <v>17</v>
      </c>
      <c r="M11" s="10">
        <v>17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VLOOKUP($B12,'2005'!$B12:$N31,12,0)</f>
        <v>12.1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7.1</v>
      </c>
      <c r="M12" s="10">
        <v>7.1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VLOOKUP($B14,'2005'!$B14:$N33,12,0)</f>
        <v>3</v>
      </c>
      <c r="E14" s="10">
        <v>6.7</v>
      </c>
      <c r="F14" s="11"/>
      <c r="G14" s="10">
        <v>2</v>
      </c>
      <c r="H14" s="10"/>
      <c r="I14" s="11"/>
      <c r="J14" s="10"/>
      <c r="K14" s="10"/>
      <c r="L14" s="14">
        <f t="shared" si="1"/>
        <v>7.6999999999999993</v>
      </c>
      <c r="M14" s="10">
        <v>7.7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VLOOKUP($B15,'2005'!$B15:$N34,12,0)</f>
        <v>9.5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7.5</v>
      </c>
      <c r="M15" s="10">
        <v>7.5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VLOOKUP($B16,'2005'!$B16:$N35,12,0)</f>
        <v>17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</v>
      </c>
      <c r="M16" s="10">
        <v>13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VLOOKUP($B18,'2005'!$B18:$N37,12,0)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VLOOKUP($B20,'2005'!$B20:$N39,12,0)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VLOOKUP($B21,'2005'!$B21:$N40,12,0)</f>
        <v>0</v>
      </c>
      <c r="E21" s="12">
        <v>10.9</v>
      </c>
      <c r="F21" s="12"/>
      <c r="G21" s="12">
        <v>1.9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VLOOKUP($B22,'2005'!$B22:$N41,12,0)</f>
        <v>7.2</v>
      </c>
      <c r="E22" s="10"/>
      <c r="F22" s="10"/>
      <c r="G22" s="12">
        <v>3</v>
      </c>
      <c r="H22" s="11">
        <v>3</v>
      </c>
      <c r="I22" s="12"/>
      <c r="J22" s="12"/>
      <c r="K22" s="12"/>
      <c r="L22" s="14">
        <f t="shared" si="1"/>
        <v>1.2000000000000002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213</v>
      </c>
      <c r="E27" s="13">
        <f t="shared" si="2"/>
        <v>57.6</v>
      </c>
      <c r="F27" s="13">
        <f t="shared" si="2"/>
        <v>0</v>
      </c>
      <c r="G27" s="13">
        <f t="shared" si="2"/>
        <v>56.9</v>
      </c>
      <c r="H27" s="13">
        <f t="shared" si="2"/>
        <v>54.5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153.19999999999999</v>
      </c>
      <c r="M27" s="13">
        <f t="shared" si="2"/>
        <v>153.19999999999999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3" priority="1" stopIfTrue="1" operator="lessThan">
      <formula>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DATE(2015,5,21)</f>
        <v>42145</v>
      </c>
      <c r="E4" s="36">
        <f>D4+1</f>
        <v>42146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VLOOKUP($B7,'2105'!$B7:$N26,12,0)</f>
        <v>58</v>
      </c>
      <c r="E7" s="10"/>
      <c r="F7" s="10">
        <v>4</v>
      </c>
      <c r="G7" s="10">
        <v>36</v>
      </c>
      <c r="H7" s="11"/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VLOOKUP($B8,'2105'!$B8:$N27,12,0)</f>
        <v>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4.0999999999999996</v>
      </c>
      <c r="M8" s="10">
        <v>4.0999999999999996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VLOOKUP($B9,'2105'!$B9:$N28,12,0)</f>
        <v>5.4</v>
      </c>
      <c r="E9" s="10">
        <v>18</v>
      </c>
      <c r="F9" s="11"/>
      <c r="G9" s="10">
        <v>5</v>
      </c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VLOOKUP($B11,'2105'!$B11:$N30,12,0)</f>
        <v>17</v>
      </c>
      <c r="E11" s="10">
        <f>10+13.5</f>
        <v>23.5</v>
      </c>
      <c r="F11" s="11"/>
      <c r="G11" s="10">
        <v>5</v>
      </c>
      <c r="H11" s="10"/>
      <c r="I11" s="11"/>
      <c r="J11" s="10"/>
      <c r="K11" s="10"/>
      <c r="L11" s="14">
        <f t="shared" si="1"/>
        <v>35.5</v>
      </c>
      <c r="M11" s="10">
        <v>35.5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VLOOKUP($B12,'2105'!$B12:$N31,12,0)</f>
        <v>7.1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20.7</v>
      </c>
      <c r="M12" s="10">
        <v>20.7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VLOOKUP($B14,'2105'!$B14:$N33,12,0)</f>
        <v>7.7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VLOOKUP($B15,'2105'!$B15:$N34,12,0)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VLOOKUP($B16,'2105'!$B16:$N35,12,0)</f>
        <v>13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VLOOKUP($B18,'2105'!$B18:$N37,12,0)</f>
        <v>2.1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VLOOKUP($B20,'2105'!$B20:$N39,12,0)</f>
        <v>11.5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VLOOKUP($B21,'2105'!$B21:$N40,12,0)</f>
        <v>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VLOOKUP($B22,'2105'!$B22:$N41,12,0)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153.19999999999999</v>
      </c>
      <c r="E27" s="13">
        <f t="shared" si="2"/>
        <v>55.1</v>
      </c>
      <c r="F27" s="13">
        <f t="shared" si="2"/>
        <v>4</v>
      </c>
      <c r="G27" s="13">
        <f t="shared" si="2"/>
        <v>59.2</v>
      </c>
      <c r="H27" s="13">
        <f t="shared" si="2"/>
        <v>0.9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144.20000000000002</v>
      </c>
      <c r="M27" s="13">
        <f t="shared" si="2"/>
        <v>144.20000000000002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2" priority="1" stopIfTrue="1" operator="lessThan">
      <formula>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DATE(2015,5,22)</f>
        <v>42146</v>
      </c>
      <c r="E4" s="36">
        <f>D4+1</f>
        <v>42147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 t="s">
        <v>49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VLOOKUP($B7,'2205'!$B7:$N26,12,0)</f>
        <v>18</v>
      </c>
      <c r="E7" s="10">
        <v>30</v>
      </c>
      <c r="F7" s="10">
        <f>4+10</f>
        <v>14</v>
      </c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VLOOKUP($B8,'2205'!$B8:$N27,12,0)</f>
        <v>4.0999999999999996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2.8999999999999995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VLOOKUP($B10,'2205'!$B10:$N29,12,0)</f>
        <v>8.6999999999999993</v>
      </c>
      <c r="F10" s="11"/>
      <c r="G10" s="10">
        <v>1.2</v>
      </c>
      <c r="H10" s="10"/>
      <c r="I10" s="11"/>
      <c r="J10" s="10"/>
      <c r="K10" s="10"/>
      <c r="L10" s="14">
        <f t="shared" si="1"/>
        <v>7.4999999999999991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VLOOKUP($B11,'2205'!$B11:$N30,12,0)</f>
        <v>35.5</v>
      </c>
      <c r="E11" s="10"/>
      <c r="F11" s="11"/>
      <c r="G11" s="10">
        <v>2</v>
      </c>
      <c r="H11" s="10"/>
      <c r="I11" s="11">
        <v>8</v>
      </c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VLOOKUP($B12,'2205'!$B12:$N31,12,0)</f>
        <v>20.7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VLOOKUP($B14,'2205'!$B14:$N33,12,0)</f>
        <v>5.7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VLOOKUP($B18,'2205'!$B18:$N37,12,0)</f>
        <v>0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VLOOKUP($B20,'2205'!$B20:$N39,12,0)</f>
        <v>9.5</v>
      </c>
      <c r="E20" s="12"/>
      <c r="F20" s="12">
        <v>0.5</v>
      </c>
      <c r="G20" s="12">
        <v>1</v>
      </c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VLOOKUP($B22,'2205'!$B22:$N41,12,0)</f>
        <v>1.2</v>
      </c>
      <c r="E22" s="10">
        <v>8.3000000000000007</v>
      </c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144.20000000000002</v>
      </c>
      <c r="E27" s="13">
        <f t="shared" si="2"/>
        <v>48.599999999999994</v>
      </c>
      <c r="F27" s="13">
        <f t="shared" si="2"/>
        <v>16.5</v>
      </c>
      <c r="G27" s="13">
        <f t="shared" si="2"/>
        <v>7.6000000000000005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158.70000000000002</v>
      </c>
      <c r="M27" s="13">
        <f t="shared" si="2"/>
        <v>158.70000000000002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1" priority="1" stopIfTrue="1" operator="lessThan">
      <formula>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DATE(2015,5,23)</f>
        <v>42147</v>
      </c>
      <c r="E4" s="36">
        <f>D4+1</f>
        <v>42148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VLOOKUP($B7,'2305'!$B7:$N26,12,0)</f>
        <v>32</v>
      </c>
      <c r="E7" s="10"/>
      <c r="F7" s="10"/>
      <c r="G7" s="10"/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VLOOKUP($B8,'2305'!$B8:$N27,12,0)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VLOOKUP($B10,'2305'!$B10:$N29,12,0)</f>
        <v>7.5</v>
      </c>
      <c r="F10" s="11"/>
      <c r="G10" s="10"/>
      <c r="H10" s="10"/>
      <c r="I10" s="11"/>
      <c r="J10" s="10"/>
      <c r="K10" s="10"/>
      <c r="L10" s="14">
        <f t="shared" si="1"/>
        <v>7.5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VLOOKUP($B11,'2305'!$B11:$N30,12,0)</f>
        <v>25.5</v>
      </c>
      <c r="E11" s="10"/>
      <c r="F11" s="11"/>
      <c r="G11" s="10"/>
      <c r="H11" s="10"/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VLOOKUP($B12,'2305'!$B12:$N31,12,0)</f>
        <v>18.5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VLOOKUP($B14,'2305'!$B14:$N33,12,0)</f>
        <v>3.7</v>
      </c>
      <c r="E14" s="10"/>
      <c r="F14" s="11"/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VLOOKUP($B20,'2305'!$B20:$N39,12,0)</f>
        <v>8</v>
      </c>
      <c r="E20" s="12"/>
      <c r="F20" s="12"/>
      <c r="G20" s="12"/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158.70000000000002</v>
      </c>
      <c r="E27" s="13">
        <f t="shared" si="2"/>
        <v>0</v>
      </c>
      <c r="F27" s="13">
        <f t="shared" si="2"/>
        <v>3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155.70000000000002</v>
      </c>
      <c r="M27" s="13">
        <f t="shared" si="2"/>
        <v>155.70000000000002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0" priority="1" stopIfTrue="1" operator="lessThan">
      <formula>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DATE(2015,5,24)</f>
        <v>42148</v>
      </c>
      <c r="E4" s="36">
        <f>D4+1</f>
        <v>42149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47</v>
      </c>
      <c r="I6" s="5" t="s">
        <v>32</v>
      </c>
      <c r="J6" s="5" t="s">
        <v>46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VLOOKUP($B7,'2405'!$B7:$N26,12,0)</f>
        <v>32</v>
      </c>
      <c r="E7" s="10">
        <v>40</v>
      </c>
      <c r="F7" s="10"/>
      <c r="G7" s="10">
        <v>8</v>
      </c>
      <c r="H7" s="11">
        <v>14</v>
      </c>
      <c r="I7" s="10">
        <v>4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VLOOKUP($B8,'2405'!$B8:$N27,12,0)</f>
        <v>2.9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0.79999999999999982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VLOOKUP($B9,'2405'!$B9:$N28,12,0)</f>
        <v>18.399999999999999</v>
      </c>
      <c r="E9" s="10"/>
      <c r="F9" s="11"/>
      <c r="G9" s="10"/>
      <c r="H9" s="10">
        <v>3</v>
      </c>
      <c r="I9" s="10"/>
      <c r="J9" s="10"/>
      <c r="K9" s="10"/>
      <c r="L9" s="14">
        <f t="shared" si="1"/>
        <v>15.399999999999999</v>
      </c>
      <c r="M9" s="10">
        <v>15.4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VLOOKUP($B10,'2405'!$B10:$N29,12,0)</f>
        <v>7.5</v>
      </c>
      <c r="F10" s="11"/>
      <c r="G10" s="10">
        <v>2.1</v>
      </c>
      <c r="H10" s="10">
        <v>1.2</v>
      </c>
      <c r="I10" s="11"/>
      <c r="J10" s="10"/>
      <c r="K10" s="10"/>
      <c r="L10" s="14">
        <f t="shared" si="1"/>
        <v>4.2</v>
      </c>
      <c r="M10" s="10">
        <v>4.2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VLOOKUP($B11,'2405'!$B11:$N30,12,0)</f>
        <v>25.5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VLOOKUP($B12,'2405'!$B12:$N31,12,0)</f>
        <v>15.5</v>
      </c>
      <c r="E12" s="10"/>
      <c r="F12" s="11">
        <v>1.5</v>
      </c>
      <c r="G12" s="10">
        <v>6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VLOOKUP($B13,'2405'!$B13:$N32,12,0)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VLOOKUP($B14,'2405'!$B14:$N33,12,0)</f>
        <v>3.7</v>
      </c>
      <c r="E14" s="10">
        <v>6.1</v>
      </c>
      <c r="F14" s="11"/>
      <c r="G14" s="10">
        <v>1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VLOOKUP($B15,'2405'!$B15:$N34,12,0)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0">
        <v>4.5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VLOOKUP($B16,'2405'!$B16:$N35,12,0)</f>
        <v>10</v>
      </c>
      <c r="E16" s="10"/>
      <c r="F16" s="11"/>
      <c r="G16" s="10">
        <v>1</v>
      </c>
      <c r="H16" s="10">
        <v>1</v>
      </c>
      <c r="I16" s="10"/>
      <c r="J16" s="10"/>
      <c r="K16" s="10"/>
      <c r="L16" s="14">
        <f t="shared" si="1"/>
        <v>8</v>
      </c>
      <c r="M16" s="10">
        <v>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VLOOKUP($B20,'2405'!$B20:$N39,12,0)</f>
        <v>8</v>
      </c>
      <c r="E20" s="12">
        <v>12.1</v>
      </c>
      <c r="F20" s="12"/>
      <c r="G20" s="12">
        <v>1</v>
      </c>
      <c r="H20" s="11">
        <v>1.5</v>
      </c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VLOOKUP($B21,'2405'!$B21:$N40,12,0)</f>
        <v>6.9</v>
      </c>
      <c r="E21" s="12"/>
      <c r="F21" s="12"/>
      <c r="G21" s="12"/>
      <c r="H21" s="11">
        <v>0.9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60.7</v>
      </c>
      <c r="F27" s="13">
        <f t="shared" si="2"/>
        <v>1.5</v>
      </c>
      <c r="G27" s="13">
        <f t="shared" si="2"/>
        <v>22.1</v>
      </c>
      <c r="H27" s="13">
        <f t="shared" si="2"/>
        <v>27.7</v>
      </c>
      <c r="I27" s="13">
        <f t="shared" si="2"/>
        <v>4</v>
      </c>
      <c r="J27" s="13">
        <f t="shared" si="2"/>
        <v>10</v>
      </c>
      <c r="K27" s="13">
        <f t="shared" si="2"/>
        <v>0</v>
      </c>
      <c r="L27" s="13">
        <f t="shared" si="2"/>
        <v>151.1</v>
      </c>
      <c r="M27" s="13">
        <f t="shared" si="2"/>
        <v>151.1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9" priority="1" stopIfTrue="1" operator="lessThan">
      <formula>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DATE(2015,5,25)</f>
        <v>42149</v>
      </c>
      <c r="E4" s="36">
        <f>D4+1</f>
        <v>42150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VLOOKUP($B7,'2505'!$B7:$N26,12,0)</f>
        <v>36</v>
      </c>
      <c r="E7" s="10">
        <v>40</v>
      </c>
      <c r="F7" s="10">
        <v>4</v>
      </c>
      <c r="G7" s="10"/>
      <c r="H7" s="11">
        <v>20</v>
      </c>
      <c r="I7" s="10">
        <v>2</v>
      </c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VLOOKUP($B9,'2505'!$B9:$N28,12,0)</f>
        <v>15.4</v>
      </c>
      <c r="E9" s="10">
        <v>17.649999999999999</v>
      </c>
      <c r="F9" s="11">
        <v>4</v>
      </c>
      <c r="G9" s="10">
        <v>1.5</v>
      </c>
      <c r="H9" s="10">
        <v>7</v>
      </c>
      <c r="I9" s="10"/>
      <c r="J9" s="10"/>
      <c r="K9" s="10"/>
      <c r="L9" s="14">
        <f t="shared" si="1"/>
        <v>20.549999999999997</v>
      </c>
      <c r="M9" s="10">
        <v>20.55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VLOOKUP($B10,'2505'!$B10:$N29,12,0)</f>
        <v>4.2</v>
      </c>
      <c r="F10" s="11"/>
      <c r="G10" s="10">
        <v>1.5</v>
      </c>
      <c r="H10" s="10">
        <v>2.7</v>
      </c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VLOOKUP($B11,'2505'!$B11:$N30,12,0)</f>
        <v>19.5</v>
      </c>
      <c r="E11" s="10">
        <v>23.4</v>
      </c>
      <c r="F11" s="11">
        <v>5</v>
      </c>
      <c r="G11" s="10">
        <v>1</v>
      </c>
      <c r="H11" s="10">
        <v>7</v>
      </c>
      <c r="I11" s="11"/>
      <c r="J11" s="10"/>
      <c r="K11" s="10"/>
      <c r="L11" s="14">
        <f t="shared" si="1"/>
        <v>29.9</v>
      </c>
      <c r="M11" s="10">
        <v>29.9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VLOOKUP($B12,'2505'!$B12:$N31,12,0)</f>
        <v>8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4</v>
      </c>
      <c r="M12" s="10">
        <v>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VLOOKUP($B13,'2505'!$B13:$N32,12,0)</f>
        <v>2.5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VLOOKUP($B14,'2505'!$B14:$N33,12,0)</f>
        <v>8.8000000000000007</v>
      </c>
      <c r="E14" s="10"/>
      <c r="F14" s="11">
        <v>2</v>
      </c>
      <c r="G14" s="10">
        <v>1.7</v>
      </c>
      <c r="H14" s="10"/>
      <c r="I14" s="11"/>
      <c r="J14" s="10"/>
      <c r="K14" s="10"/>
      <c r="L14" s="14">
        <f t="shared" si="1"/>
        <v>5.1000000000000005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VLOOKUP($B15,'2505'!$B15:$N34,12,0)</f>
        <v>4.5</v>
      </c>
      <c r="E15" s="10"/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1.5</v>
      </c>
      <c r="M15" s="10">
        <v>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VLOOKUP($B16,'2505'!$B16:$N35,12,0)</f>
        <v>8</v>
      </c>
      <c r="E16" s="10"/>
      <c r="F16" s="11">
        <v>2</v>
      </c>
      <c r="G16" s="10">
        <v>2</v>
      </c>
      <c r="H16" s="10"/>
      <c r="I16" s="10"/>
      <c r="J16" s="10"/>
      <c r="K16" s="10"/>
      <c r="L16" s="14">
        <f t="shared" si="1"/>
        <v>4</v>
      </c>
      <c r="M16" s="10">
        <v>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VLOOKUP($B18,'2505'!$B18:$N37,12,0)</f>
        <v>10.3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VLOOKUP($B20,'2505'!$B20:$N39,12,0)</f>
        <v>17.600000000000001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VLOOKUP($B21,'2505'!$B21:$N40,12,0)</f>
        <v>6</v>
      </c>
      <c r="E21" s="12"/>
      <c r="F21" s="12"/>
      <c r="G21" s="12"/>
      <c r="H21" s="11"/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VLOOKUP($B22,'2505'!$B22:$N41,12,0)</f>
        <v>9.5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81.05</v>
      </c>
      <c r="F27" s="13">
        <f t="shared" si="2"/>
        <v>26</v>
      </c>
      <c r="G27" s="13">
        <f t="shared" si="2"/>
        <v>10.6</v>
      </c>
      <c r="H27" s="13">
        <f t="shared" si="2"/>
        <v>39.700000000000003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8" priority="1" stopIfTrue="1" operator="lessThan">
      <formula>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DATE(2015,5,26)</f>
        <v>42150</v>
      </c>
      <c r="E4" s="36">
        <f>D4+1</f>
        <v>42151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VLOOKUP($B7,'2605'!$B7:$N26,12,0)</f>
        <v>50</v>
      </c>
      <c r="E7" s="10">
        <v>40</v>
      </c>
      <c r="F7" s="10">
        <v>4</v>
      </c>
      <c r="G7" s="10">
        <v>10</v>
      </c>
      <c r="H7" s="11">
        <v>10</v>
      </c>
      <c r="I7" s="10">
        <v>6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VLOOKUP($B9,'2605'!$B9:$N28,12,0)</f>
        <v>20.55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14.05</v>
      </c>
      <c r="M9" s="10">
        <v>14.05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VLOOKUP($B10,'2605'!$B10:$N29,12,0)</f>
        <v>0</v>
      </c>
      <c r="E10">
        <v>10.55</v>
      </c>
      <c r="F10" s="11"/>
      <c r="G10" s="10"/>
      <c r="H10" s="10"/>
      <c r="I10" s="11"/>
      <c r="J10" s="10"/>
      <c r="K10" s="10"/>
      <c r="L10" s="14">
        <f t="shared" si="1"/>
        <v>10.55</v>
      </c>
      <c r="M10" s="10">
        <v>10.55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VLOOKUP($B11,'2605'!$B11:$N30,12,0)</f>
        <v>29.9</v>
      </c>
      <c r="E11" s="10"/>
      <c r="F11" s="11"/>
      <c r="G11" s="10">
        <v>2</v>
      </c>
      <c r="H11" s="10">
        <v>2.9</v>
      </c>
      <c r="I11" s="11">
        <v>4</v>
      </c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VLOOKUP($B12,'2605'!$B12:$N31,12,0)</f>
        <v>4</v>
      </c>
      <c r="E12" s="10">
        <v>13.35</v>
      </c>
      <c r="F12" s="11"/>
      <c r="G12" s="10">
        <v>1</v>
      </c>
      <c r="H12" s="10"/>
      <c r="I12" s="11"/>
      <c r="J12" s="10"/>
      <c r="K12" s="10"/>
      <c r="L12" s="14">
        <f t="shared" si="1"/>
        <v>16.350000000000001</v>
      </c>
      <c r="M12" s="10">
        <v>16.350000000000001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VLOOKUP($B14,'2605'!$B14:$N33,12,0)</f>
        <v>5.0999999999999996</v>
      </c>
      <c r="E14" s="10"/>
      <c r="F14" s="11"/>
      <c r="G14" s="10"/>
      <c r="H14" s="10"/>
      <c r="I14" s="11"/>
      <c r="J14" s="10"/>
      <c r="K14" s="10"/>
      <c r="L14" s="14">
        <f t="shared" si="1"/>
        <v>5.0999999999999996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VLOOKUP($B15,'2605'!$B15:$N34,12,0)</f>
        <v>1.5</v>
      </c>
      <c r="E15" s="10">
        <v>9.8000000000000007</v>
      </c>
      <c r="F15" s="11"/>
      <c r="G15" s="10">
        <v>0.5</v>
      </c>
      <c r="H15" s="10"/>
      <c r="I15" s="10"/>
      <c r="J15" s="10"/>
      <c r="K15" s="10"/>
      <c r="L15" s="14">
        <f t="shared" si="1"/>
        <v>10.8</v>
      </c>
      <c r="M15" s="10">
        <v>10.8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VLOOKUP($B16,'2605'!$B16:$N35,12,0)</f>
        <v>4</v>
      </c>
      <c r="E16" s="10">
        <v>13.1</v>
      </c>
      <c r="F16" s="11"/>
      <c r="G16" s="10">
        <v>0.5</v>
      </c>
      <c r="H16" s="10"/>
      <c r="I16" s="10"/>
      <c r="J16" s="10"/>
      <c r="K16" s="10"/>
      <c r="L16" s="14">
        <f t="shared" si="1"/>
        <v>16.600000000000001</v>
      </c>
      <c r="M16" s="10">
        <v>16.600000000000001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VLOOKUP($B18,'2605'!$B18:$N37,12,0)</f>
        <v>9.4</v>
      </c>
      <c r="E18" s="10"/>
      <c r="F18" s="11"/>
      <c r="G18" s="10">
        <v>1.2</v>
      </c>
      <c r="H18" s="10"/>
      <c r="I18" s="10">
        <v>3</v>
      </c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VLOOKUP($B20,'2605'!$B20:$N39,12,0)</f>
        <v>15.6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VLOOKUP($B21,'2605'!$B21:$N40,12,0)</f>
        <v>6</v>
      </c>
      <c r="E21" s="12"/>
      <c r="F21" s="12"/>
      <c r="G21" s="12">
        <v>1.8</v>
      </c>
      <c r="H21" s="11"/>
      <c r="I21" s="12">
        <v>1.2</v>
      </c>
      <c r="J21" s="12"/>
      <c r="K21" s="12"/>
      <c r="L21" s="14">
        <f t="shared" si="1"/>
        <v>3</v>
      </c>
      <c r="M21" s="12">
        <v>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VLOOKUP($B22,'2605'!$B22:$N41,12,0)</f>
        <v>6.5</v>
      </c>
      <c r="E22" s="10"/>
      <c r="F22" s="10"/>
      <c r="G22" s="12">
        <v>1.1000000000000001</v>
      </c>
      <c r="H22" s="11"/>
      <c r="I22" s="12">
        <v>2.4</v>
      </c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86.8</v>
      </c>
      <c r="F27" s="13">
        <f t="shared" si="2"/>
        <v>4</v>
      </c>
      <c r="G27" s="13">
        <f t="shared" si="2"/>
        <v>21.1</v>
      </c>
      <c r="H27" s="13">
        <f t="shared" si="2"/>
        <v>14.4</v>
      </c>
      <c r="I27" s="13">
        <f t="shared" si="2"/>
        <v>20.599999999999998</v>
      </c>
      <c r="J27" s="13">
        <f t="shared" si="2"/>
        <v>0</v>
      </c>
      <c r="K27" s="13">
        <f t="shared" si="2"/>
        <v>0</v>
      </c>
      <c r="L27" s="13">
        <f t="shared" si="2"/>
        <v>180.54999999999998</v>
      </c>
      <c r="M27" s="13">
        <f t="shared" si="2"/>
        <v>180.54999999999998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7" priority="1" stopIfTrue="1" operator="lessThan">
      <formula>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DATE(2015,5,27)</f>
        <v>42151</v>
      </c>
      <c r="E4" s="36">
        <f>D4+1</f>
        <v>42152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 t="s">
        <v>48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VLOOKUP($B7,'2705'!$B7:$N26,12,0)</f>
        <v>60</v>
      </c>
      <c r="E7" s="10">
        <v>50</v>
      </c>
      <c r="F7" s="10">
        <v>4</v>
      </c>
      <c r="G7" s="10">
        <v>30</v>
      </c>
      <c r="H7" s="11">
        <v>24</v>
      </c>
      <c r="I7" s="10">
        <v>8</v>
      </c>
      <c r="J7" s="10">
        <v>2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VLOOKUP($B9,'2705'!$B9:$N28,12,0)</f>
        <v>14.05</v>
      </c>
      <c r="E9" s="10">
        <v>18.350000000000001</v>
      </c>
      <c r="F9" s="11"/>
      <c r="G9" s="10">
        <v>4</v>
      </c>
      <c r="H9" s="10">
        <v>3</v>
      </c>
      <c r="I9" s="10"/>
      <c r="J9" s="10"/>
      <c r="K9" s="10"/>
      <c r="L9" s="14">
        <f t="shared" si="1"/>
        <v>25.400000000000006</v>
      </c>
      <c r="M9" s="10">
        <v>25.35</v>
      </c>
      <c r="N9" s="15">
        <f t="shared" si="0"/>
        <v>-5.0000000000004263E-2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VLOOKUP($B10,'2705'!$B10:$N29,12,0)</f>
        <v>10.55</v>
      </c>
      <c r="F10" s="11"/>
      <c r="G10" s="10">
        <v>3.9</v>
      </c>
      <c r="H10" s="10">
        <v>2.1</v>
      </c>
      <c r="I10" s="11"/>
      <c r="J10" s="10"/>
      <c r="K10" s="10"/>
      <c r="L10" s="14">
        <f t="shared" si="1"/>
        <v>4.5500000000000007</v>
      </c>
      <c r="M10" s="10">
        <v>4.55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VLOOKUP($B11,'2705'!$B11:$N30,12,0)</f>
        <v>21</v>
      </c>
      <c r="E11" s="10"/>
      <c r="F11" s="11"/>
      <c r="G11" s="10">
        <v>12</v>
      </c>
      <c r="H11" s="10"/>
      <c r="I11" s="11"/>
      <c r="J11" s="10"/>
      <c r="K11" s="10"/>
      <c r="L11" s="14">
        <f t="shared" si="1"/>
        <v>9</v>
      </c>
      <c r="M11" s="10">
        <v>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VLOOKUP($B12,'2705'!$B12:$N31,12,0)</f>
        <v>16.350000000000001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12.350000000000001</v>
      </c>
      <c r="M12" s="10">
        <v>12.35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VLOOKUP($B14,'2705'!$B14:$N33,12,0)</f>
        <v>5.0999999999999996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4.0999999999999996</v>
      </c>
      <c r="M14" s="10">
        <v>4.0999999999999996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VLOOKUP($B15,'2705'!$B15:$N34,12,0)</f>
        <v>10.8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9.8000000000000007</v>
      </c>
      <c r="M15" s="10">
        <v>9.8000000000000007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VLOOKUP($B16,'2705'!$B16:$N35,12,0)</f>
        <v>16.600000000000001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13.600000000000001</v>
      </c>
      <c r="M16" s="10">
        <v>13.6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VLOOKUP($B18,'2705'!$B18:$N37,12,0)</f>
        <v>5.2</v>
      </c>
      <c r="E18" s="10"/>
      <c r="F18" s="11"/>
      <c r="G18" s="10"/>
      <c r="H18" s="10"/>
      <c r="I18" s="10"/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VLOOKUP($B20,'2705'!$B20:$N39,12,0)</f>
        <v>13.6</v>
      </c>
      <c r="E20" s="12"/>
      <c r="F20" s="12"/>
      <c r="G20" s="12"/>
      <c r="H20" s="11"/>
      <c r="I20" s="12"/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VLOOKUP($B21,'2705'!$B21:$N40,12,0)</f>
        <v>3</v>
      </c>
      <c r="E21" s="12">
        <f>10.2+0.35</f>
        <v>10.549999999999999</v>
      </c>
      <c r="F21" s="12"/>
      <c r="G21" s="12"/>
      <c r="H21" s="11">
        <v>2.1</v>
      </c>
      <c r="I21" s="12"/>
      <c r="J21" s="12"/>
      <c r="K21" s="12"/>
      <c r="L21" s="14">
        <f t="shared" si="1"/>
        <v>11.45</v>
      </c>
      <c r="M21" s="12">
        <v>11.45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VLOOKUP($B22,'2705'!$B22:$N41,12,0)</f>
        <v>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0.89999999999999991</v>
      </c>
      <c r="M22" s="12">
        <v>0.9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78.899999999999991</v>
      </c>
      <c r="F27" s="13">
        <f t="shared" si="2"/>
        <v>4</v>
      </c>
      <c r="G27" s="13">
        <f t="shared" si="2"/>
        <v>49.9</v>
      </c>
      <c r="H27" s="13">
        <f t="shared" si="2"/>
        <v>42.300000000000004</v>
      </c>
      <c r="I27" s="13">
        <f t="shared" si="2"/>
        <v>8</v>
      </c>
      <c r="J27" s="13">
        <f t="shared" si="2"/>
        <v>2</v>
      </c>
      <c r="K27" s="13">
        <f t="shared" si="2"/>
        <v>0</v>
      </c>
      <c r="L27" s="13">
        <f t="shared" si="2"/>
        <v>153.25</v>
      </c>
      <c r="M27" s="13">
        <f t="shared" si="2"/>
        <v>153.19999999999999</v>
      </c>
      <c r="N27" s="13">
        <f t="shared" si="2"/>
        <v>-5.0000000000004263E-2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6" priority="1" stopIfTrue="1" operator="lessThan">
      <formula>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DATE(2015,5,28)</f>
        <v>42152</v>
      </c>
      <c r="E4" s="36">
        <f>D4+1</f>
        <v>42153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VLOOKUP($B7,'2805'!$B7:$N26,12,0)</f>
        <v>42</v>
      </c>
      <c r="E7" s="10">
        <v>30</v>
      </c>
      <c r="F7" s="10"/>
      <c r="G7" s="10">
        <v>30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VLOOKUP($B8,'2805'!$B8:$N27,12,0)</f>
        <v>0.8</v>
      </c>
      <c r="E8" s="10">
        <v>9</v>
      </c>
      <c r="F8" s="11"/>
      <c r="G8" s="10">
        <v>2.9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VLOOKUP($B9,'2805'!$B9:$N28,12,0)</f>
        <v>25.35</v>
      </c>
      <c r="E9" s="10"/>
      <c r="F9" s="11"/>
      <c r="G9" s="10">
        <v>7</v>
      </c>
      <c r="H9" s="10"/>
      <c r="I9" s="10"/>
      <c r="J9" s="10"/>
      <c r="K9" s="10"/>
      <c r="L9" s="14">
        <f t="shared" si="1"/>
        <v>18.350000000000001</v>
      </c>
      <c r="M9" s="10">
        <v>18.350000000000001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VLOOKUP($B10,'2805'!$B10:$N29,12,0)</f>
        <v>4.55</v>
      </c>
      <c r="F10" s="11"/>
      <c r="G10" s="10">
        <v>3</v>
      </c>
      <c r="H10" s="10"/>
      <c r="I10" s="11"/>
      <c r="J10" s="10"/>
      <c r="K10" s="10"/>
      <c r="L10" s="14">
        <f t="shared" si="1"/>
        <v>1.5499999999999998</v>
      </c>
      <c r="M10" s="10">
        <v>1.55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VLOOKUP($B11,'2805'!$B11:$N30,12,0)</f>
        <v>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VLOOKUP($B12,'2805'!$B12:$N31,12,0)</f>
        <v>12.35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9.35</v>
      </c>
      <c r="M12" s="10">
        <v>9.35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VLOOKUP($B14,'2805'!$B14:$N33,12,0)</f>
        <v>4.0999999999999996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2.0999999999999996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VLOOKUP($B15,'2805'!$B15:$N34,12,0)</f>
        <v>9.8000000000000007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7.3000000000000007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VLOOKUP($B16,'2805'!$B16:$N35,12,0)</f>
        <v>13.6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VLOOKUP($B18,'2805'!$B18:$N37,12,0)</f>
        <v>5.2</v>
      </c>
      <c r="E18" s="10"/>
      <c r="F18" s="11"/>
      <c r="G18" s="10">
        <v>2.5</v>
      </c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VLOOKUP($B20,'2805'!$B20:$N39,12,0)</f>
        <v>13.6</v>
      </c>
      <c r="E20" s="12"/>
      <c r="F20" s="12"/>
      <c r="G20" s="12">
        <v>2.1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VLOOKUP($B21,'2805'!$B21:$N40,12,0)</f>
        <v>11.45</v>
      </c>
      <c r="E21" s="12"/>
      <c r="F21" s="12"/>
      <c r="G21" s="12">
        <v>3.9</v>
      </c>
      <c r="H21" s="11"/>
      <c r="I21" s="12"/>
      <c r="J21" s="12"/>
      <c r="K21" s="12"/>
      <c r="L21" s="14">
        <f t="shared" si="1"/>
        <v>7.5499999999999989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VLOOKUP($B22,'2805'!$B22:$N41,12,0)</f>
        <v>0.9</v>
      </c>
      <c r="E22" s="10">
        <v>11.7</v>
      </c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50.7</v>
      </c>
      <c r="F27" s="13">
        <f t="shared" si="2"/>
        <v>0</v>
      </c>
      <c r="G27" s="13">
        <f t="shared" si="2"/>
        <v>65.900000000000006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137.99999999999997</v>
      </c>
      <c r="M27" s="13">
        <f t="shared" si="2"/>
        <v>137.99999999999997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5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2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DATE(2015,4,5)</f>
        <v>42099</v>
      </c>
      <c r="E4" s="36">
        <f>D4+1</f>
        <v>42100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VLOOKUP($B7,'0504'!$B7:$N26,12,0)</f>
        <v>50</v>
      </c>
      <c r="E7" s="10">
        <v>20</v>
      </c>
      <c r="F7" s="10">
        <v>6</v>
      </c>
      <c r="G7" s="10">
        <v>10</v>
      </c>
      <c r="H7" s="11">
        <v>6</v>
      </c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VLOOKUP($B9,'0504'!$B9:$N28,12,0)</f>
        <v>17.8</v>
      </c>
      <c r="E9" s="10"/>
      <c r="F9" s="11"/>
      <c r="G9" s="10"/>
      <c r="H9" s="10">
        <v>1.8</v>
      </c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VLOOKUP($B10,'0504'!$B10:$N29,12,0)</f>
        <v>6.7</v>
      </c>
      <c r="F10" s="11">
        <v>1.2</v>
      </c>
      <c r="G10" s="10">
        <v>1.9</v>
      </c>
      <c r="H10" s="10">
        <v>0.9</v>
      </c>
      <c r="I10" s="11"/>
      <c r="J10" s="10"/>
      <c r="K10" s="10"/>
      <c r="L10" s="14">
        <f t="shared" si="1"/>
        <v>2.7000000000000006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VLOOKUP($B11,'0504'!$B11:$N30,12,0)</f>
        <v>27.85</v>
      </c>
      <c r="E11" s="10"/>
      <c r="F11" s="11">
        <v>1</v>
      </c>
      <c r="G11" s="10">
        <v>3</v>
      </c>
      <c r="H11" s="10">
        <v>5</v>
      </c>
      <c r="I11" s="11"/>
      <c r="J11" s="10"/>
      <c r="K11" s="10"/>
      <c r="L11" s="14">
        <f t="shared" si="1"/>
        <v>18.850000000000001</v>
      </c>
      <c r="M11" s="10">
        <v>18.850000000000001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VLOOKUP($B12,'0504'!$B12:$N31,12,0)</f>
        <v>18.8</v>
      </c>
      <c r="E12" s="10"/>
      <c r="F12" s="11"/>
      <c r="G12" s="10"/>
      <c r="H12" s="10">
        <v>7.8</v>
      </c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VLOOKUP($B14,'0504'!$B14:$N33,12,0)</f>
        <v>7.5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VLOOKUP($B15,'0504'!$B15:$N34,12,0)</f>
        <v>11.4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10.4</v>
      </c>
      <c r="M15" s="10">
        <v>10.4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VLOOKUP($B16,'0504'!$B16:$N35,12,0)</f>
        <v>10</v>
      </c>
      <c r="E16" s="10">
        <v>13.8</v>
      </c>
      <c r="F16" s="11"/>
      <c r="G16" s="10">
        <v>1</v>
      </c>
      <c r="H16" s="10">
        <v>1</v>
      </c>
      <c r="I16" s="10"/>
      <c r="J16" s="10"/>
      <c r="K16" s="10"/>
      <c r="L16" s="14">
        <f t="shared" si="1"/>
        <v>21.8</v>
      </c>
      <c r="M16" s="10">
        <v>21.8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VLOOKUP($B20,'0504'!$B20:$N39,12,0)</f>
        <v>15</v>
      </c>
      <c r="E20" s="12"/>
      <c r="F20" s="12"/>
      <c r="G20" s="12">
        <v>1.5</v>
      </c>
      <c r="H20" s="11">
        <v>3</v>
      </c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VLOOKUP($B21,'0504'!$B21:$N40,12,0)</f>
        <v>5.0999999999999996</v>
      </c>
      <c r="E21" s="12">
        <v>10.199999999999999</v>
      </c>
      <c r="F21" s="12">
        <v>0.9</v>
      </c>
      <c r="G21" s="12"/>
      <c r="H21" s="11"/>
      <c r="I21" s="12"/>
      <c r="J21" s="12"/>
      <c r="K21" s="12"/>
      <c r="L21" s="14">
        <f t="shared" si="1"/>
        <v>14.399999999999999</v>
      </c>
      <c r="M21" s="12">
        <v>14.4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199.54999999999998</v>
      </c>
      <c r="E27" s="13">
        <f t="shared" si="2"/>
        <v>44</v>
      </c>
      <c r="F27" s="13">
        <f t="shared" si="2"/>
        <v>9.1</v>
      </c>
      <c r="G27" s="13">
        <f t="shared" si="2"/>
        <v>17.399999999999999</v>
      </c>
      <c r="H27" s="13">
        <f t="shared" si="2"/>
        <v>28.5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188.55000000000004</v>
      </c>
      <c r="M27" s="13">
        <f t="shared" si="2"/>
        <v>188.55000000000004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8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DATE(2015,5,29)</f>
        <v>42153</v>
      </c>
      <c r="E4" s="36">
        <f>D4+1</f>
        <v>42154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VLOOKUP($B7,'2905'!$B7:$N26,12,0)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VLOOKUP($B8,'2905'!$B8:$N27,12,0)</f>
        <v>6.9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5.1000000000000005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VLOOKUP($B9,'2905'!$B9:$N28,12,0)</f>
        <v>18.350000000000001</v>
      </c>
      <c r="E9" s="10"/>
      <c r="F9" s="11"/>
      <c r="G9" s="10">
        <v>2</v>
      </c>
      <c r="H9" s="10">
        <v>5</v>
      </c>
      <c r="I9" s="10"/>
      <c r="J9" s="10"/>
      <c r="K9" s="10"/>
      <c r="L9" s="14">
        <f t="shared" si="1"/>
        <v>11.350000000000001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VLOOKUP($B10,'2905'!$B10:$N29,12,0)</f>
        <v>1.55</v>
      </c>
      <c r="E10">
        <v>11</v>
      </c>
      <c r="F10" s="11"/>
      <c r="G10" s="10">
        <v>1.2</v>
      </c>
      <c r="H10" s="10"/>
      <c r="I10" s="11"/>
      <c r="J10" s="10"/>
      <c r="K10" s="10"/>
      <c r="L10" s="14">
        <f t="shared" si="1"/>
        <v>11.350000000000001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VLOOKUP($B11,'2905'!$B11:$N30,12,0)</f>
        <v>4</v>
      </c>
      <c r="E11" s="10">
        <v>23.5</v>
      </c>
      <c r="F11" s="11"/>
      <c r="G11" s="10">
        <v>3</v>
      </c>
      <c r="H11" s="10"/>
      <c r="I11" s="11"/>
      <c r="J11" s="10"/>
      <c r="K11" s="10"/>
      <c r="L11" s="14">
        <f t="shared" si="1"/>
        <v>24.5</v>
      </c>
      <c r="M11" s="10">
        <v>24.5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VLOOKUP($B12,'2905'!$B12:$N31,12,0)</f>
        <v>9.35</v>
      </c>
      <c r="E12" s="10">
        <v>13.6</v>
      </c>
      <c r="F12" s="11"/>
      <c r="G12" s="10">
        <v>2</v>
      </c>
      <c r="H12" s="10"/>
      <c r="I12" s="11">
        <v>3</v>
      </c>
      <c r="J12" s="10"/>
      <c r="K12" s="10"/>
      <c r="L12" s="14">
        <f t="shared" si="1"/>
        <v>17.95</v>
      </c>
      <c r="M12" s="10">
        <f>4.35+13.6</f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VLOOKUP($B14,'2905'!$B14:$N33,12,0)</f>
        <v>2.1</v>
      </c>
      <c r="E14" s="10"/>
      <c r="F14" s="11"/>
      <c r="G14" s="10"/>
      <c r="H14" s="10"/>
      <c r="I14" s="11"/>
      <c r="J14" s="10"/>
      <c r="K14" s="10"/>
      <c r="L14" s="14">
        <f t="shared" si="1"/>
        <v>2.1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VLOOKUP($B20,'2905'!$B20:$N39,12,0)</f>
        <v>11.5</v>
      </c>
      <c r="E20" s="12"/>
      <c r="F20" s="12"/>
      <c r="G20" s="12">
        <v>2</v>
      </c>
      <c r="H20" s="11"/>
      <c r="I20" s="12">
        <v>4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48.1</v>
      </c>
      <c r="F27" s="13">
        <f t="shared" si="2"/>
        <v>4</v>
      </c>
      <c r="G27" s="13">
        <f t="shared" si="2"/>
        <v>12</v>
      </c>
      <c r="H27" s="13">
        <f t="shared" si="2"/>
        <v>5</v>
      </c>
      <c r="I27" s="13">
        <f t="shared" si="2"/>
        <v>7</v>
      </c>
      <c r="J27" s="13">
        <f t="shared" si="2"/>
        <v>0</v>
      </c>
      <c r="K27" s="13">
        <f t="shared" si="2"/>
        <v>0</v>
      </c>
      <c r="L27" s="13">
        <f t="shared" si="2"/>
        <v>158.1</v>
      </c>
      <c r="M27" s="13">
        <f t="shared" si="2"/>
        <v>158.1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4" priority="1" stopIfTrue="1" operator="lessThan">
      <formula>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M13" sqref="M13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VLOOKUP($B7,'3005'!$B7:$N26,12,0)</f>
        <v>38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VLOOKUP($B8,'3005'!$B8:$N27,12,0)</f>
        <v>5.0999999999999996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VLOOKUP($B9,'3005'!$B9:$N28,12,0)</f>
        <v>11.35</v>
      </c>
      <c r="E9" s="10"/>
      <c r="F9" s="11"/>
      <c r="G9" s="10"/>
      <c r="H9" s="10"/>
      <c r="I9" s="10"/>
      <c r="J9" s="10"/>
      <c r="K9" s="10"/>
      <c r="L9" s="14">
        <f t="shared" si="1"/>
        <v>11.35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VLOOKUP($B10,'3005'!$B10:$N29,12,0)</f>
        <v>11.35</v>
      </c>
      <c r="F10" s="11"/>
      <c r="G10" s="10"/>
      <c r="H10" s="10"/>
      <c r="I10" s="11"/>
      <c r="J10" s="10"/>
      <c r="K10" s="10"/>
      <c r="L10" s="14">
        <f t="shared" si="1"/>
        <v>11.35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VLOOKUP($B11,'3005'!$B11:$N30,12,0)</f>
        <v>24.5</v>
      </c>
      <c r="E11" s="10">
        <v>23.6</v>
      </c>
      <c r="F11" s="11">
        <v>18</v>
      </c>
      <c r="G11" s="10"/>
      <c r="H11" s="10"/>
      <c r="I11" s="11"/>
      <c r="J11" s="10"/>
      <c r="K11" s="10"/>
      <c r="L11" s="14">
        <f t="shared" si="1"/>
        <v>30.1</v>
      </c>
      <c r="M11" s="10">
        <v>30.1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VLOOKUP($B12,'3005'!$B12:$N31,12,0)</f>
        <v>17.95</v>
      </c>
      <c r="E12" s="10"/>
      <c r="F12" s="11"/>
      <c r="G12" s="10"/>
      <c r="H12" s="10"/>
      <c r="I12" s="11"/>
      <c r="J12" s="10"/>
      <c r="K12" s="10"/>
      <c r="L12" s="14">
        <f t="shared" si="1"/>
        <v>17.95</v>
      </c>
      <c r="M12" s="10"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VLOOKUP($B13,'3005'!$B13:$N32,12,0)</f>
        <v>0.5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VLOOKUP($B14,'3005'!$B14:$N33,12,0)</f>
        <v>2.1</v>
      </c>
      <c r="E14" s="10"/>
      <c r="F14" s="11">
        <v>2.1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VLOOKUP($B20,'3005'!$B20:$N39,12,0)</f>
        <v>5.5</v>
      </c>
      <c r="E20" s="12">
        <v>12.1</v>
      </c>
      <c r="F20" s="12"/>
      <c r="G20" s="12"/>
      <c r="H20" s="11"/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65.7</v>
      </c>
      <c r="F27" s="13">
        <f t="shared" si="2"/>
        <v>24.6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199.19999999999996</v>
      </c>
      <c r="M27" s="13">
        <f t="shared" si="2"/>
        <v>199.19999999999996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3" priority="1" stopIfTrue="1" operator="lessThan">
      <formula>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VLOOKUP($B7,'3105'!$B7:$N26,12,0)</f>
        <v>64</v>
      </c>
      <c r="E7" s="10">
        <v>30</v>
      </c>
      <c r="F7" s="10">
        <v>6</v>
      </c>
      <c r="G7" s="10">
        <v>8</v>
      </c>
      <c r="H7" s="11">
        <v>10</v>
      </c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VLOOKUP($B8,'3105'!$B8:$N27,12,0)</f>
        <v>5.0999999999999996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VLOOKUP($B9,'3105'!$B9:$N28,12,0)</f>
        <v>11.35</v>
      </c>
      <c r="E9" s="10">
        <v>18.8</v>
      </c>
      <c r="F9" s="11"/>
      <c r="G9" s="10"/>
      <c r="H9" s="10">
        <v>1.5</v>
      </c>
      <c r="I9" s="10"/>
      <c r="J9" s="10"/>
      <c r="K9" s="10"/>
      <c r="L9" s="14">
        <f t="shared" si="1"/>
        <v>28.65</v>
      </c>
      <c r="M9" s="10">
        <v>28.65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VLOOKUP($B10,'3105'!$B10:$N29,12,0)</f>
        <v>11.35</v>
      </c>
      <c r="F10" s="11"/>
      <c r="G10" s="10"/>
      <c r="H10" s="10">
        <v>1.2</v>
      </c>
      <c r="I10" s="11"/>
      <c r="J10" s="10"/>
      <c r="K10" s="10"/>
      <c r="L10" s="14">
        <f t="shared" si="1"/>
        <v>10.15</v>
      </c>
      <c r="M10" s="10">
        <v>10.15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VLOOKUP($B11,'3105'!$B11:$N30,12,0)</f>
        <v>30.1</v>
      </c>
      <c r="E11" s="10"/>
      <c r="F11" s="11"/>
      <c r="G11" s="10">
        <v>8</v>
      </c>
      <c r="H11" s="10">
        <v>2.1</v>
      </c>
      <c r="I11" s="11"/>
      <c r="J11" s="10"/>
      <c r="K11" s="10"/>
      <c r="L11" s="14">
        <f t="shared" si="1"/>
        <v>20</v>
      </c>
      <c r="M11" s="10">
        <v>20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VLOOKUP($B12,'3105'!$B12:$N31,12,0)</f>
        <v>17.95</v>
      </c>
      <c r="E12" s="10">
        <v>13.2</v>
      </c>
      <c r="F12" s="11"/>
      <c r="G12" s="10">
        <v>14.95</v>
      </c>
      <c r="H12" s="10"/>
      <c r="I12" s="11"/>
      <c r="J12" s="10"/>
      <c r="K12" s="10"/>
      <c r="L12" s="14">
        <f t="shared" si="1"/>
        <v>16.2</v>
      </c>
      <c r="M12" s="10">
        <v>16.2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VLOOKUP($B14,'3105'!$B14:$N33,12,0)</f>
        <v>0</v>
      </c>
      <c r="E14" s="10">
        <v>4.4000000000000004</v>
      </c>
      <c r="F14" s="11"/>
      <c r="G14" s="10"/>
      <c r="H14" s="10"/>
      <c r="I14" s="11"/>
      <c r="J14" s="10"/>
      <c r="K14" s="10"/>
      <c r="L14" s="14">
        <f t="shared" si="1"/>
        <v>4.4000000000000004</v>
      </c>
      <c r="M14" s="10">
        <v>4.4000000000000004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VLOOKUP($B15,'3105'!$B15:$N34,12,0)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VLOOKUP($B16,'3105'!$B16:$N35,12,0)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VLOOKUP($B18,'3105'!$B18:$N37,12,0)</f>
        <v>2.7</v>
      </c>
      <c r="E18" s="10">
        <v>11.3</v>
      </c>
      <c r="F18" s="11"/>
      <c r="G18" s="10"/>
      <c r="H18" s="10"/>
      <c r="I18" s="10"/>
      <c r="J18" s="10"/>
      <c r="K18" s="10"/>
      <c r="L18" s="14">
        <f t="shared" si="1"/>
        <v>14</v>
      </c>
      <c r="M18" s="10">
        <v>14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VLOOKUP($B20,'3105'!$B20:$N39,12,0)</f>
        <v>17.600000000000001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VLOOKUP($B21,'3105'!$B21:$N40,12,0)</f>
        <v>7.55</v>
      </c>
      <c r="E21" s="12"/>
      <c r="F21" s="12"/>
      <c r="G21" s="12"/>
      <c r="H21" s="11">
        <v>2.4</v>
      </c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VLOOKUP($B22,'3105'!$B22:$N41,12,0)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77.7</v>
      </c>
      <c r="F27" s="13">
        <f t="shared" si="2"/>
        <v>6</v>
      </c>
      <c r="G27" s="13">
        <f t="shared" si="2"/>
        <v>30.95</v>
      </c>
      <c r="H27" s="13">
        <f t="shared" si="2"/>
        <v>20.099999999999998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219.85</v>
      </c>
      <c r="M27" s="13">
        <f t="shared" si="2"/>
        <v>219.85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2" priority="1" stopIfTrue="1" operator="lessThan">
      <formula>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DATE(2015,6,1)</f>
        <v>42156</v>
      </c>
      <c r="E4" s="36">
        <f>D4+1</f>
        <v>42157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VLOOKUP($B7,'0106'!$B7:$N26,12,0)</f>
        <v>70</v>
      </c>
      <c r="E7" s="10">
        <v>60</v>
      </c>
      <c r="F7" s="10">
        <v>6</v>
      </c>
      <c r="G7" s="10">
        <v>6</v>
      </c>
      <c r="H7" s="11">
        <v>30</v>
      </c>
      <c r="I7" s="10">
        <v>4</v>
      </c>
      <c r="J7" s="10">
        <v>16</v>
      </c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VLOOKUP($B9,'0106'!$B9:$N28,12,0)</f>
        <v>28.65</v>
      </c>
      <c r="E9" s="10"/>
      <c r="F9" s="11"/>
      <c r="G9" s="10">
        <v>4</v>
      </c>
      <c r="H9" s="10">
        <v>7.65</v>
      </c>
      <c r="I9" s="10"/>
      <c r="J9" s="10">
        <v>6</v>
      </c>
      <c r="K9" s="10"/>
      <c r="L9" s="14">
        <f t="shared" si="1"/>
        <v>11</v>
      </c>
      <c r="M9" s="10">
        <v>11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VLOOKUP($B10,'0106'!$B10:$N29,12,0)</f>
        <v>10.15</v>
      </c>
      <c r="F10" s="11"/>
      <c r="G10" s="10">
        <v>0.65</v>
      </c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VLOOKUP($B11,'0106'!$B11:$N30,12,0)</f>
        <v>20</v>
      </c>
      <c r="E11" s="10"/>
      <c r="F11" s="11">
        <v>1</v>
      </c>
      <c r="G11" s="10">
        <v>5</v>
      </c>
      <c r="H11" s="10">
        <v>6</v>
      </c>
      <c r="I11" s="11"/>
      <c r="J11" s="10">
        <v>2</v>
      </c>
      <c r="K11" s="10"/>
      <c r="L11" s="14">
        <f t="shared" si="1"/>
        <v>6</v>
      </c>
      <c r="M11" s="10">
        <v>7</v>
      </c>
      <c r="N11" s="15">
        <f t="shared" si="0"/>
        <v>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VLOOKUP($B12,'0106'!$B12:$N31,12,0)</f>
        <v>16.2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VLOOKUP($B14,'0106'!$B14:$N33,12,0)</f>
        <v>4.4000000000000004</v>
      </c>
      <c r="E14" s="10">
        <v>4.7</v>
      </c>
      <c r="F14" s="11"/>
      <c r="G14" s="10">
        <v>2.4</v>
      </c>
      <c r="H14" s="10"/>
      <c r="I14" s="11"/>
      <c r="J14" s="10"/>
      <c r="K14" s="10"/>
      <c r="L14" s="14">
        <f t="shared" si="1"/>
        <v>6.7000000000000011</v>
      </c>
      <c r="M14" s="10">
        <v>6.7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VLOOKUP($B15,'0106'!$B15:$N34,12,0)</f>
        <v>7.3</v>
      </c>
      <c r="E15" s="10">
        <v>5.9</v>
      </c>
      <c r="F15" s="11"/>
      <c r="G15" s="10">
        <v>2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VLOOKUP($B16,'0106'!$B16:$N35,12,0)</f>
        <v>11.6</v>
      </c>
      <c r="E16" s="10"/>
      <c r="F16" s="11"/>
      <c r="G16" s="10">
        <v>5</v>
      </c>
      <c r="H16" s="10"/>
      <c r="I16" s="10"/>
      <c r="J16" s="10"/>
      <c r="K16" s="10"/>
      <c r="L16" s="14">
        <f t="shared" si="1"/>
        <v>6.6</v>
      </c>
      <c r="M16" s="10">
        <v>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VLOOKUP($B18,'0106'!$B18:$N37,12,0)</f>
        <v>14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11</v>
      </c>
      <c r="M18" s="10">
        <v>11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VLOOKUP($B20,'0106'!$B20:$N39,12,0)</f>
        <v>15.6</v>
      </c>
      <c r="E20" s="12"/>
      <c r="F20" s="12"/>
      <c r="G20" s="12"/>
      <c r="H20" s="11"/>
      <c r="I20" s="12"/>
      <c r="J20" s="12"/>
      <c r="K20" s="12"/>
      <c r="L20" s="14">
        <f t="shared" si="1"/>
        <v>15.6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VLOOKUP($B21,'0106'!$B21:$N40,12,0)</f>
        <v>5.15</v>
      </c>
      <c r="E21" s="12"/>
      <c r="F21" s="12"/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VLOOKUP($B22,'0106'!$B22:$N41,12,0)</f>
        <v>12.6</v>
      </c>
      <c r="E22" s="10">
        <v>10.6</v>
      </c>
      <c r="F22" s="10"/>
      <c r="G22" s="12">
        <v>3</v>
      </c>
      <c r="H22" s="11">
        <v>2.1</v>
      </c>
      <c r="I22" s="12"/>
      <c r="J22" s="12"/>
      <c r="K22" s="12"/>
      <c r="L22" s="14">
        <f t="shared" si="1"/>
        <v>18.100000000000001</v>
      </c>
      <c r="M22" s="12">
        <v>18.100000000000001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81.2</v>
      </c>
      <c r="F27" s="13">
        <f t="shared" si="2"/>
        <v>7</v>
      </c>
      <c r="G27" s="13">
        <f t="shared" si="2"/>
        <v>31.549999999999997</v>
      </c>
      <c r="H27" s="13">
        <f t="shared" si="2"/>
        <v>45.75</v>
      </c>
      <c r="I27" s="13">
        <f t="shared" si="2"/>
        <v>4</v>
      </c>
      <c r="J27" s="13">
        <f t="shared" si="2"/>
        <v>24</v>
      </c>
      <c r="K27" s="13">
        <f t="shared" si="2"/>
        <v>0</v>
      </c>
      <c r="L27" s="13">
        <f t="shared" si="2"/>
        <v>188.75</v>
      </c>
      <c r="M27" s="13">
        <f t="shared" si="2"/>
        <v>189.75</v>
      </c>
      <c r="N27" s="13">
        <f t="shared" si="2"/>
        <v>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1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DATE(2015,6,2)</f>
        <v>42157</v>
      </c>
      <c r="E4" s="36">
        <f>D4+1</f>
        <v>42158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VLOOKUP($B7,'0206'!$B7:$N26,12,0)</f>
        <v>68</v>
      </c>
      <c r="E7" s="10">
        <v>60</v>
      </c>
      <c r="F7" s="10">
        <v>6</v>
      </c>
      <c r="G7" s="10">
        <v>10</v>
      </c>
      <c r="H7" s="11">
        <v>6</v>
      </c>
      <c r="I7" s="10">
        <v>12</v>
      </c>
      <c r="J7" s="10">
        <v>2</v>
      </c>
      <c r="K7" s="10"/>
      <c r="L7" s="14">
        <f>D7+E7-SUM(F7:K7)</f>
        <v>92</v>
      </c>
      <c r="M7" s="10">
        <v>92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VLOOKUP($B9,'0206'!$B9:$N28,12,0)</f>
        <v>11</v>
      </c>
      <c r="E9" s="10">
        <v>18.3</v>
      </c>
      <c r="F9" s="11">
        <v>6</v>
      </c>
      <c r="G9" s="10">
        <v>2</v>
      </c>
      <c r="H9" s="10"/>
      <c r="I9" s="10"/>
      <c r="J9" s="10"/>
      <c r="K9" s="10"/>
      <c r="L9" s="14">
        <f t="shared" si="1"/>
        <v>21.3</v>
      </c>
      <c r="M9" s="10">
        <v>21.3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VLOOKUP($B10,'0206'!$B10:$N29,12,0)</f>
        <v>9.5</v>
      </c>
      <c r="F10" s="11"/>
      <c r="G10" s="10"/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VLOOKUP($B11,'0206'!$B11:$N30,12,0)</f>
        <v>7</v>
      </c>
      <c r="E11" s="10">
        <v>23.1</v>
      </c>
      <c r="F11" s="11">
        <v>5.0999999999999996</v>
      </c>
      <c r="G11" s="10">
        <v>2</v>
      </c>
      <c r="H11" s="10">
        <v>3</v>
      </c>
      <c r="I11" s="11">
        <v>2</v>
      </c>
      <c r="J11" s="10"/>
      <c r="K11" s="10"/>
      <c r="L11" s="14">
        <f t="shared" si="1"/>
        <v>18</v>
      </c>
      <c r="M11" s="10">
        <v>18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VLOOKUP($B12,'0206'!$B12:$N31,12,0)</f>
        <v>15.7</v>
      </c>
      <c r="E12" s="10"/>
      <c r="F12" s="11">
        <v>3</v>
      </c>
      <c r="G12" s="10">
        <v>1</v>
      </c>
      <c r="H12" s="10"/>
      <c r="I12" s="11">
        <v>1.5</v>
      </c>
      <c r="J12" s="10"/>
      <c r="K12" s="10"/>
      <c r="L12" s="14">
        <f t="shared" si="1"/>
        <v>10.199999999999999</v>
      </c>
      <c r="M12" s="10">
        <v>10.199999999999999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VLOOKUP($B14,'0206'!$B14:$N33,12,0)</f>
        <v>6.7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VLOOKUP($B15,'0206'!$B15:$N34,12,0)</f>
        <v>11.2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10.199999999999999</v>
      </c>
      <c r="M15" s="10">
        <v>10.199999999999999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VLOOKUP($B16,'0206'!$B16:$N35,12,0)</f>
        <v>6.6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6.1</v>
      </c>
      <c r="M16" s="10">
        <v>6.1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VLOOKUP($B18,'0206'!$B18:$N37,12,0)</f>
        <v>11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VLOOKUP($B20,'0206'!$B20:$N39,12,0)</f>
        <v>15.6</v>
      </c>
      <c r="E20" s="12"/>
      <c r="F20" s="12">
        <v>1.5</v>
      </c>
      <c r="G20" s="12">
        <v>1.5</v>
      </c>
      <c r="H20" s="11"/>
      <c r="I20" s="12">
        <v>2</v>
      </c>
      <c r="J20" s="12"/>
      <c r="K20" s="12"/>
      <c r="L20" s="14">
        <f t="shared" si="1"/>
        <v>10.6</v>
      </c>
      <c r="M20" s="12">
        <v>10.6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VLOOKUP($B21,'0206'!$B21:$N40,12,0)</f>
        <v>5.15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VLOOKUP($B22,'0206'!$B22:$N41,12,0)</f>
        <v>18.100000000000001</v>
      </c>
      <c r="E22" s="10">
        <v>10.8</v>
      </c>
      <c r="F22" s="10"/>
      <c r="G22" s="12">
        <v>1.2</v>
      </c>
      <c r="H22" s="11"/>
      <c r="I22" s="12"/>
      <c r="J22" s="12"/>
      <c r="K22" s="12"/>
      <c r="L22" s="14">
        <f t="shared" si="1"/>
        <v>27.700000000000003</v>
      </c>
      <c r="M22" s="12">
        <v>27.7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112.2</v>
      </c>
      <c r="F27" s="13">
        <f t="shared" si="2"/>
        <v>21.6</v>
      </c>
      <c r="G27" s="13">
        <f t="shared" si="2"/>
        <v>21.999999999999996</v>
      </c>
      <c r="H27" s="13">
        <f t="shared" si="2"/>
        <v>10.199999999999999</v>
      </c>
      <c r="I27" s="13">
        <f t="shared" si="2"/>
        <v>17.5</v>
      </c>
      <c r="J27" s="13">
        <f t="shared" si="2"/>
        <v>2</v>
      </c>
      <c r="K27" s="13">
        <f t="shared" si="2"/>
        <v>0</v>
      </c>
      <c r="L27" s="13">
        <f t="shared" si="2"/>
        <v>228.64999999999998</v>
      </c>
      <c r="M27" s="13">
        <f t="shared" si="2"/>
        <v>228.64999999999995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0" priority="1" stopIfTrue="1" operator="lessThan">
      <formula>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VLOOKUP($B7,'0306'!$B7:$N26,12,0)</f>
        <v>92</v>
      </c>
      <c r="E7" s="10">
        <v>40</v>
      </c>
      <c r="F7" s="10">
        <v>10</v>
      </c>
      <c r="G7" s="10">
        <v>22</v>
      </c>
      <c r="H7" s="11">
        <v>60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VLOOKUP($B8,'0306'!$B8:$N27,12,0)</f>
        <v>4.2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VLOOKUP($B9,'0306'!$B9:$N28,12,0)</f>
        <v>21.3</v>
      </c>
      <c r="E9" s="10"/>
      <c r="F9" s="11"/>
      <c r="G9" s="10">
        <v>5</v>
      </c>
      <c r="H9" s="10">
        <v>8</v>
      </c>
      <c r="I9" s="10"/>
      <c r="J9" s="10"/>
      <c r="K9" s="10"/>
      <c r="L9" s="14">
        <f t="shared" si="1"/>
        <v>8.3000000000000007</v>
      </c>
      <c r="M9" s="10">
        <v>8.3000000000000007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VLOOKUP($B10,'0306'!$B10:$N29,12,0)</f>
        <v>9.5</v>
      </c>
      <c r="F10" s="11"/>
      <c r="G10" s="10">
        <v>1.4</v>
      </c>
      <c r="H10" s="10"/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VLOOKUP($B11,'0306'!$B11:$N30,12,0)</f>
        <v>18</v>
      </c>
      <c r="E11" s="10">
        <v>23.5</v>
      </c>
      <c r="F11" s="11"/>
      <c r="G11" s="10">
        <v>6</v>
      </c>
      <c r="H11" s="10">
        <v>12</v>
      </c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VLOOKUP($B12,'0306'!$B12:$N31,12,0)</f>
        <v>10.199999999999999</v>
      </c>
      <c r="E12" s="10">
        <v>13</v>
      </c>
      <c r="F12" s="11"/>
      <c r="G12" s="10">
        <v>3</v>
      </c>
      <c r="H12" s="10">
        <v>5</v>
      </c>
      <c r="I12" s="11"/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VLOOKUP($B14,'0306'!$B14:$N33,12,0)</f>
        <v>5.7</v>
      </c>
      <c r="E14" s="10"/>
      <c r="F14" s="11"/>
      <c r="G14" s="10">
        <v>2.2000000000000002</v>
      </c>
      <c r="H14" s="10"/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VLOOKUP($B15,'0306'!$B15:$N34,12,0)</f>
        <v>10.199999999999999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8.1999999999999993</v>
      </c>
      <c r="M15" s="10">
        <v>8.1999999999999993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VLOOKUP($B16,'0306'!$B16:$N35,12,0)</f>
        <v>6.1</v>
      </c>
      <c r="E16" s="10">
        <v>13.8</v>
      </c>
      <c r="F16" s="11"/>
      <c r="G16" s="10">
        <v>4</v>
      </c>
      <c r="H16" s="10"/>
      <c r="I16" s="10"/>
      <c r="J16" s="10"/>
      <c r="K16" s="10"/>
      <c r="L16" s="14">
        <f t="shared" si="1"/>
        <v>15.899999999999999</v>
      </c>
      <c r="M16" s="10">
        <v>15.9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VLOOKUP($B18,'0306'!$B18:$N37,12,0)</f>
        <v>10.1</v>
      </c>
      <c r="E18" s="10"/>
      <c r="F18" s="11"/>
      <c r="G18" s="10"/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VLOOKUP($B20,'0306'!$B20:$N39,12,0)</f>
        <v>10.6</v>
      </c>
      <c r="E20" s="12">
        <v>12.5</v>
      </c>
      <c r="F20" s="12"/>
      <c r="G20" s="12"/>
      <c r="H20" s="11">
        <v>7.1</v>
      </c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VLOOKUP($B21,'0306'!$B21:$N40,12,0)</f>
        <v>3.05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1.5499999999999998</v>
      </c>
      <c r="M21" s="12">
        <v>1.55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VLOOKUP($B22,'0306'!$B22:$N41,12,0)</f>
        <v>27.7</v>
      </c>
      <c r="E22" s="10"/>
      <c r="F22" s="10"/>
      <c r="G22" s="12">
        <v>0.9</v>
      </c>
      <c r="H22" s="11">
        <v>5.0999999999999996</v>
      </c>
      <c r="I22" s="12"/>
      <c r="J22" s="12"/>
      <c r="K22" s="12"/>
      <c r="L22" s="14">
        <f t="shared" si="1"/>
        <v>21.7</v>
      </c>
      <c r="M22" s="12">
        <v>21.7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102.8</v>
      </c>
      <c r="F27" s="13">
        <f t="shared" si="2"/>
        <v>10</v>
      </c>
      <c r="G27" s="13">
        <f t="shared" si="2"/>
        <v>48.6</v>
      </c>
      <c r="H27" s="13">
        <f t="shared" si="2"/>
        <v>97.199999999999989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175.65</v>
      </c>
      <c r="M27" s="13">
        <f t="shared" si="2"/>
        <v>175.65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9" priority="1" stopIfTrue="1" operator="lessThan">
      <formula>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VLOOKUP($B7,'0406'!$B7:$N26,12,0)</f>
        <v>40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VLOOKUP($B8,'0406'!$B8:$N27,12,0)</f>
        <v>3.6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1.2000000000000002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VLOOKUP($B9,'0406'!$B9:$N28,12,0)</f>
        <v>8.3000000000000007</v>
      </c>
      <c r="E9" s="10">
        <v>19.5</v>
      </c>
      <c r="F9" s="11"/>
      <c r="G9" s="10">
        <v>5</v>
      </c>
      <c r="H9" s="10"/>
      <c r="I9" s="10"/>
      <c r="J9" s="10"/>
      <c r="K9" s="10"/>
      <c r="L9" s="14">
        <f t="shared" si="1"/>
        <v>22.8</v>
      </c>
      <c r="M9" s="10">
        <v>22.8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VLOOKUP($B10,'0406'!$B10:$N29,12,0)</f>
        <v>8.1</v>
      </c>
      <c r="F10" s="11"/>
      <c r="G10" s="10">
        <v>2.7</v>
      </c>
      <c r="H10" s="10"/>
      <c r="I10" s="11"/>
      <c r="J10" s="10"/>
      <c r="K10" s="10"/>
      <c r="L10" s="14">
        <f t="shared" si="1"/>
        <v>5.3999999999999995</v>
      </c>
      <c r="M10" s="10">
        <v>5.4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VLOOKUP($B11,'0406'!$B11:$N30,12,0)</f>
        <v>23.5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VLOOKUP($B12,'0406'!$B12:$N31,12,0)</f>
        <v>15.2</v>
      </c>
      <c r="E12" s="10"/>
      <c r="F12" s="11">
        <v>2.2000000000000002</v>
      </c>
      <c r="G12" s="10">
        <v>2</v>
      </c>
      <c r="H12" s="10"/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VLOOKUP($B14,'0406'!$B14:$N33,12,0)</f>
        <v>3.5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VLOOKUP($B15,'0406'!$B15:$N34,12,0)</f>
        <v>8.1999999999999993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6.1999999999999993</v>
      </c>
      <c r="M15" s="10">
        <v>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VLOOKUP($B16,'0406'!$B16:$N35,12,0)</f>
        <v>15.9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VLOOKUP($B18,'0406'!$B18:$N37,12,0)</f>
        <v>10.1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VLOOKUP($B20,'0406'!$B20:$N39,12,0)</f>
        <v>16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VLOOKUP($B21,'0406'!$B21:$N40,12,0)</f>
        <v>1.55</v>
      </c>
      <c r="E21" s="12">
        <v>10.199999999999999</v>
      </c>
      <c r="F21" s="12"/>
      <c r="G21" s="12">
        <v>1.2</v>
      </c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VLOOKUP($B22,'0406'!$B22:$N41,12,0)</f>
        <v>21.7</v>
      </c>
      <c r="E22" s="10"/>
      <c r="F22" s="10">
        <v>19.600000000000001</v>
      </c>
      <c r="G22" s="12"/>
      <c r="H22" s="11"/>
      <c r="I22" s="12"/>
      <c r="J22" s="12"/>
      <c r="K22" s="12"/>
      <c r="L22" s="14">
        <f t="shared" si="1"/>
        <v>2.0999999999999979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59.7</v>
      </c>
      <c r="F27" s="13">
        <f t="shared" si="2"/>
        <v>25.8</v>
      </c>
      <c r="G27" s="13">
        <f t="shared" si="2"/>
        <v>62.300000000000004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147.25000000000003</v>
      </c>
      <c r="M27" s="13">
        <f t="shared" si="2"/>
        <v>147.25000000000003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8" priority="1" stopIfTrue="1" operator="lessThan">
      <formula>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DATE(2015,6,5)</f>
        <v>42160</v>
      </c>
      <c r="E4" s="36">
        <f>D4+1</f>
        <v>42161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VLOOKUP($B7,'0506'!$B7:$N26,12,0)</f>
        <v>36</v>
      </c>
      <c r="E7" s="10"/>
      <c r="F7" s="10">
        <v>4</v>
      </c>
      <c r="G7" s="10"/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VLOOKUP($B8,'0506'!$B8:$N27,12,0)</f>
        <v>1.2</v>
      </c>
      <c r="E8" s="10">
        <v>7.8</v>
      </c>
      <c r="F8" s="11"/>
      <c r="G8" s="10">
        <v>1.2</v>
      </c>
      <c r="H8" s="10"/>
      <c r="I8" s="10"/>
      <c r="J8" s="10"/>
      <c r="K8" s="10"/>
      <c r="L8" s="14">
        <f t="shared" ref="L8:L22" si="1"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VLOOKUP($B9,'0506'!$B9:$N28,12,0)</f>
        <v>22.8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VLOOKUP($B10,'0506'!$B10:$N29,12,0)</f>
        <v>5.4</v>
      </c>
      <c r="F10" s="11"/>
      <c r="G10" s="10">
        <v>1.8</v>
      </c>
      <c r="H10" s="10"/>
      <c r="I10" s="11"/>
      <c r="J10" s="10"/>
      <c r="K10" s="10"/>
      <c r="L10" s="14">
        <f t="shared" si="1"/>
        <v>3.6000000000000005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VLOOKUP($B11,'0506'!$B11:$N30,12,0)</f>
        <v>17.5</v>
      </c>
      <c r="E11" s="10">
        <v>23.6</v>
      </c>
      <c r="F11" s="11"/>
      <c r="G11" s="10">
        <v>2</v>
      </c>
      <c r="H11" s="10"/>
      <c r="I11" s="11"/>
      <c r="J11" s="10"/>
      <c r="K11" s="10"/>
      <c r="L11" s="14">
        <f t="shared" si="1"/>
        <v>39.1</v>
      </c>
      <c r="M11" s="10">
        <f>23.6+14.5</f>
        <v>38.1</v>
      </c>
      <c r="N11" s="15">
        <f t="shared" si="0"/>
        <v>-1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VLOOKUP($B12,'0506'!$B12:$N31,12,0)</f>
        <v>11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VLOOKUP($B14,'0506'!$B14:$N33,12,0)</f>
        <v>1.5</v>
      </c>
      <c r="E14" s="10"/>
      <c r="F14" s="11">
        <v>1.5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VLOOKUP($B15,'0506'!$B15:$N34,12,0)</f>
        <v>6.2</v>
      </c>
      <c r="E15" s="10"/>
      <c r="F15" s="11">
        <v>1.4</v>
      </c>
      <c r="G15" s="10"/>
      <c r="H15" s="10"/>
      <c r="I15" s="10"/>
      <c r="J15" s="10"/>
      <c r="K15" s="10"/>
      <c r="L15" s="14">
        <f t="shared" si="1"/>
        <v>4.8000000000000007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VLOOKUP($B22,'0506'!$B22:$N41,12,0)</f>
        <v>2.1</v>
      </c>
      <c r="E22" s="10">
        <v>11.1</v>
      </c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42.5</v>
      </c>
      <c r="F27" s="13">
        <f t="shared" si="2"/>
        <v>6.9</v>
      </c>
      <c r="G27" s="13">
        <f t="shared" si="2"/>
        <v>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172.85</v>
      </c>
      <c r="M27" s="13">
        <f t="shared" si="2"/>
        <v>171.85</v>
      </c>
      <c r="N27" s="13">
        <f t="shared" si="2"/>
        <v>-1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DATE(2015,6,6)</f>
        <v>42161</v>
      </c>
      <c r="E4" s="36">
        <f>D4+1</f>
        <v>42162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VLOOKUP($B7,'0606'!$B7:$N26,12,0)</f>
        <v>30</v>
      </c>
      <c r="E7" s="10">
        <v>30</v>
      </c>
      <c r="F7" s="10">
        <v>4</v>
      </c>
      <c r="G7" s="10">
        <v>4</v>
      </c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VLOOKUP($B8,'0606'!$B8:$N27,12,0)</f>
        <v>7.8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VLOOKUP($B9,'0606'!$B9:$N28,12,0)</f>
        <v>20.8</v>
      </c>
      <c r="E9" s="10"/>
      <c r="F9" s="11"/>
      <c r="G9" s="10"/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VLOOKUP($B10,'0606'!$B10:$N29,12,0)</f>
        <v>3.6</v>
      </c>
      <c r="E10">
        <v>11.1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VLOOKUP($B11,'0606'!$B11:$N30,12,0)</f>
        <v>38.1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37.1</v>
      </c>
      <c r="M11" s="10">
        <v>37.1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VLOOKUP($B12,'0606'!$B12:$N31,12,0)</f>
        <v>10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VLOOKUP($B14,'0606'!$B14:$N33,12,0)</f>
        <v>0</v>
      </c>
      <c r="E14" s="10">
        <v>5.4</v>
      </c>
      <c r="F14" s="11"/>
      <c r="G14" s="10"/>
      <c r="H14" s="10"/>
      <c r="I14" s="11"/>
      <c r="J14" s="10"/>
      <c r="K14" s="10"/>
      <c r="L14" s="14">
        <f t="shared" si="1"/>
        <v>5.4</v>
      </c>
      <c r="M14" s="10">
        <v>5.4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VLOOKUP($B15,'0606'!$B15:$N34,12,0)</f>
        <v>4.8</v>
      </c>
      <c r="E15" s="10"/>
      <c r="F15" s="11"/>
      <c r="G15" s="10"/>
      <c r="H15" s="10"/>
      <c r="I15" s="10"/>
      <c r="J15" s="10"/>
      <c r="K15" s="10"/>
      <c r="L15" s="14">
        <f t="shared" si="1"/>
        <v>4.8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60.1</v>
      </c>
      <c r="F27" s="13">
        <f t="shared" si="2"/>
        <v>4</v>
      </c>
      <c r="G27" s="13">
        <f t="shared" si="2"/>
        <v>5.6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222.35000000000002</v>
      </c>
      <c r="M27" s="13">
        <f t="shared" si="2"/>
        <v>222.35000000000002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6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DATE(2015,6,7)</f>
        <v>42162</v>
      </c>
      <c r="E4" s="36">
        <f>D4+1</f>
        <v>42163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VLOOKUP($B7,'0706'!$B7:$N26,12,0)</f>
        <v>52</v>
      </c>
      <c r="E7" s="10">
        <v>40</v>
      </c>
      <c r="F7" s="10">
        <v>4</v>
      </c>
      <c r="G7" s="10">
        <v>14</v>
      </c>
      <c r="H7" s="11">
        <v>10</v>
      </c>
      <c r="I7" s="10">
        <v>2</v>
      </c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VLOOKUP($B8,'0706'!$B8:$N27,12,0)</f>
        <v>7.2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4.8000000000000007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VLOOKUP($B9,'0706'!$B9:$N28,12,0)</f>
        <v>20.8</v>
      </c>
      <c r="E9" s="10"/>
      <c r="F9" s="11"/>
      <c r="G9" s="10">
        <v>3</v>
      </c>
      <c r="H9" s="10">
        <v>1</v>
      </c>
      <c r="I9" s="10"/>
      <c r="J9" s="10"/>
      <c r="K9" s="10"/>
      <c r="L9" s="14">
        <f t="shared" si="1"/>
        <v>16.8</v>
      </c>
      <c r="M9" s="10">
        <v>16.8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VLOOKUP($B10,'0706'!$B10:$N29,12,0)</f>
        <v>14.7</v>
      </c>
      <c r="F10" s="11"/>
      <c r="G10" s="10">
        <v>2.4</v>
      </c>
      <c r="H10" s="10">
        <v>2.1</v>
      </c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VLOOKUP($B11,'0706'!$B11:$N30,12,0)</f>
        <v>37.1</v>
      </c>
      <c r="E11" s="10"/>
      <c r="F11" s="11"/>
      <c r="G11" s="10">
        <v>4</v>
      </c>
      <c r="H11" s="10">
        <v>2</v>
      </c>
      <c r="I11" s="11"/>
      <c r="J11" s="10"/>
      <c r="K11" s="10"/>
      <c r="L11" s="14">
        <f t="shared" si="1"/>
        <v>31.1</v>
      </c>
      <c r="M11" s="10">
        <v>31.1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VLOOKUP($B12,'0706'!$B12:$N31,12,0)</f>
        <v>23.6</v>
      </c>
      <c r="E12" s="10"/>
      <c r="F12" s="11"/>
      <c r="G12" s="10"/>
      <c r="H12" s="10">
        <v>12</v>
      </c>
      <c r="I12" s="11"/>
      <c r="J12" s="10"/>
      <c r="K12" s="10"/>
      <c r="L12" s="14">
        <f t="shared" si="1"/>
        <v>11.600000000000001</v>
      </c>
      <c r="M12" s="10">
        <v>11.6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VLOOKUP($B13,'0706'!$B13:$N32,12,0)</f>
        <v>0</v>
      </c>
      <c r="E13" s="10">
        <v>2.39</v>
      </c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VLOOKUP($B14,'0706'!$B14:$N33,12,0)</f>
        <v>5.4</v>
      </c>
      <c r="E14" s="10">
        <f>5.65+0.5</f>
        <v>6.15</v>
      </c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VLOOKUP($B15,'0706'!$B15:$N34,12,0)</f>
        <v>4.8</v>
      </c>
      <c r="E15" s="10">
        <v>9.9</v>
      </c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VLOOKUP($B16,'0706'!$B16:$N35,12,0)</f>
        <v>13.9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VLOOKUP($B20,'0706'!$B20:$N39,12,0)</f>
        <v>12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VLOOKUP($B21,'0706'!$B21:$N40,12,0)</f>
        <v>10.55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9.3500000000000014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58.44</v>
      </c>
      <c r="F27" s="13">
        <f t="shared" si="2"/>
        <v>4</v>
      </c>
      <c r="G27" s="13">
        <f t="shared" si="2"/>
        <v>28.999999999999996</v>
      </c>
      <c r="H27" s="13">
        <f t="shared" si="2"/>
        <v>28.1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217.68999999999997</v>
      </c>
      <c r="M27" s="13">
        <f t="shared" si="2"/>
        <v>217.68999999999997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5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DATE(2015,4,6)</f>
        <v>42100</v>
      </c>
      <c r="E4" s="36">
        <f>D4+1</f>
        <v>42101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VLOOKUP($B7,'0604'!$B7:$N26,12,0)</f>
        <v>48</v>
      </c>
      <c r="E7" s="10">
        <v>10</v>
      </c>
      <c r="F7" s="10">
        <v>10</v>
      </c>
      <c r="G7" s="10">
        <v>6</v>
      </c>
      <c r="H7" s="11">
        <v>4</v>
      </c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VLOOKUP($B9,'0604'!$B9:$N28,12,0)</f>
        <v>16</v>
      </c>
      <c r="E9" s="10">
        <v>17.2</v>
      </c>
      <c r="F9" s="11">
        <v>3</v>
      </c>
      <c r="G9" s="10">
        <v>1</v>
      </c>
      <c r="H9" s="10"/>
      <c r="I9" s="10"/>
      <c r="J9" s="10"/>
      <c r="K9" s="10"/>
      <c r="L9" s="14">
        <f t="shared" si="1"/>
        <v>29.200000000000003</v>
      </c>
      <c r="M9" s="10">
        <v>29.2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VLOOKUP($B10,'0604'!$B10:$N29,12,0)</f>
        <v>2.7</v>
      </c>
      <c r="E10">
        <v>11.1</v>
      </c>
      <c r="F10" s="11">
        <v>2.1</v>
      </c>
      <c r="G10" s="10">
        <v>0.9</v>
      </c>
      <c r="H10" s="10"/>
      <c r="I10" s="11"/>
      <c r="J10" s="10"/>
      <c r="K10" s="10"/>
      <c r="L10" s="14">
        <f t="shared" si="1"/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VLOOKUP($B11,'0604'!$B11:$N30,12,0)</f>
        <v>18.850000000000001</v>
      </c>
      <c r="E11" s="10"/>
      <c r="F11" s="11">
        <v>6</v>
      </c>
      <c r="G11" s="10">
        <v>2</v>
      </c>
      <c r="H11" s="10"/>
      <c r="I11" s="11"/>
      <c r="J11" s="10"/>
      <c r="K11" s="10"/>
      <c r="L11" s="14">
        <f t="shared" si="1"/>
        <v>10.850000000000001</v>
      </c>
      <c r="M11" s="10">
        <v>10.85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VLOOKUP($B12,'0604'!$B12:$N31,12,0)</f>
        <v>11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VLOOKUP($B14,'0604'!$B14:$N33,12,0)</f>
        <v>5.5</v>
      </c>
      <c r="E14" s="10">
        <v>7.6</v>
      </c>
      <c r="F14" s="11"/>
      <c r="G14" s="10">
        <v>1</v>
      </c>
      <c r="H14" s="10"/>
      <c r="I14" s="11"/>
      <c r="J14" s="10"/>
      <c r="K14" s="10"/>
      <c r="L14" s="14">
        <f t="shared" si="1"/>
        <v>12.1</v>
      </c>
      <c r="M14" s="10">
        <v>12.1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VLOOKUP($B15,'0604'!$B15:$N34,12,0)</f>
        <v>10.4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VLOOKUP($B16,'0604'!$B16:$N35,12,0)</f>
        <v>21.8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18.8</v>
      </c>
      <c r="M16" s="10">
        <v>18.8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VLOOKUP($B18,'0604'!$B18:$N37,12,0)</f>
        <v>12.6</v>
      </c>
      <c r="E18" s="10"/>
      <c r="F18" s="11">
        <v>1.5</v>
      </c>
      <c r="G18" s="10">
        <v>0.9</v>
      </c>
      <c r="H18" s="10"/>
      <c r="I18" s="10"/>
      <c r="J18" s="10"/>
      <c r="K18" s="10"/>
      <c r="L18" s="14">
        <f t="shared" si="1"/>
        <v>10.199999999999999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VLOOKUP($B20,'0604'!$B20:$N39,12,0)</f>
        <v>10.5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VLOOKUP($B21,'0604'!$B21:$N40,12,0)</f>
        <v>14.4</v>
      </c>
      <c r="E21" s="12"/>
      <c r="F21" s="12">
        <v>2.1</v>
      </c>
      <c r="G21" s="12">
        <v>0.3</v>
      </c>
      <c r="H21" s="11"/>
      <c r="I21" s="12"/>
      <c r="J21" s="12"/>
      <c r="K21" s="12"/>
      <c r="L21" s="14">
        <f t="shared" si="1"/>
        <v>12</v>
      </c>
      <c r="M21" s="12">
        <v>12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VLOOKUP($B22,'0604'!$B22:$N41,12,0)</f>
        <v>6.3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5.3999999999999995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188.55000000000004</v>
      </c>
      <c r="E27" s="13">
        <f t="shared" si="2"/>
        <v>45.9</v>
      </c>
      <c r="F27" s="13">
        <f t="shared" si="2"/>
        <v>29.700000000000003</v>
      </c>
      <c r="G27" s="13">
        <f t="shared" si="2"/>
        <v>18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182.75</v>
      </c>
      <c r="M27" s="13">
        <f t="shared" si="2"/>
        <v>182.75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7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DATE(2015,6,8)</f>
        <v>42163</v>
      </c>
      <c r="E4" s="36">
        <f>D4+1</f>
        <v>42164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VLOOKUP($B7,'0806'!$B7:$N26,12,0)</f>
        <v>62</v>
      </c>
      <c r="E7" s="10">
        <v>40</v>
      </c>
      <c r="F7" s="10">
        <v>4</v>
      </c>
      <c r="G7" s="10"/>
      <c r="H7" s="11">
        <v>8</v>
      </c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VLOOKUP($B8,'0806'!$B8:$N27,12,0)</f>
        <v>4.8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VLOOKUP($B9,'0806'!$B9:$N28,12,0)</f>
        <v>16.8</v>
      </c>
      <c r="E9" s="10">
        <v>16.260000000000002</v>
      </c>
      <c r="F9" s="11">
        <v>5</v>
      </c>
      <c r="G9" s="10">
        <v>4.8</v>
      </c>
      <c r="H9" s="10">
        <v>2.5</v>
      </c>
      <c r="I9" s="10"/>
      <c r="J9" s="10"/>
      <c r="K9" s="10"/>
      <c r="L9" s="14">
        <f t="shared" si="1"/>
        <v>20.76</v>
      </c>
      <c r="M9" s="10">
        <v>20.76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VLOOKUP($B10,'0806'!$B10:$N29,12,0)</f>
        <v>10.199999999999999</v>
      </c>
      <c r="F10" s="11"/>
      <c r="G10" s="10"/>
      <c r="H10" s="10">
        <v>0.9</v>
      </c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VLOOKUP($B11,'0806'!$B11:$N30,12,0)</f>
        <v>31.1</v>
      </c>
      <c r="E11" s="10"/>
      <c r="F11" s="11">
        <v>6</v>
      </c>
      <c r="G11" s="10"/>
      <c r="H11" s="10">
        <v>1</v>
      </c>
      <c r="I11" s="11"/>
      <c r="J11" s="10"/>
      <c r="K11" s="10"/>
      <c r="L11" s="14">
        <f t="shared" si="1"/>
        <v>24.1</v>
      </c>
      <c r="M11" s="10">
        <v>24.1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VLOOKUP($B12,'0806'!$B12:$N31,12,0)</f>
        <v>11.6</v>
      </c>
      <c r="E12" s="10"/>
      <c r="F12" s="11">
        <v>3.1</v>
      </c>
      <c r="G12" s="10"/>
      <c r="H12" s="10">
        <v>1</v>
      </c>
      <c r="I12" s="11"/>
      <c r="J12" s="10"/>
      <c r="K12" s="10"/>
      <c r="L12" s="14">
        <f t="shared" si="1"/>
        <v>7.5</v>
      </c>
      <c r="M12" s="10">
        <v>7.5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VLOOKUP($B14,'0806'!$B14:$N33,12,0)</f>
        <v>11.55</v>
      </c>
      <c r="E14" s="10"/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VLOOKUP($B15,'0806'!$B15:$N34,12,0)</f>
        <v>14.7</v>
      </c>
      <c r="E15" s="10"/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VLOOKUP($B16,'0806'!$B16:$N35,12,0)</f>
        <v>12.9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11.9</v>
      </c>
      <c r="M16" s="10">
        <v>11.9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VLOOKUP($B20,'0806'!$B20:$N39,12,0)</f>
        <v>10</v>
      </c>
      <c r="E20" s="12"/>
      <c r="F20" s="12">
        <v>3</v>
      </c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VLOOKUP($B21,'0806'!$B21:$N40,12,0)</f>
        <v>9.35</v>
      </c>
      <c r="E21" s="12"/>
      <c r="F21" s="12"/>
      <c r="G21" s="12"/>
      <c r="H21" s="11"/>
      <c r="I21" s="12"/>
      <c r="J21" s="12"/>
      <c r="K21" s="12"/>
      <c r="L21" s="14">
        <f t="shared" si="1"/>
        <v>9.35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56.260000000000005</v>
      </c>
      <c r="F27" s="13">
        <f t="shared" si="2"/>
        <v>22.1</v>
      </c>
      <c r="G27" s="13">
        <f t="shared" si="2"/>
        <v>4.8</v>
      </c>
      <c r="H27" s="13">
        <f t="shared" si="2"/>
        <v>13.4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233.64999999999998</v>
      </c>
      <c r="M27" s="13">
        <f t="shared" si="2"/>
        <v>233.64999999999998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4" priority="1" stopIfTrue="1" operator="lessThan">
      <formula>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DATE(2015,6,9)</f>
        <v>42164</v>
      </c>
      <c r="E4" s="36">
        <f>D4+1</f>
        <v>42165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VLOOKUP($B7,'0906'!$B7:$N26,12,0)</f>
        <v>90</v>
      </c>
      <c r="E7" s="10">
        <v>20</v>
      </c>
      <c r="F7" s="10">
        <v>10</v>
      </c>
      <c r="G7" s="10">
        <v>10</v>
      </c>
      <c r="H7" s="11">
        <v>10</v>
      </c>
      <c r="I7" s="10">
        <v>10</v>
      </c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VLOOKUP($B8,'0906'!$B8:$N27,12,0)</f>
        <v>4.8</v>
      </c>
      <c r="E8" s="10"/>
      <c r="F8" s="11"/>
      <c r="G8" s="10"/>
      <c r="H8" s="10"/>
      <c r="I8" s="10">
        <v>1.5</v>
      </c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VLOOKUP($B9,'0906'!$B9:$N28,12,0)</f>
        <v>20.76</v>
      </c>
      <c r="E9" s="10"/>
      <c r="F9" s="11"/>
      <c r="G9" s="10">
        <v>1</v>
      </c>
      <c r="H9" s="10">
        <v>4</v>
      </c>
      <c r="I9" s="10">
        <v>1.5</v>
      </c>
      <c r="J9" s="10"/>
      <c r="K9" s="10"/>
      <c r="L9" s="14">
        <f t="shared" si="1"/>
        <v>14.260000000000002</v>
      </c>
      <c r="M9" s="10">
        <v>14.26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VLOOKUP($B10,'0906'!$B10:$N29,12,0)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VLOOKUP($B11,'0906'!$B11:$N30,12,0)</f>
        <v>24.1</v>
      </c>
      <c r="E11" s="10">
        <v>24.5</v>
      </c>
      <c r="F11" s="11"/>
      <c r="G11" s="10">
        <v>3</v>
      </c>
      <c r="H11" s="10">
        <v>2</v>
      </c>
      <c r="I11" s="11">
        <v>3</v>
      </c>
      <c r="J11" s="10"/>
      <c r="K11" s="10"/>
      <c r="L11" s="14">
        <f t="shared" si="1"/>
        <v>40.6</v>
      </c>
      <c r="M11" s="10">
        <v>40.6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VLOOKUP($B12,'0906'!$B12:$N31,12,0)</f>
        <v>7.5</v>
      </c>
      <c r="E12" s="10">
        <v>13.5</v>
      </c>
      <c r="F12" s="11"/>
      <c r="G12" s="10">
        <v>0.5</v>
      </c>
      <c r="H12" s="10">
        <v>1</v>
      </c>
      <c r="I12" s="11"/>
      <c r="J12" s="10"/>
      <c r="K12" s="10"/>
      <c r="L12" s="14">
        <f t="shared" si="1"/>
        <v>19.5</v>
      </c>
      <c r="M12" s="10">
        <v>19.5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VLOOKUP($B14,'0906'!$B14:$N33,12,0)</f>
        <v>11.55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10.55</v>
      </c>
      <c r="M14" s="10">
        <v>10.55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VLOOKUP($B15,'0906'!$B15:$N34,12,0)</f>
        <v>14.7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13.7</v>
      </c>
      <c r="M15" s="10">
        <v>13.7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VLOOKUP($B16,'0906'!$B16:$N35,12,0)</f>
        <v>11.9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10.9</v>
      </c>
      <c r="M16" s="10">
        <v>10.9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VLOOKUP($B18,'0906'!$B18:$N37,12,0)</f>
        <v>7.1</v>
      </c>
      <c r="E18" s="10"/>
      <c r="F18" s="11"/>
      <c r="G18" s="10">
        <v>1.2</v>
      </c>
      <c r="H18" s="10">
        <v>0.8</v>
      </c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VLOOKUP($B20,'0906'!$B20:$N39,12,0)</f>
        <v>7</v>
      </c>
      <c r="E20" s="12">
        <v>11.8</v>
      </c>
      <c r="F20" s="12"/>
      <c r="G20" s="12">
        <v>1.5</v>
      </c>
      <c r="H20" s="11"/>
      <c r="I20" s="12"/>
      <c r="J20" s="12"/>
      <c r="K20" s="12"/>
      <c r="L20" s="14">
        <f t="shared" si="1"/>
        <v>17.3</v>
      </c>
      <c r="M20" s="12">
        <v>17.3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VLOOKUP($B21,'0906'!$B21:$N40,12,0)</f>
        <v>9.35</v>
      </c>
      <c r="E21" s="12"/>
      <c r="F21" s="12"/>
      <c r="G21" s="12">
        <v>0.6</v>
      </c>
      <c r="H21" s="11">
        <v>0.9</v>
      </c>
      <c r="I21" s="12">
        <v>1.2</v>
      </c>
      <c r="J21" s="12"/>
      <c r="K21" s="12"/>
      <c r="L21" s="14">
        <f t="shared" si="1"/>
        <v>6.6499999999999995</v>
      </c>
      <c r="M21" s="12">
        <v>6.65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VLOOKUP($B22,'0906'!$B22:$N41,12,0)</f>
        <v>13.2</v>
      </c>
      <c r="E22" s="10"/>
      <c r="F22" s="10"/>
      <c r="G22" s="12"/>
      <c r="H22" s="11">
        <v>0.9</v>
      </c>
      <c r="I22" s="12"/>
      <c r="J22" s="12"/>
      <c r="K22" s="12"/>
      <c r="L22" s="14">
        <f t="shared" si="1"/>
        <v>12.299999999999999</v>
      </c>
      <c r="M22" s="12">
        <v>12.3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69.8</v>
      </c>
      <c r="F27" s="13">
        <f t="shared" si="2"/>
        <v>10</v>
      </c>
      <c r="G27" s="13">
        <f t="shared" si="2"/>
        <v>20.8</v>
      </c>
      <c r="H27" s="13">
        <f t="shared" si="2"/>
        <v>19.599999999999998</v>
      </c>
      <c r="I27" s="13">
        <f t="shared" si="2"/>
        <v>17.2</v>
      </c>
      <c r="J27" s="13">
        <f t="shared" si="2"/>
        <v>0</v>
      </c>
      <c r="K27" s="13">
        <f t="shared" si="2"/>
        <v>0</v>
      </c>
      <c r="L27" s="13">
        <f t="shared" si="2"/>
        <v>235.85000000000002</v>
      </c>
      <c r="M27" s="13">
        <f t="shared" si="2"/>
        <v>235.85000000000002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3" priority="1" stopIfTrue="1" operator="lessThan">
      <formula>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DATE(2015,6,10)</f>
        <v>42165</v>
      </c>
      <c r="E4" s="36">
        <f>D4+1</f>
        <v>42166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VLOOKUP($B7,'1006'!$B7:$N26,12,0)</f>
        <v>70</v>
      </c>
      <c r="E7" s="10">
        <v>40</v>
      </c>
      <c r="F7" s="10">
        <v>8</v>
      </c>
      <c r="G7" s="10">
        <v>30</v>
      </c>
      <c r="H7" s="11">
        <v>10</v>
      </c>
      <c r="I7" s="10">
        <v>4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VLOOKUP($B8,'1006'!$B8:$N27,12,0)</f>
        <v>3.3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VLOOKUP($B9,'1006'!$B9:$N28,12,0)</f>
        <v>14.26</v>
      </c>
      <c r="E9" s="10">
        <v>19.5</v>
      </c>
      <c r="F9" s="11"/>
      <c r="G9" s="10">
        <v>5.26</v>
      </c>
      <c r="H9" s="10">
        <v>8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VLOOKUP($B10,'1006'!$B10:$N29,12,0)</f>
        <v>9.3000000000000007</v>
      </c>
      <c r="F10" s="11"/>
      <c r="G10" s="10"/>
      <c r="H10" s="10">
        <v>2.1</v>
      </c>
      <c r="I10" s="11"/>
      <c r="J10" s="10"/>
      <c r="K10" s="10"/>
      <c r="L10" s="14">
        <f t="shared" si="1"/>
        <v>7.2000000000000011</v>
      </c>
      <c r="M10" s="10">
        <v>7.2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VLOOKUP($B11,'1006'!$B11:$N30,12,0)</f>
        <v>40.6</v>
      </c>
      <c r="E11" s="10"/>
      <c r="F11" s="11"/>
      <c r="G11" s="10">
        <v>7</v>
      </c>
      <c r="H11" s="10">
        <v>8.1</v>
      </c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VLOOKUP($B12,'1006'!$B12:$N31,12,0)</f>
        <v>19.5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VLOOKUP($B14,'1006'!$B14:$N33,12,0)</f>
        <v>10.55</v>
      </c>
      <c r="E14" s="10"/>
      <c r="F14" s="11"/>
      <c r="G14" s="10"/>
      <c r="H14" s="10">
        <v>2</v>
      </c>
      <c r="I14" s="11">
        <v>1</v>
      </c>
      <c r="J14" s="10"/>
      <c r="K14" s="10"/>
      <c r="L14" s="14">
        <f t="shared" si="1"/>
        <v>7.5500000000000007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VLOOKUP($B15,'1006'!$B15:$N34,12,0)</f>
        <v>13.7</v>
      </c>
      <c r="E15" s="10"/>
      <c r="F15" s="11"/>
      <c r="G15" s="10"/>
      <c r="H15" s="10">
        <v>1.3</v>
      </c>
      <c r="I15" s="10"/>
      <c r="J15" s="10"/>
      <c r="K15" s="10"/>
      <c r="L15" s="14">
        <f t="shared" si="1"/>
        <v>12.399999999999999</v>
      </c>
      <c r="M15" s="10">
        <v>12.4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VLOOKUP($B16,'1006'!$B16:$N35,12,0)</f>
        <v>10.9</v>
      </c>
      <c r="E16" s="10">
        <v>11.5</v>
      </c>
      <c r="F16" s="11"/>
      <c r="G16" s="10"/>
      <c r="H16" s="10">
        <v>2</v>
      </c>
      <c r="I16" s="10"/>
      <c r="J16" s="10"/>
      <c r="K16" s="10"/>
      <c r="L16" s="14">
        <f t="shared" si="1"/>
        <v>20.399999999999999</v>
      </c>
      <c r="M16" s="10">
        <v>20.399999999999999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VLOOKUP($B18,'1006'!$B18:$N37,12,0)</f>
        <v>5.0999999999999996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VLOOKUP($B20,'1006'!$B20:$N39,12,0)</f>
        <v>17.3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14.3</v>
      </c>
      <c r="M20" s="12">
        <v>14.3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VLOOKUP($B21,'1006'!$B21:$N40,12,0)</f>
        <v>6.65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4.5500000000000007</v>
      </c>
      <c r="M21" s="12">
        <v>4.55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VLOOKUP($B22,'1006'!$B22:$N41,12,0)</f>
        <v>12.3</v>
      </c>
      <c r="E22" s="10"/>
      <c r="F22" s="10"/>
      <c r="G22" s="12">
        <v>2.1</v>
      </c>
      <c r="H22" s="11">
        <v>1.05</v>
      </c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</v>
      </c>
      <c r="F27" s="13">
        <f t="shared" si="2"/>
        <v>8</v>
      </c>
      <c r="G27" s="13">
        <f t="shared" si="2"/>
        <v>47.36</v>
      </c>
      <c r="H27" s="13">
        <f t="shared" si="2"/>
        <v>41.55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203.94000000000005</v>
      </c>
      <c r="M27" s="13">
        <f t="shared" si="2"/>
        <v>203.94000000000005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2" priority="1" stopIfTrue="1" operator="lessThan">
      <formula>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DATE(2015,6,11)</f>
        <v>42166</v>
      </c>
      <c r="E4" s="36">
        <f>D4+1</f>
        <v>42167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VLOOKUP($B7,'1106'!$B7:$N26,12,0)</f>
        <v>58</v>
      </c>
      <c r="E7" s="10">
        <v>40</v>
      </c>
      <c r="F7" s="10">
        <v>4</v>
      </c>
      <c r="G7" s="10">
        <v>40</v>
      </c>
      <c r="H7" s="11"/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VLOOKUP($B8,'1106'!$B8:$N27,12,0)</f>
        <v>2.4</v>
      </c>
      <c r="E8" s="10"/>
      <c r="F8" s="11"/>
      <c r="G8" s="10">
        <v>2.1</v>
      </c>
      <c r="H8" s="10"/>
      <c r="I8" s="10"/>
      <c r="J8" s="10"/>
      <c r="K8" s="10"/>
      <c r="L8" s="14">
        <f t="shared" ref="L8:L22" si="1">D8+E8-SUM(F8:K8)</f>
        <v>0.29999999999999982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VLOOKUP($B9,'1106'!$B9:$N28,12,0)</f>
        <v>19.5</v>
      </c>
      <c r="E9" s="10">
        <v>17.25</v>
      </c>
      <c r="F9" s="11"/>
      <c r="G9" s="10">
        <v>14</v>
      </c>
      <c r="H9" s="10"/>
      <c r="I9" s="10"/>
      <c r="J9" s="10"/>
      <c r="K9" s="10"/>
      <c r="L9" s="14">
        <f t="shared" si="1"/>
        <v>22.75</v>
      </c>
      <c r="M9" s="10">
        <v>22.75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VLOOKUP($B10,'1106'!$B10:$N29,12,0)</f>
        <v>7.2</v>
      </c>
      <c r="E10">
        <v>12</v>
      </c>
      <c r="F10" s="11"/>
      <c r="G10" s="10">
        <v>3.9</v>
      </c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VLOOKUP($B11,'1106'!$B11:$N30,12,0)</f>
        <v>25.5</v>
      </c>
      <c r="E11" s="10"/>
      <c r="F11" s="11"/>
      <c r="G11" s="10">
        <v>8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VLOOKUP($B12,'1106'!$B12:$N31,12,0)</f>
        <v>15.5</v>
      </c>
      <c r="E12" s="10"/>
      <c r="F12" s="11"/>
      <c r="G12" s="10">
        <v>1</v>
      </c>
      <c r="H12" s="10">
        <v>4</v>
      </c>
      <c r="I12" s="11"/>
      <c r="J12" s="10"/>
      <c r="K12" s="10"/>
      <c r="L12" s="14">
        <f t="shared" si="1"/>
        <v>10.5</v>
      </c>
      <c r="M12" s="10">
        <v>10.5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VLOOKUP($B15,'1106'!$B15:$N34,12,0)</f>
        <v>12.4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VLOOKUP($B16,'1106'!$B16:$N35,12,0)</f>
        <v>20.399999999999999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VLOOKUP($B18,'1106'!$B18:$N37,12,0)</f>
        <v>5.0999999999999996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VLOOKUP($B20,'1106'!$B20:$N39,12,0)</f>
        <v>14.3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12.3</v>
      </c>
      <c r="M20" s="12">
        <v>12.3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VLOOKUP($B21,'1106'!$B21:$N40,12,0)</f>
        <v>4.55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69.25</v>
      </c>
      <c r="F27" s="13">
        <f t="shared" si="2"/>
        <v>4</v>
      </c>
      <c r="G27" s="13">
        <f t="shared" si="2"/>
        <v>79.599999999999994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183.59000000000003</v>
      </c>
      <c r="M27" s="13">
        <f t="shared" si="2"/>
        <v>183.59000000000003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1" priority="1" stopIfTrue="1" operator="lessThan">
      <formula>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DATE(2015,6,12)</f>
        <v>42167</v>
      </c>
      <c r="E4" s="36">
        <f>D4+1</f>
        <v>42168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VLOOKUP($B7,'1206'!$B7:$N26,12,0)</f>
        <v>52</v>
      </c>
      <c r="E7" s="10">
        <v>30</v>
      </c>
      <c r="F7" s="10">
        <v>8</v>
      </c>
      <c r="G7" s="10"/>
      <c r="H7" s="11"/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VLOOKUP($B8,'1206'!$B8:$N27,12,0)</f>
        <v>0.3</v>
      </c>
      <c r="E8" s="10">
        <v>8.3000000000000007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8.6000000000000014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VLOOKUP($B9,'1206'!$B9:$N28,12,0)</f>
        <v>22.75</v>
      </c>
      <c r="E9" s="10"/>
      <c r="F9" s="11"/>
      <c r="G9" s="10">
        <v>1.5</v>
      </c>
      <c r="H9" s="10"/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VLOOKUP($B10,'1206'!$B10:$N29,12,0)</f>
        <v>15.3</v>
      </c>
      <c r="F10" s="11"/>
      <c r="G10" s="10">
        <v>1.2</v>
      </c>
      <c r="H10" s="10"/>
      <c r="I10" s="11"/>
      <c r="J10" s="10"/>
      <c r="K10" s="10"/>
      <c r="L10" s="14">
        <f t="shared" si="1"/>
        <v>14.100000000000001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VLOOKUP($B11,'1206'!$B11:$N30,12,0)</f>
        <v>17.5</v>
      </c>
      <c r="E11" s="10">
        <v>23.2</v>
      </c>
      <c r="F11" s="11">
        <v>17</v>
      </c>
      <c r="G11" s="10">
        <v>2</v>
      </c>
      <c r="H11" s="10"/>
      <c r="I11" s="11"/>
      <c r="J11" s="10"/>
      <c r="K11" s="10"/>
      <c r="L11" s="14">
        <f t="shared" si="1"/>
        <v>21.700000000000003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VLOOKUP($B12,'1206'!$B12:$N31,12,0)</f>
        <v>10.5</v>
      </c>
      <c r="E12" s="10">
        <v>13.7</v>
      </c>
      <c r="F12" s="11"/>
      <c r="G12" s="10">
        <v>1</v>
      </c>
      <c r="H12" s="10"/>
      <c r="I12" s="11"/>
      <c r="J12" s="10"/>
      <c r="K12" s="10"/>
      <c r="L12" s="14">
        <f t="shared" si="1"/>
        <v>23.2</v>
      </c>
      <c r="M12" s="10">
        <v>23.2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VLOOKUP($B20,'1206'!$B20:$N39,12,0)</f>
        <v>12.3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25</v>
      </c>
      <c r="G27" s="13">
        <f t="shared" si="2"/>
        <v>7.7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226.09</v>
      </c>
      <c r="M27" s="13">
        <f t="shared" si="2"/>
        <v>226.09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0" priority="1" stopIfTrue="1" operator="lessThan">
      <formula>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DATE(2015,6,13)</f>
        <v>42168</v>
      </c>
      <c r="E4" s="36">
        <f>D4+1</f>
        <v>42169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VLOOKUP($B7,'1306'!$B7:$N26,12,0)</f>
        <v>74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VLOOKUP($B8,'1306'!$B8:$N27,12,0)</f>
        <v>8.6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VLOOKUP($B9,'1306'!$B9:$N28,12,0)</f>
        <v>21.25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16.25</v>
      </c>
      <c r="M9" s="10">
        <v>16.25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VLOOKUP($B10,'1306'!$B10:$N29,12,0)</f>
        <v>14.1</v>
      </c>
      <c r="F10" s="11"/>
      <c r="G10" s="10"/>
      <c r="H10" s="10"/>
      <c r="I10" s="11"/>
      <c r="J10" s="10"/>
      <c r="K10" s="10"/>
      <c r="L10" s="14">
        <f t="shared" si="1"/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VLOOKUP($B11,'1306'!$B11:$N30,12,0)</f>
        <v>21.7</v>
      </c>
      <c r="E11" s="10"/>
      <c r="F11" s="11"/>
      <c r="G11" s="10"/>
      <c r="H11" s="10"/>
      <c r="I11" s="11"/>
      <c r="J11" s="10"/>
      <c r="K11" s="10"/>
      <c r="L11" s="14">
        <f t="shared" si="1"/>
        <v>21.7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VLOOKUP($B12,'1306'!$B12:$N31,12,0)</f>
        <v>23.2</v>
      </c>
      <c r="E12" s="10">
        <v>14.6</v>
      </c>
      <c r="F12" s="11"/>
      <c r="G12" s="10">
        <v>3</v>
      </c>
      <c r="H12" s="10"/>
      <c r="I12" s="11"/>
      <c r="J12" s="10"/>
      <c r="K12" s="10"/>
      <c r="L12" s="14">
        <f t="shared" si="1"/>
        <v>34.799999999999997</v>
      </c>
      <c r="M12" s="10">
        <v>34.799999999999997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VLOOKUP($B20,'1306'!$B20:$N39,12,0)</f>
        <v>10.3</v>
      </c>
      <c r="E20" s="12"/>
      <c r="F20" s="12"/>
      <c r="G20" s="12"/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14.6</v>
      </c>
      <c r="F27" s="13">
        <f t="shared" si="2"/>
        <v>4</v>
      </c>
      <c r="G27" s="13">
        <f t="shared" si="2"/>
        <v>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228.69000000000003</v>
      </c>
      <c r="M27" s="13">
        <f t="shared" si="2"/>
        <v>228.69000000000003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9" priority="1" stopIfTrue="1" operator="lessThan">
      <formula>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DATE(2015,6,14)</f>
        <v>42169</v>
      </c>
      <c r="E4" s="36">
        <f>D4+1</f>
        <v>42170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VLOOKUP($B7,'1406'!$B7:$N26,12,0)</f>
        <v>70</v>
      </c>
      <c r="E7" s="10">
        <v>30</v>
      </c>
      <c r="F7" s="10">
        <v>4</v>
      </c>
      <c r="G7" s="10">
        <v>12</v>
      </c>
      <c r="H7" s="11">
        <v>12</v>
      </c>
      <c r="I7" s="10"/>
      <c r="J7" s="10"/>
      <c r="K7" s="10"/>
      <c r="L7" s="14">
        <f>D7+E7-SUM(F7:K7)</f>
        <v>72</v>
      </c>
      <c r="M7" s="10">
        <v>72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VLOOKUP($B8,'1406'!$B8:$N27,12,0)</f>
        <v>8.6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7.6999999999999993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VLOOKUP($B9,'1406'!$B9:$N28,12,0)</f>
        <v>16.25</v>
      </c>
      <c r="E9" s="10"/>
      <c r="F9" s="11"/>
      <c r="G9" s="10">
        <v>3</v>
      </c>
      <c r="H9" s="10">
        <v>5.25</v>
      </c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VLOOKUP($B10,'1406'!$B10:$N29,12,0)</f>
        <v>14.1</v>
      </c>
      <c r="F10" s="11"/>
      <c r="G10" s="10">
        <v>2.1</v>
      </c>
      <c r="H10" s="10">
        <v>0.6</v>
      </c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VLOOKUP($B11,'1406'!$B11:$N30,12,0)</f>
        <v>21.7</v>
      </c>
      <c r="E11" s="10">
        <v>23.2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36.9</v>
      </c>
      <c r="M11" s="10">
        <v>36.9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VLOOKUP($B12,'1406'!$B12:$N31,12,0)</f>
        <v>34.799999999999997</v>
      </c>
      <c r="E12" s="10"/>
      <c r="F12" s="11"/>
      <c r="G12" s="10">
        <v>22.2</v>
      </c>
      <c r="H12" s="10"/>
      <c r="I12" s="11"/>
      <c r="J12" s="10"/>
      <c r="K12" s="10"/>
      <c r="L12" s="14">
        <f t="shared" si="1"/>
        <v>12.599999999999998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VLOOKUP($B14,'1406'!$B14:$N33,12,0)</f>
        <v>7.55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6.55</v>
      </c>
      <c r="M14" s="10">
        <v>6.55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VLOOKUP($B16,'1406'!$B16:$N35,12,0)</f>
        <v>18.399999999999999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16.399999999999999</v>
      </c>
      <c r="M16" s="10">
        <v>16.399999999999999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VLOOKUP($B20,'1406'!$B20:$N39,12,0)</f>
        <v>10.3</v>
      </c>
      <c r="E20" s="12"/>
      <c r="F20" s="12"/>
      <c r="G20" s="12">
        <v>1</v>
      </c>
      <c r="H20" s="11">
        <v>1.8</v>
      </c>
      <c r="I20" s="12"/>
      <c r="J20" s="12"/>
      <c r="K20" s="12"/>
      <c r="L20" s="14">
        <f t="shared" si="1"/>
        <v>7.5000000000000009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VLOOKUP($B21,'1406'!$B21:$N40,12,0)</f>
        <v>3.05</v>
      </c>
      <c r="E21" s="12">
        <v>11.1</v>
      </c>
      <c r="F21" s="12"/>
      <c r="G21" s="12"/>
      <c r="H21" s="11">
        <v>0.9</v>
      </c>
      <c r="I21" s="12"/>
      <c r="J21" s="12"/>
      <c r="K21" s="12"/>
      <c r="L21" s="14">
        <f t="shared" si="1"/>
        <v>13.249999999999998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64.3</v>
      </c>
      <c r="F27" s="13">
        <f t="shared" si="2"/>
        <v>4</v>
      </c>
      <c r="G27" s="13">
        <f t="shared" si="2"/>
        <v>45.3</v>
      </c>
      <c r="H27" s="13">
        <f t="shared" si="2"/>
        <v>27.45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216.24</v>
      </c>
      <c r="M27" s="13">
        <f t="shared" si="2"/>
        <v>216.24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8" priority="1" stopIfTrue="1" operator="lessThan">
      <formula>0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DATE(2015,6,15)</f>
        <v>42170</v>
      </c>
      <c r="E4" s="36">
        <f>D4+1</f>
        <v>42171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VLOOKUP($B7,'1506'!$B7:$N26,12,0)</f>
        <v>72</v>
      </c>
      <c r="E7" s="10">
        <v>20</v>
      </c>
      <c r="F7" s="10">
        <v>4</v>
      </c>
      <c r="G7" s="10">
        <v>8</v>
      </c>
      <c r="H7" s="11">
        <v>30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VLOOKUP($B9,'1506'!$B9:$N28,12,0)</f>
        <v>8</v>
      </c>
      <c r="E9" s="10">
        <v>18.25</v>
      </c>
      <c r="F9" s="11">
        <v>5</v>
      </c>
      <c r="G9" s="10">
        <v>1</v>
      </c>
      <c r="H9" s="10">
        <v>5</v>
      </c>
      <c r="I9" s="10"/>
      <c r="J9" s="10"/>
      <c r="K9" s="10"/>
      <c r="L9" s="14">
        <f t="shared" si="1"/>
        <v>15.25</v>
      </c>
      <c r="M9" s="10">
        <v>15.25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VLOOKUP($B10,'1506'!$B10:$N29,12,0)</f>
        <v>11.4</v>
      </c>
      <c r="F10" s="11"/>
      <c r="G10" s="10">
        <v>1.5</v>
      </c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VLOOKUP($B11,'1506'!$B11:$N30,12,0)</f>
        <v>36.9</v>
      </c>
      <c r="E11" s="10"/>
      <c r="F11" s="11">
        <v>8.1999999999999993</v>
      </c>
      <c r="G11" s="10">
        <v>4</v>
      </c>
      <c r="H11" s="10">
        <v>5.2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VLOOKUP($B12,'1506'!$B12:$N31,12,0)</f>
        <v>12.6</v>
      </c>
      <c r="E12" s="10"/>
      <c r="F12" s="11">
        <v>3</v>
      </c>
      <c r="G12" s="10">
        <v>0.5</v>
      </c>
      <c r="H12" s="10">
        <v>3.1</v>
      </c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VLOOKUP($B14,'1506'!$B14:$N33,12,0)</f>
        <v>6.55</v>
      </c>
      <c r="E14" s="10"/>
      <c r="F14" s="11">
        <v>2</v>
      </c>
      <c r="G14" s="10">
        <v>1.1499999999999999</v>
      </c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VLOOKUP($B15,'1506'!$B15:$N34,12,0)</f>
        <v>9.4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5.4</v>
      </c>
      <c r="M15" s="10">
        <v>5.4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VLOOKUP($B16,'1506'!$B16:$N35,12,0)</f>
        <v>16.399999999999999</v>
      </c>
      <c r="E16" s="10"/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13.399999999999999</v>
      </c>
      <c r="M16" s="10">
        <v>13.4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VLOOKUP($B18,'1506'!$B18:$N37,12,0)</f>
        <v>3</v>
      </c>
      <c r="E18" s="10">
        <v>10.199999999999999</v>
      </c>
      <c r="F18" s="11"/>
      <c r="G18" s="10">
        <v>0.6</v>
      </c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VLOOKUP($B20,'1506'!$B20:$N39,12,0)</f>
        <v>7.5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VLOOKUP($B21,'1506'!$B21:$N40,12,0)</f>
        <v>13.25</v>
      </c>
      <c r="E21" s="12"/>
      <c r="F21" s="12"/>
      <c r="G21" s="12"/>
      <c r="H21" s="11"/>
      <c r="I21" s="12"/>
      <c r="J21" s="12"/>
      <c r="K21" s="12"/>
      <c r="L21" s="14">
        <f t="shared" si="1"/>
        <v>13.25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VLOOKUP($B22,'1506'!$B22:$N41,12,0)</f>
        <v>9.15</v>
      </c>
      <c r="E22" s="10">
        <v>11.5</v>
      </c>
      <c r="F22" s="10"/>
      <c r="G22" s="12"/>
      <c r="H22" s="11">
        <v>2.15</v>
      </c>
      <c r="I22" s="12"/>
      <c r="J22" s="12"/>
      <c r="K22" s="12"/>
      <c r="L22" s="14">
        <f t="shared" si="1"/>
        <v>18.5</v>
      </c>
      <c r="M22" s="12">
        <v>18.5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59.95</v>
      </c>
      <c r="F27" s="13">
        <f t="shared" si="2"/>
        <v>29.2</v>
      </c>
      <c r="G27" s="13">
        <f t="shared" si="2"/>
        <v>19.75</v>
      </c>
      <c r="H27" s="13">
        <f t="shared" si="2"/>
        <v>47.45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179.79000000000002</v>
      </c>
      <c r="M27" s="13">
        <f t="shared" si="2"/>
        <v>179.79000000000002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7" priority="1" stopIfTrue="1" operator="lessThan">
      <formula>0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DATE(2015,6,16)</f>
        <v>42171</v>
      </c>
      <c r="E4" s="36">
        <f>D4+1</f>
        <v>42172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VLOOKUP($B7,'1606'!$B7:$N26,12,0)</f>
        <v>50</v>
      </c>
      <c r="E7" s="10">
        <v>40</v>
      </c>
      <c r="F7" s="10">
        <v>6</v>
      </c>
      <c r="G7" s="10">
        <v>6</v>
      </c>
      <c r="H7" s="11">
        <v>10</v>
      </c>
      <c r="I7" s="10">
        <v>8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VLOOKUP($B9,'1606'!$B9:$N28,12,0)</f>
        <v>15.25</v>
      </c>
      <c r="E9" s="10"/>
      <c r="F9" s="11"/>
      <c r="G9" s="10"/>
      <c r="H9" s="10">
        <v>1.5</v>
      </c>
      <c r="I9" s="10">
        <f>1.5+1</f>
        <v>2.5</v>
      </c>
      <c r="J9" s="10"/>
      <c r="K9" s="10"/>
      <c r="L9" s="14">
        <f t="shared" si="1"/>
        <v>11.25</v>
      </c>
      <c r="M9" s="10">
        <v>11.25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VLOOKUP($B10,'1606'!$B10:$N29,12,0)</f>
        <v>9.9</v>
      </c>
      <c r="F10" s="11"/>
      <c r="G10" s="10"/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VLOOKUP($B11,'1606'!$B11:$N30,12,0)</f>
        <v>19.5</v>
      </c>
      <c r="E11" s="10">
        <v>24.8</v>
      </c>
      <c r="F11" s="11"/>
      <c r="G11" s="10">
        <v>2</v>
      </c>
      <c r="H11" s="10">
        <v>2</v>
      </c>
      <c r="I11" s="11">
        <v>3.5</v>
      </c>
      <c r="J11" s="10"/>
      <c r="K11" s="10"/>
      <c r="L11" s="14">
        <f t="shared" si="1"/>
        <v>36.799999999999997</v>
      </c>
      <c r="M11" s="10">
        <v>36.799999999999997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VLOOKUP($B12,'1606'!$B12:$N31,12,0)</f>
        <v>6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VLOOKUP($B14,'1606'!$B14:$N33,12,0)</f>
        <v>3.4</v>
      </c>
      <c r="E14" s="10"/>
      <c r="F14" s="11"/>
      <c r="G14" s="10"/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VLOOKUP($B15,'1606'!$B15:$N34,12,0)</f>
        <v>5.4</v>
      </c>
      <c r="E15" s="10"/>
      <c r="F15" s="11"/>
      <c r="G15" s="10"/>
      <c r="H15" s="10"/>
      <c r="I15" s="10">
        <v>0.5</v>
      </c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VLOOKUP($B16,'1606'!$B16:$N35,12,0)</f>
        <v>13.4</v>
      </c>
      <c r="E16" s="10"/>
      <c r="F16" s="11"/>
      <c r="G16" s="10"/>
      <c r="H16" s="10"/>
      <c r="I16" s="10">
        <v>1</v>
      </c>
      <c r="J16" s="10"/>
      <c r="K16" s="10"/>
      <c r="L16" s="14">
        <f t="shared" si="1"/>
        <v>12.4</v>
      </c>
      <c r="M16" s="10">
        <v>12.4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VLOOKUP($B18,'1606'!$B18:$N37,12,0)</f>
        <v>12.6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VLOOKUP($B20,'1606'!$B20:$N39,12,0)</f>
        <v>2.5</v>
      </c>
      <c r="E20" s="12">
        <v>12.35</v>
      </c>
      <c r="F20" s="12"/>
      <c r="G20" s="12"/>
      <c r="H20" s="11"/>
      <c r="I20" s="12">
        <v>1</v>
      </c>
      <c r="J20" s="12"/>
      <c r="K20" s="12"/>
      <c r="L20" s="14">
        <f t="shared" si="1"/>
        <v>13.85</v>
      </c>
      <c r="M20" s="12">
        <v>13.85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VLOOKUP($B21,'1606'!$B21:$N40,12,0)</f>
        <v>13.25</v>
      </c>
      <c r="E21" s="12"/>
      <c r="F21" s="12"/>
      <c r="G21" s="12"/>
      <c r="H21" s="11">
        <v>1.2</v>
      </c>
      <c r="I21" s="12">
        <v>1.5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VLOOKUP($B22,'1606'!$B22:$N41,12,0)</f>
        <v>18.5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17.899999999999999</v>
      </c>
      <c r="M22" s="12">
        <v>17.899999999999999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77.149999999999991</v>
      </c>
      <c r="F27" s="13">
        <f t="shared" si="2"/>
        <v>6</v>
      </c>
      <c r="G27" s="13">
        <f t="shared" si="2"/>
        <v>10.1</v>
      </c>
      <c r="H27" s="13">
        <f t="shared" si="2"/>
        <v>15.7</v>
      </c>
      <c r="I27" s="13">
        <f t="shared" si="2"/>
        <v>19.2</v>
      </c>
      <c r="J27" s="13">
        <f t="shared" si="2"/>
        <v>0</v>
      </c>
      <c r="K27" s="13">
        <f t="shared" si="2"/>
        <v>0</v>
      </c>
      <c r="L27" s="13">
        <f t="shared" si="2"/>
        <v>205.94000000000003</v>
      </c>
      <c r="M27" s="13">
        <f t="shared" si="2"/>
        <v>205.94000000000003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6" priority="1" stopIfTrue="1" operator="lessThan">
      <formula>0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DATE(2015,6,17)</f>
        <v>42172</v>
      </c>
      <c r="E4" s="36">
        <f>D4+1</f>
        <v>42173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38</v>
      </c>
      <c r="J6" s="5" t="s">
        <v>32</v>
      </c>
      <c r="K6" s="5" t="s">
        <v>39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VLOOKUP($B7,'1706'!$B7:$N26,12,0)</f>
        <v>60</v>
      </c>
      <c r="E7" s="10">
        <v>40</v>
      </c>
      <c r="F7" s="10">
        <v>2</v>
      </c>
      <c r="G7" s="10">
        <v>30</v>
      </c>
      <c r="H7" s="11">
        <v>20</v>
      </c>
      <c r="I7" s="10">
        <v>2</v>
      </c>
      <c r="J7" s="10">
        <v>4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VLOOKUP($B8,'1706'!$B8:$N27,12,0)</f>
        <v>7.7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6.8</v>
      </c>
      <c r="M8" s="10">
        <v>6.8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VLOOKUP($B9,'1706'!$B9:$N28,12,0)</f>
        <v>11.25</v>
      </c>
      <c r="E9" s="10">
        <v>18.399999999999999</v>
      </c>
      <c r="F9" s="11"/>
      <c r="G9" s="10">
        <v>5</v>
      </c>
      <c r="H9" s="10">
        <v>6.25</v>
      </c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VLOOKUP($B10,'1706'!$B10:$N29,12,0)</f>
        <v>9.9</v>
      </c>
      <c r="F10" s="11"/>
      <c r="G10" s="10"/>
      <c r="H10" s="10">
        <v>2.1</v>
      </c>
      <c r="I10" s="11"/>
      <c r="J10" s="10"/>
      <c r="K10" s="10"/>
      <c r="L10" s="14">
        <f t="shared" si="1"/>
        <v>7.8000000000000007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VLOOKUP($B11,'1706'!$B11:$N30,12,0)</f>
        <v>36.799999999999997</v>
      </c>
      <c r="E11" s="10"/>
      <c r="F11" s="11"/>
      <c r="G11" s="10">
        <v>10</v>
      </c>
      <c r="H11" s="10">
        <v>5.8</v>
      </c>
      <c r="I11" s="11"/>
      <c r="J11" s="10"/>
      <c r="K11" s="10"/>
      <c r="L11" s="14">
        <f t="shared" si="1"/>
        <v>20.999999999999996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VLOOKUP($B12,'1706'!$B12:$N31,12,0)</f>
        <v>3.5</v>
      </c>
      <c r="E12" s="10">
        <v>14.9</v>
      </c>
      <c r="F12" s="11"/>
      <c r="G12" s="10"/>
      <c r="H12" s="10"/>
      <c r="I12" s="11"/>
      <c r="J12" s="10"/>
      <c r="K12" s="10"/>
      <c r="L12" s="14">
        <f t="shared" si="1"/>
        <v>18.399999999999999</v>
      </c>
      <c r="M12" s="10">
        <v>18.399999999999999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VLOOKUP($B14,'1706'!$B14:$N33,12,0)</f>
        <v>3.4</v>
      </c>
      <c r="E14" s="10">
        <v>9.3000000000000007</v>
      </c>
      <c r="F14" s="11"/>
      <c r="G14" s="10"/>
      <c r="H14" s="10">
        <v>3</v>
      </c>
      <c r="I14" s="11"/>
      <c r="J14" s="10"/>
      <c r="K14" s="10"/>
      <c r="L14" s="14">
        <f t="shared" si="1"/>
        <v>9.7000000000000011</v>
      </c>
      <c r="M14" s="10">
        <v>9.6999999999999993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VLOOKUP($B15,'1706'!$B15:$N34,12,0)</f>
        <v>4.9000000000000004</v>
      </c>
      <c r="E15" s="10"/>
      <c r="F15" s="11"/>
      <c r="G15" s="10"/>
      <c r="H15" s="10"/>
      <c r="I15" s="10"/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VLOOKUP($B16,'1706'!$B16:$N35,12,0)</f>
        <v>12.4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9.4</v>
      </c>
      <c r="M16" s="10">
        <v>9.4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VLOOKUP($B18,'1706'!$B18:$N37,12,0)</f>
        <v>11.4</v>
      </c>
      <c r="E18" s="10"/>
      <c r="F18" s="11"/>
      <c r="G18" s="10"/>
      <c r="H18" s="10"/>
      <c r="I18" s="10"/>
      <c r="J18" s="10">
        <v>3.9</v>
      </c>
      <c r="K18" s="10"/>
      <c r="L18" s="14">
        <f t="shared" si="1"/>
        <v>7.5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VLOOKUP($B20,'1706'!$B20:$N39,12,0)</f>
        <v>13.85</v>
      </c>
      <c r="E20" s="12"/>
      <c r="F20" s="12"/>
      <c r="G20" s="12">
        <v>6.35</v>
      </c>
      <c r="H20" s="11"/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VLOOKUP($B21,'1706'!$B21:$N40,12,0)</f>
        <v>10.55</v>
      </c>
      <c r="E21" s="12"/>
      <c r="F21" s="12"/>
      <c r="G21" s="12"/>
      <c r="H21" s="11">
        <v>2.1</v>
      </c>
      <c r="I21" s="12"/>
      <c r="J21" s="12"/>
      <c r="K21" s="12">
        <v>0.9</v>
      </c>
      <c r="L21" s="14">
        <f t="shared" si="1"/>
        <v>7.5500000000000007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VLOOKUP($B22,'1706'!$B22:$N41,12,0)</f>
        <v>17.899999999999999</v>
      </c>
      <c r="E22" s="10">
        <v>12.3</v>
      </c>
      <c r="F22" s="10">
        <v>18.2</v>
      </c>
      <c r="G22" s="12">
        <v>2.1</v>
      </c>
      <c r="H22" s="11">
        <v>2.1</v>
      </c>
      <c r="I22" s="12"/>
      <c r="J22" s="12"/>
      <c r="K22" s="12"/>
      <c r="L22" s="14">
        <f t="shared" si="1"/>
        <v>7.7999999999999972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94.899999999999991</v>
      </c>
      <c r="F27" s="13">
        <f t="shared" si="2"/>
        <v>20.2</v>
      </c>
      <c r="G27" s="13">
        <f t="shared" si="2"/>
        <v>53.45</v>
      </c>
      <c r="H27" s="13">
        <f t="shared" si="2"/>
        <v>45.25</v>
      </c>
      <c r="I27" s="13">
        <f t="shared" si="2"/>
        <v>2</v>
      </c>
      <c r="J27" s="13">
        <f t="shared" si="2"/>
        <v>7.9</v>
      </c>
      <c r="K27" s="13">
        <f t="shared" si="2"/>
        <v>0.9</v>
      </c>
      <c r="L27" s="13">
        <f t="shared" si="2"/>
        <v>171.14</v>
      </c>
      <c r="M27" s="13">
        <f t="shared" si="2"/>
        <v>171.14000000000001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5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DATE(2015,4,7)</f>
        <v>42101</v>
      </c>
      <c r="E4" s="36">
        <f>D4+1</f>
        <v>42102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 t="s">
        <v>38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VLOOKUP($B7,'0704'!$B7:$N26,12,0)</f>
        <v>38</v>
      </c>
      <c r="E7" s="10">
        <v>30</v>
      </c>
      <c r="F7" s="10"/>
      <c r="G7" s="10">
        <v>6</v>
      </c>
      <c r="H7" s="11">
        <v>12</v>
      </c>
      <c r="I7" s="10">
        <v>10</v>
      </c>
      <c r="J7" s="10">
        <v>10</v>
      </c>
      <c r="K7" s="10">
        <v>2</v>
      </c>
      <c r="L7" s="14">
        <f>D7+E7-SUM(F7:K7)</f>
        <v>28</v>
      </c>
      <c r="M7" s="10">
        <v>30</v>
      </c>
      <c r="N7" s="15">
        <f t="shared" ref="N7:N26" si="0">M7-L7</f>
        <v>2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VLOOKUP($B9,'0704'!$B9:$N28,12,0)</f>
        <v>29.2</v>
      </c>
      <c r="E9" s="10"/>
      <c r="F9" s="11"/>
      <c r="G9" s="10">
        <v>2</v>
      </c>
      <c r="H9" s="10">
        <v>3</v>
      </c>
      <c r="I9" s="10">
        <v>1.5</v>
      </c>
      <c r="J9" s="10"/>
      <c r="K9" s="10"/>
      <c r="L9" s="14">
        <f t="shared" si="1"/>
        <v>22.7</v>
      </c>
      <c r="M9" s="10">
        <v>22.7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VLOOKUP($B10,'0704'!$B10:$N29,12,0)</f>
        <v>10.8</v>
      </c>
      <c r="F10" s="11"/>
      <c r="G10" s="10"/>
      <c r="H10" s="10"/>
      <c r="I10" s="11">
        <v>0.6</v>
      </c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VLOOKUP($B11,'0704'!$B11:$N30,12,0)</f>
        <v>10.85</v>
      </c>
      <c r="E11" s="10">
        <f>23.2</f>
        <v>23.2</v>
      </c>
      <c r="F11" s="11"/>
      <c r="G11" s="10">
        <v>2</v>
      </c>
      <c r="H11" s="10">
        <v>4</v>
      </c>
      <c r="I11" s="11">
        <v>3</v>
      </c>
      <c r="J11" s="10"/>
      <c r="K11" s="10"/>
      <c r="L11" s="14">
        <f t="shared" si="1"/>
        <v>25.049999999999997</v>
      </c>
      <c r="M11" s="10">
        <v>25.05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VLOOKUP($B12,'0704'!$B12:$N31,12,0)</f>
        <v>8</v>
      </c>
      <c r="E12" s="10">
        <v>12.5</v>
      </c>
      <c r="F12" s="11"/>
      <c r="G12" s="10">
        <v>2</v>
      </c>
      <c r="H12" s="10">
        <v>1.5</v>
      </c>
      <c r="I12" s="11">
        <v>3</v>
      </c>
      <c r="J12" s="10"/>
      <c r="K12" s="10"/>
      <c r="L12" s="14">
        <f t="shared" si="1"/>
        <v>14</v>
      </c>
      <c r="M12" s="10">
        <v>14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VLOOKUP($B14,'0704'!$B14:$N33,12,0)</f>
        <v>12.1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11.1</v>
      </c>
      <c r="M14" s="10">
        <v>11.1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VLOOKUP($B15,'0704'!$B15:$N34,12,0)</f>
        <v>8.4</v>
      </c>
      <c r="E15" s="10"/>
      <c r="F15" s="11"/>
      <c r="G15" s="10"/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VLOOKUP($B16,'0704'!$B16:$N35,12,0)</f>
        <v>18.8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17.8</v>
      </c>
      <c r="M16" s="10">
        <v>17.8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VLOOKUP($B18,'0704'!$B18:$N37,12,0)</f>
        <v>10.199999999999999</v>
      </c>
      <c r="E18" s="10"/>
      <c r="F18" s="11"/>
      <c r="G18" s="10">
        <v>1.5</v>
      </c>
      <c r="H18" s="10">
        <v>3</v>
      </c>
      <c r="I18" s="10">
        <v>1.2</v>
      </c>
      <c r="J18" s="10"/>
      <c r="K18" s="10"/>
      <c r="L18" s="14">
        <f t="shared" si="1"/>
        <v>4.4999999999999991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VLOOKUP($B20,'0704'!$B20:$N39,12,0)</f>
        <v>8.5</v>
      </c>
      <c r="E20" s="12"/>
      <c r="F20" s="12"/>
      <c r="G20" s="12">
        <v>1.5</v>
      </c>
      <c r="H20" s="11">
        <v>2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VLOOKUP($B21,'0704'!$B21:$N40,12,0)</f>
        <v>12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VLOOKUP($B22,'0704'!$B22:$N41,12,0)</f>
        <v>5.4</v>
      </c>
      <c r="E22" s="10"/>
      <c r="F22" s="10"/>
      <c r="G22" s="12">
        <v>2.1</v>
      </c>
      <c r="H22" s="11">
        <v>1.5</v>
      </c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182.75</v>
      </c>
      <c r="E27" s="13">
        <f t="shared" si="2"/>
        <v>65.7</v>
      </c>
      <c r="F27" s="13">
        <f t="shared" si="2"/>
        <v>0</v>
      </c>
      <c r="G27" s="13">
        <f t="shared" si="2"/>
        <v>18.600000000000001</v>
      </c>
      <c r="H27" s="13">
        <f t="shared" si="2"/>
        <v>29</v>
      </c>
      <c r="I27" s="13">
        <f t="shared" si="2"/>
        <v>20.5</v>
      </c>
      <c r="J27" s="13">
        <f t="shared" si="2"/>
        <v>10</v>
      </c>
      <c r="K27" s="13">
        <f t="shared" si="2"/>
        <v>2</v>
      </c>
      <c r="L27" s="13">
        <f t="shared" si="2"/>
        <v>168.35000000000002</v>
      </c>
      <c r="M27" s="13">
        <f t="shared" si="2"/>
        <v>170.35000000000002</v>
      </c>
      <c r="N27" s="13">
        <f t="shared" si="2"/>
        <v>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6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DATE(2015,6,18)</f>
        <v>42173</v>
      </c>
      <c r="E4" s="36">
        <f>D4+1</f>
        <v>42174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VLOOKUP($B7,'1806'!$B7:$N26,12,0)</f>
        <v>42</v>
      </c>
      <c r="E7" s="10">
        <v>40</v>
      </c>
      <c r="F7" s="10">
        <v>4</v>
      </c>
      <c r="G7" s="10">
        <v>36</v>
      </c>
      <c r="H7" s="11">
        <v>2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VLOOKUP($B8,'1806'!$B8:$N27,12,0)</f>
        <v>6.8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VLOOKUP($B9,'1806'!$B9:$N28,12,0)</f>
        <v>18.399999999999999</v>
      </c>
      <c r="E9" s="10"/>
      <c r="F9" s="11"/>
      <c r="G9" s="10">
        <v>7.9</v>
      </c>
      <c r="H9" s="10"/>
      <c r="I9" s="10"/>
      <c r="J9" s="10"/>
      <c r="K9" s="10"/>
      <c r="L9" s="14">
        <f t="shared" si="1"/>
        <v>10.499999999999998</v>
      </c>
      <c r="M9" s="10">
        <v>10.5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VLOOKUP($B10,'1806'!$B10:$N29,12,0)</f>
        <v>7.8</v>
      </c>
      <c r="F10" s="11"/>
      <c r="G10" s="10">
        <v>2.1</v>
      </c>
      <c r="H10" s="10"/>
      <c r="I10" s="11"/>
      <c r="J10" s="10"/>
      <c r="K10" s="10"/>
      <c r="L10" s="14">
        <f t="shared" si="1"/>
        <v>5.6999999999999993</v>
      </c>
      <c r="M10" s="10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VLOOKUP($B11,'1806'!$B11:$N30,12,0)</f>
        <v>21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16</v>
      </c>
      <c r="M11" s="10">
        <v>16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VLOOKUP($B12,'1806'!$B12:$N31,12,0)</f>
        <v>18.399999999999999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14.399999999999999</v>
      </c>
      <c r="M12" s="10">
        <v>14.4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VLOOKUP($B14,'1806'!$B14:$N33,12,0)</f>
        <v>9.6999999999999993</v>
      </c>
      <c r="E14" s="10"/>
      <c r="F14" s="11"/>
      <c r="G14" s="10">
        <v>1.3</v>
      </c>
      <c r="H14" s="10"/>
      <c r="I14" s="11"/>
      <c r="J14" s="10"/>
      <c r="K14" s="10"/>
      <c r="L14" s="14">
        <f t="shared" si="1"/>
        <v>8.3999999999999986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VLOOKUP($B15,'1806'!$B15:$N34,12,0)</f>
        <v>4.9000000000000004</v>
      </c>
      <c r="E15" s="10">
        <v>7.1</v>
      </c>
      <c r="F15" s="11"/>
      <c r="G15" s="10">
        <v>2</v>
      </c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VLOOKUP($B16,'1806'!$B16:$N35,12,0)</f>
        <v>9.4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7.4</v>
      </c>
      <c r="M16" s="10">
        <v>7.4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VLOOKUP($B18,'1806'!$B18:$N37,12,0)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VLOOKUP($B20,'1806'!$B20:$N39,12,0)</f>
        <v>7.5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VLOOKUP($B21,'1806'!$B21:$N40,12,0)</f>
        <v>7.55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59.1</v>
      </c>
      <c r="F27" s="13">
        <f t="shared" si="2"/>
        <v>7</v>
      </c>
      <c r="G27" s="13">
        <f t="shared" si="2"/>
        <v>67.5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153.74</v>
      </c>
      <c r="M27" s="13">
        <f t="shared" si="2"/>
        <v>153.74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4" priority="1" stopIfTrue="1" operator="lessThan">
      <formula>0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DATE(2015,6,19)</f>
        <v>42174</v>
      </c>
      <c r="E4" s="36">
        <f>D4+1</f>
        <v>42175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VLOOKUP($B7,'1906'!$B7:$N26,12,0)</f>
        <v>40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VLOOKUP($B8,'1906'!$B8:$N27,12,0)</f>
        <v>3.8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VLOOKUP($B9,'1906'!$B9:$N28,12,0)</f>
        <v>10.5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VLOOKUP($B10,'1906'!$B10:$N29,12,0)</f>
        <v>5.7</v>
      </c>
      <c r="F10" s="11"/>
      <c r="G10" s="10">
        <v>0.6</v>
      </c>
      <c r="H10" s="10"/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VLOOKUP($B11,'1906'!$B11:$N30,12,0)</f>
        <v>16</v>
      </c>
      <c r="E11" s="10">
        <v>23.25</v>
      </c>
      <c r="F11" s="11"/>
      <c r="G11" s="10">
        <v>2</v>
      </c>
      <c r="H11" s="10"/>
      <c r="I11" s="11"/>
      <c r="J11" s="10"/>
      <c r="K11" s="10"/>
      <c r="L11" s="14">
        <f t="shared" si="1"/>
        <v>37.25</v>
      </c>
      <c r="M11" s="10">
        <f>14+23.25</f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VLOOKUP($B12,'1906'!$B12:$N31,12,0)</f>
        <v>14.4</v>
      </c>
      <c r="E12" s="10"/>
      <c r="F12" s="11"/>
      <c r="G12" s="10">
        <v>1.5</v>
      </c>
      <c r="H12" s="10">
        <v>1.5</v>
      </c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f>2.9+7.1</f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VLOOKUP($B16,'1906'!$B16:$N35,12,0)</f>
        <v>7.4</v>
      </c>
      <c r="E16" s="10">
        <v>12.85</v>
      </c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66.099999999999994</v>
      </c>
      <c r="F27" s="13">
        <f t="shared" si="2"/>
        <v>4</v>
      </c>
      <c r="G27" s="13">
        <f t="shared" si="2"/>
        <v>7.5</v>
      </c>
      <c r="H27" s="13">
        <f t="shared" si="2"/>
        <v>1.5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206.84</v>
      </c>
      <c r="M27" s="13">
        <f t="shared" si="2"/>
        <v>206.84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3" priority="1" stopIfTrue="1" operator="lessThan">
      <formula>0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DATE(2015,6,20)</f>
        <v>42175</v>
      </c>
      <c r="E4" s="36">
        <f>D4+1</f>
        <v>42176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VLOOKUP($B7,'2006'!$B7:$N26,12,0)</f>
        <v>66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VLOOKUP($B8,'2006'!$B8:$N27,12,0)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VLOOKUP($B9,'2006'!$B9:$N28,12,0)</f>
        <v>8</v>
      </c>
      <c r="E9" s="10"/>
      <c r="F9" s="11">
        <v>1</v>
      </c>
      <c r="G9" s="10">
        <v>7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VLOOKUP($B10,'2006'!$B10:$N29,12,0)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VLOOKUP($B11,'2006'!$B11:$N30,12,0)</f>
        <v>37.25</v>
      </c>
      <c r="E11" s="10"/>
      <c r="F11" s="11"/>
      <c r="G11" s="10"/>
      <c r="H11" s="10"/>
      <c r="I11" s="11"/>
      <c r="J11" s="10"/>
      <c r="K11" s="10"/>
      <c r="L11" s="14">
        <f t="shared" si="1"/>
        <v>37.25</v>
      </c>
      <c r="M11" s="10"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VLOOKUP($B12,'2006'!$B12:$N31,12,0)</f>
        <v>11.4</v>
      </c>
      <c r="E12" s="10"/>
      <c r="F12" s="11"/>
      <c r="G12" s="10"/>
      <c r="H12" s="10"/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VLOOKUP($B16,'2006'!$B16:$N35,12,0)</f>
        <v>20.25</v>
      </c>
      <c r="E16" s="10"/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3</v>
      </c>
      <c r="G27" s="13">
        <f t="shared" si="2"/>
        <v>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196.84</v>
      </c>
      <c r="M27" s="13">
        <f t="shared" si="2"/>
        <v>196.84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2" priority="1" stopIfTrue="1" operator="lessThan">
      <formula>0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9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DATE(2015,6,21)</f>
        <v>42176</v>
      </c>
      <c r="E4" s="36">
        <f>D4+1</f>
        <v>42177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VLOOKUP($B7,'2106'!$B7:$N26,12,0)</f>
        <v>64</v>
      </c>
      <c r="E7" s="10">
        <v>20</v>
      </c>
      <c r="F7" s="10"/>
      <c r="G7" s="10">
        <v>2</v>
      </c>
      <c r="H7" s="11">
        <v>16</v>
      </c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VLOOKUP($B8,'2106'!$B8:$N27,12,0)</f>
        <v>2.9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1.7</v>
      </c>
      <c r="M8" s="10">
        <v>1.7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VLOOKUP($B9,'2106'!$B9:$N28,12,0)</f>
        <v>0</v>
      </c>
      <c r="E9" s="10">
        <v>17.5</v>
      </c>
      <c r="F9" s="11"/>
      <c r="G9" s="10">
        <v>1</v>
      </c>
      <c r="H9" s="10">
        <v>1.5</v>
      </c>
      <c r="I9" s="10"/>
      <c r="J9" s="10"/>
      <c r="K9" s="10"/>
      <c r="L9" s="14">
        <f t="shared" si="1"/>
        <v>15</v>
      </c>
      <c r="M9" s="10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VLOOKUP($B10,'2106'!$B10:$N29,12,0)</f>
        <v>5.0999999999999996</v>
      </c>
      <c r="E10">
        <f>10.8</f>
        <v>10.8</v>
      </c>
      <c r="F10" s="11"/>
      <c r="G10" s="10">
        <v>0.9</v>
      </c>
      <c r="H10" s="10">
        <v>1.2</v>
      </c>
      <c r="I10" s="11"/>
      <c r="J10" s="10"/>
      <c r="K10" s="10"/>
      <c r="L10" s="14">
        <f t="shared" si="1"/>
        <v>13.8</v>
      </c>
      <c r="M10" s="10">
        <v>13.8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VLOOKUP($B11,'2106'!$B11:$N30,12,0)</f>
        <v>37.25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31.25</v>
      </c>
      <c r="M11" s="10">
        <v>31.25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VLOOKUP($B12,'2106'!$B12:$N31,12,0)</f>
        <v>11.4</v>
      </c>
      <c r="E12" s="10">
        <f>6+6.2</f>
        <v>12.2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VLOOKUP($B16,'2106'!$B16:$N35,12,0)</f>
        <v>20.25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19.25</v>
      </c>
      <c r="M16" s="10">
        <v>19.25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VLOOKUP($B20,'2106'!$B20:$N39,12,0)</f>
        <v>16.5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VLOOKUP($B21,'2106'!$B21:$N40,12,0)</f>
        <v>5.45</v>
      </c>
      <c r="E21" s="12"/>
      <c r="F21" s="12"/>
      <c r="G21" s="12">
        <v>0.6</v>
      </c>
      <c r="H21" s="11">
        <v>1.2</v>
      </c>
      <c r="I21" s="12"/>
      <c r="J21" s="12"/>
      <c r="K21" s="12"/>
      <c r="L21" s="14">
        <f t="shared" si="1"/>
        <v>3.6500000000000004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0</v>
      </c>
      <c r="G27" s="13">
        <f t="shared" si="2"/>
        <v>6.5</v>
      </c>
      <c r="H27" s="13">
        <f t="shared" si="2"/>
        <v>27.599999999999998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223.24</v>
      </c>
      <c r="M27" s="13">
        <f t="shared" si="2"/>
        <v>223.24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1" priority="1" stopIfTrue="1" operator="lessThan">
      <formula>0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DATE(2015,6,22)</f>
        <v>42177</v>
      </c>
      <c r="E4" s="36">
        <f>D4+1</f>
        <v>42178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VLOOKUP($B7,'2206'!$B7:$N26,12,0)</f>
        <v>66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VLOOKUP($B8,'2206'!$B8:$N27,12,0)</f>
        <v>1.7</v>
      </c>
      <c r="E8" s="10">
        <v>7.5</v>
      </c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VLOOKUP($B9,'2206'!$B9:$N28,12,0)</f>
        <v>15</v>
      </c>
      <c r="E9" s="10">
        <v>18.350000000000001</v>
      </c>
      <c r="F9" s="11">
        <v>10</v>
      </c>
      <c r="G9" s="10">
        <v>3</v>
      </c>
      <c r="H9" s="10">
        <v>8.25</v>
      </c>
      <c r="I9" s="10"/>
      <c r="J9" s="10"/>
      <c r="K9" s="10"/>
      <c r="L9" s="14">
        <f t="shared" si="1"/>
        <v>12.100000000000001</v>
      </c>
      <c r="M9" s="10">
        <v>12.1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VLOOKUP($B10,'2206'!$B10:$N29,12,0)</f>
        <v>13.8</v>
      </c>
      <c r="F10" s="11"/>
      <c r="G10" s="10">
        <v>0.6</v>
      </c>
      <c r="H10" s="10">
        <v>3</v>
      </c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VLOOKUP($B11,'2206'!$B11:$N30,12,0)</f>
        <v>31.25</v>
      </c>
      <c r="E11" s="10">
        <v>22.5</v>
      </c>
      <c r="F11" s="11">
        <v>6</v>
      </c>
      <c r="G11" s="10">
        <v>1</v>
      </c>
      <c r="H11" s="10">
        <v>7</v>
      </c>
      <c r="I11" s="11"/>
      <c r="J11" s="10"/>
      <c r="K11" s="10"/>
      <c r="L11" s="14">
        <f t="shared" si="1"/>
        <v>39.75</v>
      </c>
      <c r="M11" s="10">
        <v>39.75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VLOOKUP($B12,'2206'!$B12:$N31,12,0)</f>
        <v>23.6</v>
      </c>
      <c r="E12" s="10"/>
      <c r="F12" s="11">
        <v>3</v>
      </c>
      <c r="G12" s="10">
        <v>0.9</v>
      </c>
      <c r="H12" s="10"/>
      <c r="I12" s="11"/>
      <c r="J12" s="10"/>
      <c r="K12" s="10"/>
      <c r="L12" s="14">
        <f t="shared" si="1"/>
        <v>19.700000000000003</v>
      </c>
      <c r="M12" s="10">
        <v>19.7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VLOOKUP($B14,'2206'!$B14:$N33,12,0)</f>
        <v>8.4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7.4</v>
      </c>
      <c r="M14" s="10">
        <v>7.4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VLOOKUP($B15,'2206'!$B15:$N34,12,0)</f>
        <v>10</v>
      </c>
      <c r="E15" s="10"/>
      <c r="F15" s="11"/>
      <c r="G15" s="10">
        <v>1.9</v>
      </c>
      <c r="H15" s="10"/>
      <c r="I15" s="10"/>
      <c r="J15" s="10"/>
      <c r="K15" s="10"/>
      <c r="L15" s="14">
        <f t="shared" si="1"/>
        <v>8.1</v>
      </c>
      <c r="M15" s="10">
        <v>8.1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VLOOKUP($B16,'2206'!$B16:$N35,12,0)</f>
        <v>19.25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15.25</v>
      </c>
      <c r="M16" s="10">
        <v>15.25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VLOOKUP($B18,'2206'!$B18:$N37,12,0)</f>
        <v>5.4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VLOOKUP($B20,'2206'!$B20:$N39,12,0)</f>
        <v>15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VLOOKUP($B21,'2206'!$B21:$N40,12,0)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VLOOKUP($B22,'2206'!$B22:$N41,12,0)</f>
        <v>7.8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7.2</v>
      </c>
      <c r="M22" s="12"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78.349999999999994</v>
      </c>
      <c r="F27" s="13">
        <f t="shared" si="2"/>
        <v>26</v>
      </c>
      <c r="G27" s="13">
        <f t="shared" si="2"/>
        <v>27.9</v>
      </c>
      <c r="H27" s="13">
        <f t="shared" si="2"/>
        <v>20.25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227.43999999999997</v>
      </c>
      <c r="M27" s="13">
        <f t="shared" si="2"/>
        <v>227.43999999999997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0" priority="1" stopIfTrue="1" operator="lessThan">
      <formula>0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DATE(2015,6,23)</f>
        <v>42178</v>
      </c>
      <c r="E4" s="36">
        <f>D4+1</f>
        <v>42179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VLOOKUP($B7,'2306'!$B7:$N26,12,0)</f>
        <v>78</v>
      </c>
      <c r="E7" s="10">
        <v>30</v>
      </c>
      <c r="F7" s="10">
        <v>10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VLOOKUP($B8,'2306'!$B8:$N27,12,0)</f>
        <v>9.1999999999999993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VLOOKUP($B9,'2306'!$B9:$N28,12,0)</f>
        <v>12.1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7.6</v>
      </c>
      <c r="M9" s="10">
        <v>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VLOOKUP($B10,'2306'!$B10:$N29,12,0)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VLOOKUP($B11,'2306'!$B11:$N30,12,0)</f>
        <v>39.75</v>
      </c>
      <c r="E11" s="10"/>
      <c r="F11" s="11"/>
      <c r="G11" s="10">
        <v>3</v>
      </c>
      <c r="H11" s="10">
        <v>2</v>
      </c>
      <c r="I11" s="11">
        <v>6</v>
      </c>
      <c r="J11" s="10"/>
      <c r="K11" s="10"/>
      <c r="L11" s="14">
        <f t="shared" si="1"/>
        <v>28.75</v>
      </c>
      <c r="M11" s="10">
        <v>28.75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VLOOKUP($B12,'2306'!$B12:$N31,12,0)</f>
        <v>19.7</v>
      </c>
      <c r="E12" s="10"/>
      <c r="F12" s="11"/>
      <c r="G12" s="10">
        <v>1</v>
      </c>
      <c r="H12" s="10">
        <v>2.5</v>
      </c>
      <c r="I12" s="11">
        <v>1</v>
      </c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VLOOKUP($B14,'2306'!$B14:$N33,12,0)</f>
        <v>7.4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6.4</v>
      </c>
      <c r="M14" s="10">
        <v>6.4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VLOOKUP($B15,'2306'!$B15:$N34,12,0)</f>
        <v>8.1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7.6</v>
      </c>
      <c r="M15" s="10">
        <v>7.6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VLOOKUP($B16,'2306'!$B16:$N35,12,0)</f>
        <v>15.25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14.25</v>
      </c>
      <c r="M16" s="10">
        <v>14.25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VLOOKUP($B18,'2306'!$B18:$N37,12,0)</f>
        <v>4.5</v>
      </c>
      <c r="E18" s="10">
        <v>9.9</v>
      </c>
      <c r="F18" s="11"/>
      <c r="G18" s="10">
        <v>0.9</v>
      </c>
      <c r="H18" s="10"/>
      <c r="I18" s="10">
        <v>2.1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VLOOKUP($B20,'2306'!$B20:$N39,12,0)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VLOOKUP($B21,'2306'!$B21:$N40,12,0)</f>
        <v>3.65</v>
      </c>
      <c r="E21" s="12">
        <v>10.5</v>
      </c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VLOOKUP($B22,'2306'!$B22:$N41,12,0)</f>
        <v>7.2</v>
      </c>
      <c r="E22" s="10"/>
      <c r="F22" s="10"/>
      <c r="G22" s="12"/>
      <c r="H22" s="11"/>
      <c r="I22" s="12">
        <v>2.1</v>
      </c>
      <c r="J22" s="12"/>
      <c r="K22" s="12"/>
      <c r="L22" s="14">
        <f t="shared" si="1"/>
        <v>5.0999999999999996</v>
      </c>
      <c r="M22" s="12">
        <v>5.0999999999999996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50.4</v>
      </c>
      <c r="F27" s="13">
        <f t="shared" si="2"/>
        <v>10</v>
      </c>
      <c r="G27" s="13">
        <f t="shared" si="2"/>
        <v>19.099999999999998</v>
      </c>
      <c r="H27" s="13">
        <f t="shared" si="2"/>
        <v>15.7</v>
      </c>
      <c r="I27" s="13">
        <f t="shared" si="2"/>
        <v>21.400000000000002</v>
      </c>
      <c r="J27" s="13">
        <f t="shared" si="2"/>
        <v>0</v>
      </c>
      <c r="K27" s="13">
        <f t="shared" si="2"/>
        <v>0</v>
      </c>
      <c r="L27" s="13">
        <f t="shared" si="2"/>
        <v>211.64</v>
      </c>
      <c r="M27" s="13">
        <f t="shared" si="2"/>
        <v>211.64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9" priority="1" stopIfTrue="1" operator="lessThan">
      <formula>0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DATE(2015,6,24)</f>
        <v>42179</v>
      </c>
      <c r="E4" s="36">
        <f>D4+1</f>
        <v>42180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VLOOKUP($B7,'2406'!$B7:$N26,12,0)</f>
        <v>74</v>
      </c>
      <c r="E7" s="10">
        <v>20</v>
      </c>
      <c r="F7" s="10">
        <v>4</v>
      </c>
      <c r="G7" s="10">
        <v>30</v>
      </c>
      <c r="H7" s="11">
        <v>16</v>
      </c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VLOOKUP($B8,'2406'!$B8:$N27,12,0)</f>
        <v>9.1999999999999993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7.9999999999999991</v>
      </c>
      <c r="M8" s="10">
        <v>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VLOOKUP($B9,'2406'!$B9:$N28,12,0)</f>
        <v>7.6</v>
      </c>
      <c r="E9" s="10">
        <f>18.2+6.25</f>
        <v>24.45</v>
      </c>
      <c r="F9" s="11"/>
      <c r="G9" s="10">
        <v>7.85</v>
      </c>
      <c r="H9" s="10">
        <v>6</v>
      </c>
      <c r="I9" s="10"/>
      <c r="J9" s="10"/>
      <c r="K9" s="10"/>
      <c r="L9" s="14">
        <f t="shared" si="1"/>
        <v>18.199999999999996</v>
      </c>
      <c r="M9" s="10">
        <v>18.2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VLOOKUP($B10,'2406'!$B10:$N29,12,0)</f>
        <v>10.199999999999999</v>
      </c>
      <c r="F10" s="11"/>
      <c r="G10" s="10"/>
      <c r="H10" s="10">
        <v>2.1</v>
      </c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VLOOKUP($B11,'2406'!$B11:$N30,12,0)</f>
        <v>28.75</v>
      </c>
      <c r="E11" s="10">
        <v>23</v>
      </c>
      <c r="F11" s="11"/>
      <c r="G11" s="10">
        <v>14</v>
      </c>
      <c r="H11" s="10">
        <v>4</v>
      </c>
      <c r="I11" s="11"/>
      <c r="J11" s="10"/>
      <c r="K11" s="10"/>
      <c r="L11" s="14">
        <f t="shared" si="1"/>
        <v>33.75</v>
      </c>
      <c r="M11" s="10">
        <v>33.75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VLOOKUP($B12,'2406'!$B12:$N31,12,0)</f>
        <v>15.2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11.2</v>
      </c>
      <c r="M12" s="10">
        <v>11.2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VLOOKUP($B14,'2406'!$B14:$N33,12,0)</f>
        <v>6.4</v>
      </c>
      <c r="E14" s="10"/>
      <c r="F14" s="11"/>
      <c r="G14" s="10"/>
      <c r="H14" s="10">
        <v>3</v>
      </c>
      <c r="I14" s="11"/>
      <c r="J14" s="10"/>
      <c r="K14" s="10"/>
      <c r="L14" s="14">
        <f t="shared" si="1"/>
        <v>3.4000000000000004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VLOOKUP($B15,'2406'!$B15:$N34,12,0)</f>
        <v>7.6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5.6</v>
      </c>
      <c r="M15" s="10">
        <v>5.6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VLOOKUP($B16,'2406'!$B16:$N35,12,0)</f>
        <v>14.25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VLOOKUP($B18,'2406'!$B18:$N37,12,0)</f>
        <v>11.4</v>
      </c>
      <c r="E18" s="10"/>
      <c r="F18" s="11"/>
      <c r="G18" s="10"/>
      <c r="H18" s="10"/>
      <c r="I18" s="10"/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VLOOKUP($B20,'2406'!$B20:$N39,12,0)</f>
        <v>9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VLOOKUP($B21,'2406'!$B21:$N40,12,0)</f>
        <v>10.55</v>
      </c>
      <c r="E21" s="12"/>
      <c r="F21" s="12"/>
      <c r="G21" s="12">
        <v>6</v>
      </c>
      <c r="H21" s="11">
        <v>2.4</v>
      </c>
      <c r="I21" s="12"/>
      <c r="J21" s="12"/>
      <c r="K21" s="12"/>
      <c r="L21" s="14">
        <f t="shared" si="1"/>
        <v>2.1500000000000004</v>
      </c>
      <c r="M21" s="12">
        <v>2.15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VLOOKUP($B22,'2406'!$B22:$N41,12,0)</f>
        <v>5.0999999999999996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2.9999999999999996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67.45</v>
      </c>
      <c r="F27" s="13">
        <f t="shared" si="2"/>
        <v>4</v>
      </c>
      <c r="G27" s="13">
        <f t="shared" si="2"/>
        <v>63.85</v>
      </c>
      <c r="H27" s="13">
        <f t="shared" si="2"/>
        <v>45.8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165.44</v>
      </c>
      <c r="M27" s="13">
        <f t="shared" si="2"/>
        <v>165.44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8" priority="1" stopIfTrue="1" operator="lessThan">
      <formula>0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VLOOKUP($B7,'2506'!$B7:$N26,12,0)</f>
        <v>44</v>
      </c>
      <c r="E7" s="10">
        <v>30</v>
      </c>
      <c r="F7" s="10">
        <v>6</v>
      </c>
      <c r="G7" s="10">
        <v>20</v>
      </c>
      <c r="H7" s="11">
        <v>2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VLOOKUP($B8,'2506'!$B8:$N27,12,0)</f>
        <v>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VLOOKUP($B9,'2506'!$B9:$N28,12,0)</f>
        <v>18.2</v>
      </c>
      <c r="E9" s="10"/>
      <c r="F9" s="11"/>
      <c r="G9" s="10">
        <v>12.2</v>
      </c>
      <c r="H9" s="10"/>
      <c r="I9" s="10"/>
      <c r="J9" s="10"/>
      <c r="K9" s="10"/>
      <c r="L9" s="14">
        <f t="shared" si="1"/>
        <v>6</v>
      </c>
      <c r="M9" s="10">
        <v>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VLOOKUP($B10,'2506'!$B10:$N29,12,0)</f>
        <v>8.1</v>
      </c>
      <c r="F10" s="11"/>
      <c r="G10" s="10">
        <v>4.2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VLOOKUP($B11,'2506'!$B11:$N30,12,0)</f>
        <v>33.75</v>
      </c>
      <c r="E11" s="10">
        <v>23.7</v>
      </c>
      <c r="F11" s="11">
        <v>15</v>
      </c>
      <c r="G11" s="10">
        <v>7</v>
      </c>
      <c r="H11" s="10"/>
      <c r="I11" s="11"/>
      <c r="J11" s="10"/>
      <c r="K11" s="10"/>
      <c r="L11" s="14">
        <f t="shared" si="1"/>
        <v>35.450000000000003</v>
      </c>
      <c r="M11" s="10">
        <v>35.450000000000003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VLOOKUP($B12,'2506'!$B12:$N31,12,0)</f>
        <v>11.2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9</v>
      </c>
      <c r="M12" s="10">
        <v>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VLOOKUP($B14,'2506'!$B14:$N33,12,0)</f>
        <v>3.4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0.39999999999999991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VLOOKUP($B15,'2506'!$B15:$N34,12,0)</f>
        <v>5.6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2.5999999999999996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VLOOKUP($B16,'2506'!$B16:$N35,12,0)</f>
        <v>11.25</v>
      </c>
      <c r="E16" s="10"/>
      <c r="F16" s="11"/>
      <c r="G16" s="10">
        <v>2.85</v>
      </c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VLOOKUP($B18,'2506'!$B18:$N37,12,0)</f>
        <v>11.4</v>
      </c>
      <c r="E18" s="10">
        <v>21.8</v>
      </c>
      <c r="F18" s="11">
        <v>20.3</v>
      </c>
      <c r="G18" s="10">
        <v>2.1</v>
      </c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VLOOKUP($B20,'2506'!$B20:$N39,12,0)</f>
        <v>3</v>
      </c>
      <c r="E20" s="12">
        <v>12.5</v>
      </c>
      <c r="F20" s="12"/>
      <c r="G20" s="12">
        <v>3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VLOOKUP($B21,'2506'!$B21:$N40,12,0)</f>
        <v>2.15</v>
      </c>
      <c r="E21" s="12"/>
      <c r="F21" s="12"/>
      <c r="G21" s="12">
        <v>2.15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</v>
      </c>
      <c r="F27" s="13">
        <f t="shared" si="2"/>
        <v>41.3</v>
      </c>
      <c r="G27" s="13">
        <f t="shared" si="2"/>
        <v>64.700000000000017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145.44</v>
      </c>
      <c r="M27" s="13">
        <f t="shared" si="2"/>
        <v>145.44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7" priority="1" stopIfTrue="1" operator="lessThan">
      <formula>0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VLOOKUP($B7,'2606'!$B7:$N26,12,0)</f>
        <v>46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VLOOKUP($B8,'2606'!$B8:$N27,12,0)</f>
        <v>5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VLOOKUP($B9,'2606'!$B9:$N28,12,0)</f>
        <v>6</v>
      </c>
      <c r="E9" s="10">
        <v>17</v>
      </c>
      <c r="F9" s="11"/>
      <c r="G9" s="10">
        <v>2</v>
      </c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VLOOKUP($B10,'2606'!$B10:$N29,12,0)</f>
        <v>3.9</v>
      </c>
      <c r="F10" s="11"/>
      <c r="G10" s="10">
        <v>1.2</v>
      </c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VLOOKUP($B11,'2606'!$B11:$N30,12,0)</f>
        <v>35.450000000000003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34.450000000000003</v>
      </c>
      <c r="M11" s="10">
        <v>34.450000000000003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VLOOKUP($B12,'2606'!$B12:$N31,12,0)</f>
        <v>9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VLOOKUP($B14,'2606'!$B14:$N33,12,0)</f>
        <v>0.4</v>
      </c>
      <c r="E14" s="10"/>
      <c r="F14" s="11"/>
      <c r="G14" s="10"/>
      <c r="H14" s="10"/>
      <c r="I14" s="11"/>
      <c r="J14" s="10"/>
      <c r="K14" s="10"/>
      <c r="L14" s="14">
        <f t="shared" si="1"/>
        <v>0.4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VLOOKUP($B15,'2606'!$B15:$N34,12,0)</f>
        <v>2.6</v>
      </c>
      <c r="E15" s="10"/>
      <c r="F15" s="11"/>
      <c r="G15" s="10"/>
      <c r="H15" s="10"/>
      <c r="I15" s="10"/>
      <c r="J15" s="10"/>
      <c r="K15" s="10"/>
      <c r="L15" s="14">
        <f t="shared" si="1"/>
        <v>2.6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VLOOKUP($B16,'2606'!$B16:$N35,12,0)</f>
        <v>8.4</v>
      </c>
      <c r="E16" s="10"/>
      <c r="F16" s="11"/>
      <c r="G16" s="10"/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VLOOKUP($B20,'2606'!$B20:$N39,12,0)</f>
        <v>12.5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VLOOKUP($B21,'2606'!$B21:$N40,12,0)</f>
        <v>0</v>
      </c>
      <c r="E21" s="12">
        <f>10.6+0.45</f>
        <v>11.049999999999999</v>
      </c>
      <c r="F21" s="12"/>
      <c r="G21" s="12"/>
      <c r="H21" s="11"/>
      <c r="I21" s="12"/>
      <c r="J21" s="12"/>
      <c r="K21" s="12"/>
      <c r="L21" s="14">
        <f t="shared" si="1"/>
        <v>11.049999999999999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28.049999999999997</v>
      </c>
      <c r="F27" s="13">
        <f t="shared" si="2"/>
        <v>4</v>
      </c>
      <c r="G27" s="13">
        <f t="shared" si="2"/>
        <v>7.4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162.09000000000003</v>
      </c>
      <c r="M27" s="13">
        <f t="shared" si="2"/>
        <v>162.09000000000003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6" priority="1" stopIfTrue="1" operator="lessThan">
      <formula>0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DATE(2015,6,27)</f>
        <v>42182</v>
      </c>
      <c r="E4" s="36">
        <f>D4+1</f>
        <v>42183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VLOOKUP($B7,'2706'!$B7:$N26,12,0)</f>
        <v>42</v>
      </c>
      <c r="E7" s="10">
        <v>10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VLOOKUP($B8,'2706'!$B8:$N27,12,0)</f>
        <v>3.8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VLOOKUP($B9,'2706'!$B9:$N28,12,0)</f>
        <v>21</v>
      </c>
      <c r="E9" s="10"/>
      <c r="F9" s="11"/>
      <c r="G9" s="10"/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VLOOKUP($B10,'2706'!$B10:$N29,12,0)</f>
        <v>2.7</v>
      </c>
      <c r="F10" s="11"/>
      <c r="G10" s="10"/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VLOOKUP($B11,'2706'!$B11:$N30,12,0)</f>
        <v>34.450000000000003</v>
      </c>
      <c r="E11" s="10"/>
      <c r="F11" s="11">
        <v>4.75</v>
      </c>
      <c r="G11" s="10"/>
      <c r="H11" s="10"/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VLOOKUP($B12,'2706'!$B12:$N31,12,0)</f>
        <v>8</v>
      </c>
      <c r="E12" s="10"/>
      <c r="F12" s="11"/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VLOOKUP($B14,'2706'!$B14:$N33,12,0)</f>
        <v>0.4</v>
      </c>
      <c r="E14" s="10">
        <v>7.92</v>
      </c>
      <c r="F14" s="11"/>
      <c r="G14" s="10"/>
      <c r="H14" s="10"/>
      <c r="I14" s="11"/>
      <c r="J14" s="10"/>
      <c r="K14" s="10"/>
      <c r="L14" s="14">
        <f t="shared" si="1"/>
        <v>8.32</v>
      </c>
      <c r="M14" s="10">
        <v>8.32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VLOOKUP($B15,'2706'!$B15:$N34,12,0)</f>
        <v>2.6</v>
      </c>
      <c r="E15" s="10">
        <v>5.67</v>
      </c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VLOOKUP($B16,'2706'!$B16:$N35,12,0)</f>
        <v>8.4</v>
      </c>
      <c r="E16" s="10">
        <v>7.6</v>
      </c>
      <c r="F16" s="11"/>
      <c r="G16" s="10"/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VLOOKUP($B20,'2706'!$B20:$N39,12,0)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VLOOKUP($B21,'2706'!$B21:$N40,12,0)</f>
        <v>11.05</v>
      </c>
      <c r="E21" s="12"/>
      <c r="F21" s="12"/>
      <c r="G21" s="12"/>
      <c r="H21" s="11"/>
      <c r="I21" s="12"/>
      <c r="J21" s="12"/>
      <c r="K21" s="12"/>
      <c r="L21" s="14">
        <f t="shared" si="1"/>
        <v>11.05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31.190000000000005</v>
      </c>
      <c r="F27" s="13">
        <f t="shared" si="2"/>
        <v>8.75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184.53000000000003</v>
      </c>
      <c r="M27" s="13">
        <f t="shared" si="2"/>
        <v>184.53000000000003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5" priority="1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DATE(2015,4,8)</f>
        <v>42102</v>
      </c>
      <c r="E4" s="36">
        <f>D4+1</f>
        <v>42103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VLOOKUP($B7,'0804'!$B7:$N26,12,0)</f>
        <v>30</v>
      </c>
      <c r="E7" s="10">
        <v>40</v>
      </c>
      <c r="F7" s="10">
        <v>10</v>
      </c>
      <c r="G7" s="10">
        <v>22</v>
      </c>
      <c r="H7" s="11"/>
      <c r="I7" s="10"/>
      <c r="J7" s="10"/>
      <c r="K7" s="10"/>
      <c r="L7" s="14">
        <f>D7+E7-SUM(F7:K7)</f>
        <v>38</v>
      </c>
      <c r="M7" s="10">
        <f>19*2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VLOOKUP($B8,'0804'!$B8:$N27,12,0)</f>
        <v>6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4.5</v>
      </c>
      <c r="M8" s="10">
        <f>15*0.3</f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VLOOKUP($B9,'0804'!$B9:$N28,12,0)</f>
        <v>22.7</v>
      </c>
      <c r="E9" s="10"/>
      <c r="F9" s="11">
        <v>3</v>
      </c>
      <c r="G9" s="10">
        <v>6</v>
      </c>
      <c r="H9" s="10"/>
      <c r="I9" s="10"/>
      <c r="J9" s="10"/>
      <c r="K9" s="10"/>
      <c r="L9" s="14">
        <f t="shared" si="1"/>
        <v>13.7</v>
      </c>
      <c r="M9" s="10">
        <f>27*0.5+0.2</f>
        <v>13.7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VLOOKUP($B10,'0804'!$B10:$N29,12,0)</f>
        <v>10.199999999999999</v>
      </c>
      <c r="F10" s="11">
        <v>0.3</v>
      </c>
      <c r="G10" s="10">
        <v>3</v>
      </c>
      <c r="H10" s="10"/>
      <c r="I10" s="11"/>
      <c r="J10" s="10"/>
      <c r="K10" s="10"/>
      <c r="L10" s="14">
        <f t="shared" si="1"/>
        <v>6.8999999999999995</v>
      </c>
      <c r="M10" s="10">
        <f>23*0.3</f>
        <v>6.8999999999999995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VLOOKUP($B11,'0804'!$B11:$N30,12,0)</f>
        <v>25.05</v>
      </c>
      <c r="E11" s="10"/>
      <c r="F11" s="11">
        <v>2</v>
      </c>
      <c r="G11" s="10">
        <v>3</v>
      </c>
      <c r="H11" s="10"/>
      <c r="I11" s="11"/>
      <c r="J11" s="10"/>
      <c r="K11" s="10"/>
      <c r="L11" s="14">
        <f t="shared" si="1"/>
        <v>20.05</v>
      </c>
      <c r="M11" s="10">
        <v>20.05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VLOOKUP($B12,'0804'!$B12:$N31,12,0)</f>
        <v>14</v>
      </c>
      <c r="E12" s="10"/>
      <c r="F12" s="11">
        <v>1.5</v>
      </c>
      <c r="G12" s="10">
        <v>3</v>
      </c>
      <c r="H12" s="10">
        <v>3</v>
      </c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VLOOKUP($B14,'0804'!$B14:$N33,12,0)</f>
        <v>11.1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9.1</v>
      </c>
      <c r="M14" s="10">
        <v>9.1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VLOOKUP($B15,'0804'!$B15:$N34,12,0)</f>
        <v>8.4</v>
      </c>
      <c r="E15" s="10">
        <v>9.6999999999999993</v>
      </c>
      <c r="F15" s="11"/>
      <c r="G15" s="10">
        <v>1.9</v>
      </c>
      <c r="H15" s="10"/>
      <c r="I15" s="10"/>
      <c r="J15" s="10"/>
      <c r="K15" s="10"/>
      <c r="L15" s="14">
        <f t="shared" si="1"/>
        <v>16.200000000000003</v>
      </c>
      <c r="M15" s="10">
        <f>6.5+9.7</f>
        <v>16.2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VLOOKUP($B16,'0804'!$B16:$N35,12,0)</f>
        <v>17.8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13.8</v>
      </c>
      <c r="M16" s="10">
        <f>9.3+4.5</f>
        <v>13.8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VLOOKUP($B18,'0804'!$B18:$N37,12,0)</f>
        <v>4.5</v>
      </c>
      <c r="E18" s="10">
        <v>11.4</v>
      </c>
      <c r="F18" s="11"/>
      <c r="G18" s="10"/>
      <c r="H18" s="10"/>
      <c r="I18" s="10"/>
      <c r="J18" s="10"/>
      <c r="K18" s="10"/>
      <c r="L18" s="14">
        <f t="shared" si="1"/>
        <v>15.9</v>
      </c>
      <c r="M18" s="10">
        <v>15.9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VLOOKUP($B20,'0804'!$B20:$N39,12,0)</f>
        <v>5</v>
      </c>
      <c r="E20" s="12"/>
      <c r="F20" s="12"/>
      <c r="G20" s="12"/>
      <c r="H20" s="11"/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VLOOKUP($B21,'0804'!$B21:$N40,12,0)</f>
        <v>9.3000000000000007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6.3000000000000007</v>
      </c>
      <c r="M21" s="12">
        <f>21*0.3</f>
        <v>6.3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VLOOKUP($B22,'0804'!$B22:$N41,12,0)</f>
        <v>1.8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170.35000000000002</v>
      </c>
      <c r="E27" s="13">
        <f t="shared" si="2"/>
        <v>61.1</v>
      </c>
      <c r="F27" s="13">
        <f t="shared" si="2"/>
        <v>16.8</v>
      </c>
      <c r="G27" s="13">
        <f t="shared" si="2"/>
        <v>51.199999999999996</v>
      </c>
      <c r="H27" s="13">
        <f t="shared" si="2"/>
        <v>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160.45000000000002</v>
      </c>
      <c r="M27" s="13">
        <f t="shared" si="2"/>
        <v>160.45000000000002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5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DATE(2015,6,28)</f>
        <v>42183</v>
      </c>
      <c r="E4" s="36">
        <f>D4+1</f>
        <v>42184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54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VLOOKUP($B7,'2806'!$B7:$N26,12,0)</f>
        <v>48</v>
      </c>
      <c r="E7" s="10"/>
      <c r="F7" s="10">
        <v>4</v>
      </c>
      <c r="G7" s="10"/>
      <c r="H7" s="11">
        <v>14</v>
      </c>
      <c r="I7" s="10">
        <v>6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VLOOKUP($B8,'2806'!$B8:$N27,12,0)</f>
        <v>3.8</v>
      </c>
      <c r="E8" s="10">
        <f>7.5+0.17</f>
        <v>7.67</v>
      </c>
      <c r="F8" s="11"/>
      <c r="G8" s="10"/>
      <c r="H8" s="10">
        <v>2.4</v>
      </c>
      <c r="I8" s="10"/>
      <c r="J8" s="10"/>
      <c r="K8" s="10"/>
      <c r="L8" s="14">
        <f t="shared" ref="L8:L22" si="1">D8+E8-SUM(F8:K8)</f>
        <v>9.0699999999999985</v>
      </c>
      <c r="M8" s="10">
        <v>9.17</v>
      </c>
      <c r="N8" s="15">
        <f t="shared" si="0"/>
        <v>0.10000000000000142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VLOOKUP($B9,'2806'!$B9:$N28,12,0)</f>
        <v>21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VLOOKUP($B10,'2806'!$B10:$N29,12,0)</f>
        <v>2.7</v>
      </c>
      <c r="F10" s="11"/>
      <c r="G10" s="10"/>
      <c r="H10" s="10">
        <v>1.2</v>
      </c>
      <c r="I10" s="11">
        <v>0.9</v>
      </c>
      <c r="J10" s="10"/>
      <c r="K10" s="10"/>
      <c r="L10" s="14">
        <f t="shared" si="1"/>
        <v>0.60000000000000009</v>
      </c>
      <c r="M10" s="10">
        <v>0.6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VLOOKUP($B11,'2806'!$B11:$N30,12,0)</f>
        <v>29.7</v>
      </c>
      <c r="E11" s="10"/>
      <c r="F11" s="11"/>
      <c r="G11" s="10"/>
      <c r="H11" s="10">
        <v>4</v>
      </c>
      <c r="I11" s="11">
        <v>2</v>
      </c>
      <c r="J11" s="10"/>
      <c r="K11" s="10"/>
      <c r="L11" s="14">
        <f t="shared" si="1"/>
        <v>23.7</v>
      </c>
      <c r="M11" s="10">
        <v>23.7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VLOOKUP($B12,'2806'!$B12:$N31,12,0)</f>
        <v>8</v>
      </c>
      <c r="E12" s="10">
        <v>14.4</v>
      </c>
      <c r="F12" s="11"/>
      <c r="G12" s="10">
        <v>3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VLOOKUP($B14,'2806'!$B14:$N33,12,0)</f>
        <v>8.32</v>
      </c>
      <c r="E14" s="10"/>
      <c r="F14" s="11"/>
      <c r="G14" s="10"/>
      <c r="H14" s="10"/>
      <c r="I14" s="11">
        <v>1</v>
      </c>
      <c r="J14" s="10"/>
      <c r="K14" s="10"/>
      <c r="L14" s="14">
        <f t="shared" si="1"/>
        <v>7.32</v>
      </c>
      <c r="M14" s="10">
        <v>7.42</v>
      </c>
      <c r="N14" s="15">
        <f t="shared" si="0"/>
        <v>9.9999999999999645E-2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VLOOKUP($B15,'2806'!$B15:$N34,12,0)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f>7.5+0.67</f>
        <v>8.17</v>
      </c>
      <c r="N15" s="15">
        <f t="shared" si="0"/>
        <v>-9.9999999999999645E-2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VLOOKUP($B16,'2806'!$B16:$N35,12,0)</f>
        <v>16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VLOOKUP($B20,'2806'!$B20:$N39,12,0)</f>
        <v>11.5</v>
      </c>
      <c r="E20" s="12"/>
      <c r="F20" s="12"/>
      <c r="G20" s="12"/>
      <c r="H20" s="11">
        <v>2.5</v>
      </c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VLOOKUP($B21,'2806'!$B21:$N40,12,0)</f>
        <v>11.05</v>
      </c>
      <c r="E21" s="12"/>
      <c r="F21" s="12"/>
      <c r="G21" s="12">
        <v>1.1499999999999999</v>
      </c>
      <c r="H21" s="11">
        <v>1.2</v>
      </c>
      <c r="I21" s="12">
        <v>2.1</v>
      </c>
      <c r="J21" s="12"/>
      <c r="K21" s="12"/>
      <c r="L21" s="14">
        <f t="shared" si="1"/>
        <v>6.6000000000000014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22.07</v>
      </c>
      <c r="F27" s="13">
        <f t="shared" si="2"/>
        <v>4</v>
      </c>
      <c r="G27" s="13">
        <f t="shared" si="2"/>
        <v>9.15</v>
      </c>
      <c r="H27" s="13">
        <f t="shared" si="2"/>
        <v>27.299999999999997</v>
      </c>
      <c r="I27" s="13">
        <f t="shared" si="2"/>
        <v>12</v>
      </c>
      <c r="J27" s="13">
        <f t="shared" si="2"/>
        <v>0</v>
      </c>
      <c r="K27" s="13">
        <f t="shared" si="2"/>
        <v>0</v>
      </c>
      <c r="L27" s="13">
        <f t="shared" si="2"/>
        <v>154.15</v>
      </c>
      <c r="M27" s="13">
        <f t="shared" si="2"/>
        <v>154.25</v>
      </c>
      <c r="N27" s="13">
        <f t="shared" si="2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4" priority="1" stopIfTrue="1" operator="lessThan">
      <formula>0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DATE(2015,6,29)</f>
        <v>42184</v>
      </c>
      <c r="E4" s="36">
        <f>D4+1</f>
        <v>42185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VLOOKUP($B7,'2906'!$B7:$N26,12,0)</f>
        <v>24</v>
      </c>
      <c r="E7" s="10">
        <v>70</v>
      </c>
      <c r="F7" s="10">
        <v>14</v>
      </c>
      <c r="G7" s="10">
        <v>10</v>
      </c>
      <c r="H7" s="11"/>
      <c r="I7" s="10">
        <v>2</v>
      </c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VLOOKUP($B9,'2906'!$B9:$N28,12,0)</f>
        <v>16</v>
      </c>
      <c r="E9" s="10"/>
      <c r="F9" s="11">
        <v>1</v>
      </c>
      <c r="G9" s="10">
        <v>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VLOOKUP($B10,'2906'!$B10:$N29,12,0)</f>
        <v>0.6</v>
      </c>
      <c r="F10" s="11"/>
      <c r="G10" s="10">
        <v>0.6</v>
      </c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VLOOKUP($B11,'2906'!$B11:$N30,12,0)</f>
        <v>23.7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18.7</v>
      </c>
      <c r="M11" s="10">
        <v>18.7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VLOOKUP($B12,'2906'!$B12:$N31,12,0)</f>
        <v>19.399999999999999</v>
      </c>
      <c r="E12" s="10"/>
      <c r="F12" s="11">
        <v>1.5</v>
      </c>
      <c r="G12" s="10">
        <v>0.5</v>
      </c>
      <c r="H12" s="10"/>
      <c r="I12" s="11"/>
      <c r="J12" s="10"/>
      <c r="K12" s="10"/>
      <c r="L12" s="14">
        <f t="shared" si="1"/>
        <v>17.399999999999999</v>
      </c>
      <c r="M12" s="10">
        <v>17.399999999999999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VLOOKUP($B14,'2906'!$B14:$N33,12,0)</f>
        <v>7.42</v>
      </c>
      <c r="E14" s="10"/>
      <c r="F14" s="11"/>
      <c r="G14" s="10"/>
      <c r="H14" s="10"/>
      <c r="I14" s="11"/>
      <c r="J14" s="10"/>
      <c r="K14" s="10"/>
      <c r="L14" s="14">
        <f t="shared" si="1"/>
        <v>7.42</v>
      </c>
      <c r="M14" s="10">
        <v>7.42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VLOOKUP($B15,'2906'!$B15:$N34,12,0)</f>
        <v>8.17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VLOOKUP($B16,'2906'!$B16:$N35,12,0)</f>
        <v>14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VLOOKUP($B18,'2906'!$B18:$N37,12,0)</f>
        <v>10.8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10.200000000000001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VLOOKUP($B20,'2906'!$B20:$N39,12,0)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VLOOKUP($B21,'2906'!$B21:$N40,12,0)</f>
        <v>6.6</v>
      </c>
      <c r="E21" s="12"/>
      <c r="F21" s="12"/>
      <c r="G21" s="12"/>
      <c r="H21" s="11"/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VLOOKUP($B22,'2906'!$B22:$N41,12,0)</f>
        <v>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</v>
      </c>
      <c r="F27" s="13">
        <f t="shared" si="2"/>
        <v>16.5</v>
      </c>
      <c r="G27" s="13">
        <f t="shared" si="2"/>
        <v>26.6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179.14999999999998</v>
      </c>
      <c r="M27" s="13">
        <f t="shared" si="2"/>
        <v>179.14999999999998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3" priority="1" stopIfTrue="1" operator="lessThan">
      <formula>0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DATE(2015,6,30)</f>
        <v>42185</v>
      </c>
      <c r="E4" s="36">
        <f>D4+1</f>
        <v>42186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VLOOKUP($B7,'3006'!$B7:$N26,12,0)</f>
        <v>68</v>
      </c>
      <c r="E7" s="10">
        <v>60</v>
      </c>
      <c r="F7" s="10">
        <v>4</v>
      </c>
      <c r="G7" s="10">
        <v>8</v>
      </c>
      <c r="H7" s="11">
        <v>10</v>
      </c>
      <c r="I7" s="10">
        <v>14</v>
      </c>
      <c r="J7" s="10">
        <v>10</v>
      </c>
      <c r="K7" s="10"/>
      <c r="L7" s="14">
        <f>D7+E7-SUM(F7:K7)</f>
        <v>82</v>
      </c>
      <c r="M7" s="10"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f>9.17</f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VLOOKUP($B9,'3006'!$B9:$N28,12,0)</f>
        <v>10</v>
      </c>
      <c r="E9" s="10">
        <v>18.100000000000001</v>
      </c>
      <c r="F9" s="11">
        <v>2</v>
      </c>
      <c r="G9" s="10">
        <v>1.5</v>
      </c>
      <c r="H9" s="10">
        <v>1</v>
      </c>
      <c r="I9" s="10">
        <v>5</v>
      </c>
      <c r="J9" s="10"/>
      <c r="K9" s="10"/>
      <c r="L9" s="14">
        <f t="shared" si="1"/>
        <v>18.600000000000001</v>
      </c>
      <c r="M9" s="10">
        <v>18.600000000000001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VLOOKUP($B10,'3006'!$B10:$N29,12,0)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VLOOKUP($B11,'3006'!$B11:$N30,12,0)</f>
        <v>18.7</v>
      </c>
      <c r="E11" s="10">
        <v>24.5</v>
      </c>
      <c r="F11" s="11"/>
      <c r="G11" s="10">
        <v>2.5</v>
      </c>
      <c r="H11" s="10">
        <v>3</v>
      </c>
      <c r="I11" s="11">
        <v>6</v>
      </c>
      <c r="J11" s="10"/>
      <c r="K11" s="10"/>
      <c r="L11" s="14">
        <f t="shared" si="1"/>
        <v>31.700000000000003</v>
      </c>
      <c r="M11" s="10">
        <f>24.5+7.2</f>
        <v>31.7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VLOOKUP($B12,'3006'!$B12:$N31,12,0)</f>
        <v>17.399999999999999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16.899999999999999</v>
      </c>
      <c r="M12" s="10">
        <f>2.5+14.4</f>
        <v>16.899999999999999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VLOOKUP($B14,'3006'!$B14:$N33,12,0)</f>
        <v>7.42</v>
      </c>
      <c r="E14" s="10"/>
      <c r="F14" s="11"/>
      <c r="G14" s="10">
        <v>0.42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VLOOKUP($B15,'3006'!$B15:$N34,12,0)</f>
        <v>6.17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5.17</v>
      </c>
      <c r="M15" s="10">
        <f>4.5+0.67</f>
        <v>5.17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VLOOKUP($B16,'3006'!$B16:$N35,12,0)</f>
        <v>12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VLOOKUP($B18,'3006'!$B18:$N37,12,0)</f>
        <v>10.199999999999999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9.2999999999999989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VLOOKUP($B20,'3006'!$B20:$N39,12,0)</f>
        <v>9</v>
      </c>
      <c r="E20" s="12"/>
      <c r="F20" s="12"/>
      <c r="G20" s="12">
        <v>1</v>
      </c>
      <c r="H20" s="11">
        <v>2</v>
      </c>
      <c r="I20" s="12">
        <v>0.5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VLOOKUP($B21,'3006'!$B21:$N40,12,0)</f>
        <v>6.6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5.6999999999999993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VLOOKUP($B22,'3006'!$B22:$N41,12,0)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102.6</v>
      </c>
      <c r="F27" s="13">
        <f t="shared" si="2"/>
        <v>6</v>
      </c>
      <c r="G27" s="13">
        <f t="shared" si="2"/>
        <v>17.72</v>
      </c>
      <c r="H27" s="13">
        <f t="shared" si="2"/>
        <v>16</v>
      </c>
      <c r="I27" s="13">
        <f t="shared" si="2"/>
        <v>25.5</v>
      </c>
      <c r="J27" s="13">
        <f t="shared" si="2"/>
        <v>10</v>
      </c>
      <c r="K27" s="13">
        <f t="shared" si="2"/>
        <v>0</v>
      </c>
      <c r="L27" s="13">
        <f t="shared" si="2"/>
        <v>206.53</v>
      </c>
      <c r="M27" s="13">
        <f t="shared" si="2"/>
        <v>206.52999999999997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2" priority="1" stopIfTrue="1" operator="lessThan">
      <formula>0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DATE(2015,7,1)</f>
        <v>42186</v>
      </c>
      <c r="E4" s="36">
        <f>D4+1</f>
        <v>42187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VLOOKUP($B7,'0107'!$B7:$N26,12,0)</f>
        <v>82</v>
      </c>
      <c r="E7" s="10">
        <v>60</v>
      </c>
      <c r="F7" s="10">
        <v>4</v>
      </c>
      <c r="G7" s="10">
        <v>58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VLOOKUP($B9,'0107'!$B9:$N28,12,0)</f>
        <v>18.600000000000001</v>
      </c>
      <c r="E9" s="10">
        <v>18.649999999999999</v>
      </c>
      <c r="F9" s="11"/>
      <c r="G9" s="10">
        <v>10</v>
      </c>
      <c r="H9" s="10">
        <v>6</v>
      </c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VLOOKUP($B11,'0107'!$B11:$N30,12,0)</f>
        <v>31.7</v>
      </c>
      <c r="E11" s="10">
        <v>24.5</v>
      </c>
      <c r="F11" s="11"/>
      <c r="G11" s="10">
        <v>14.7</v>
      </c>
      <c r="H11" s="10">
        <v>5</v>
      </c>
      <c r="I11" s="11"/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VLOOKUP($B12,'0107'!$B12:$N31,12,0)</f>
        <v>16.899999999999999</v>
      </c>
      <c r="E12" s="10">
        <v>12.5</v>
      </c>
      <c r="F12" s="11"/>
      <c r="G12" s="10">
        <v>7.9</v>
      </c>
      <c r="H12" s="10">
        <v>5</v>
      </c>
      <c r="I12" s="11"/>
      <c r="J12" s="10"/>
      <c r="K12" s="10"/>
      <c r="L12" s="14">
        <f t="shared" si="1"/>
        <v>16.5</v>
      </c>
      <c r="M12" s="10">
        <v>16.5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VLOOKUP($B13,'0107'!$B13:$N32,12,0)</f>
        <v>2.39</v>
      </c>
      <c r="E13" s="10"/>
      <c r="F13" s="11">
        <v>2.39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VLOOKUP($B14,'0107'!$B14:$N33,12,0)</f>
        <v>7</v>
      </c>
      <c r="E14" s="10">
        <v>2.5</v>
      </c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VLOOKUP($B15,'0107'!$B15:$N34,12,0)</f>
        <v>5.17</v>
      </c>
      <c r="E15" s="10">
        <v>5</v>
      </c>
      <c r="F15" s="11">
        <v>2</v>
      </c>
      <c r="G15" s="10"/>
      <c r="H15" s="10">
        <v>3.5</v>
      </c>
      <c r="I15" s="10"/>
      <c r="J15" s="10"/>
      <c r="K15" s="10"/>
      <c r="L15" s="14">
        <f t="shared" si="1"/>
        <v>4.67</v>
      </c>
      <c r="M15" s="10">
        <v>4.67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VLOOKUP($B16,'0107'!$B16:$N35,12,0)</f>
        <v>11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9</v>
      </c>
      <c r="M16" s="10">
        <v>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VLOOKUP($B18,'0107'!$B18:$N37,12,0)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VLOOKUP($B20,'0107'!$B20:$N39,12,0)</f>
        <v>5.5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VLOOKUP($B21,'0107'!$B21:$N40,12,0)</f>
        <v>5.7</v>
      </c>
      <c r="E21" s="12"/>
      <c r="F21" s="12"/>
      <c r="G21" s="12">
        <v>1.8</v>
      </c>
      <c r="H21" s="11">
        <v>3.9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VLOOKUP($B22,'0107'!$B22:$N41,12,0)</f>
        <v>2.1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123.15</v>
      </c>
      <c r="F27" s="13">
        <f t="shared" si="2"/>
        <v>10.39</v>
      </c>
      <c r="G27" s="13">
        <f t="shared" si="2"/>
        <v>95.4</v>
      </c>
      <c r="H27" s="13">
        <f t="shared" si="2"/>
        <v>50.5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173.39000000000001</v>
      </c>
      <c r="M27" s="13">
        <f t="shared" si="2"/>
        <v>173.39000000000001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1" priority="1" stopIfTrue="1" operator="lessThan">
      <formula>0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DATE(2015,7,2)</f>
        <v>42187</v>
      </c>
      <c r="E4" s="36">
        <f>D4+1</f>
        <v>42188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VLOOKUP($B7,'0207'!$B7:$N26,12,0)</f>
        <v>60</v>
      </c>
      <c r="E7" s="10">
        <v>30</v>
      </c>
      <c r="F7" s="10">
        <v>4</v>
      </c>
      <c r="G7" s="10">
        <v>50</v>
      </c>
      <c r="H7" s="11">
        <v>2</v>
      </c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VLOOKUP($B9,'0207'!$B9:$N28,12,0)</f>
        <v>21.25</v>
      </c>
      <c r="E9" s="10">
        <v>18.399999999999999</v>
      </c>
      <c r="F9" s="11"/>
      <c r="G9" s="10">
        <v>13.65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VLOOKUP($B11,'0207'!$B11:$N30,12,0)</f>
        <v>36.5</v>
      </c>
      <c r="E11" s="10"/>
      <c r="F11" s="11"/>
      <c r="G11" s="10">
        <v>10</v>
      </c>
      <c r="H11" s="10"/>
      <c r="I11" s="11"/>
      <c r="J11" s="10"/>
      <c r="K11" s="10"/>
      <c r="L11" s="14">
        <f t="shared" si="1"/>
        <v>26.5</v>
      </c>
      <c r="M11" s="10">
        <v>26.5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VLOOKUP($B12,'0207'!$B12:$N31,12,0)</f>
        <v>16.5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12.5</v>
      </c>
      <c r="M12" s="10">
        <v>12.5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VLOOKUP($B14,'0207'!$B14:$N33,12,0)</f>
        <v>4.5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VLOOKUP($B15,'0207'!$B15:$N34,12,0)</f>
        <v>4.67</v>
      </c>
      <c r="E15" s="10">
        <v>5.6</v>
      </c>
      <c r="F15" s="11"/>
      <c r="G15" s="10">
        <v>2</v>
      </c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VLOOKUP($B16,'0207'!$B16:$N35,12,0)</f>
        <v>9</v>
      </c>
      <c r="E16" s="10">
        <v>5.4</v>
      </c>
      <c r="F16" s="11">
        <v>2</v>
      </c>
      <c r="G16" s="10">
        <v>3.45</v>
      </c>
      <c r="H16" s="10"/>
      <c r="I16" s="10"/>
      <c r="J16" s="10"/>
      <c r="K16" s="10"/>
      <c r="L16" s="14">
        <f t="shared" si="1"/>
        <v>8.9499999999999993</v>
      </c>
      <c r="M16" s="10">
        <v>8.9499999999999993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VLOOKUP($B18,'0207'!$B18:$N37,12,0)</f>
        <v>9.3000000000000007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VLOOKUP($B20,'0207'!$B20:$N39,12,0)</f>
        <v>2.5</v>
      </c>
      <c r="E20" s="12">
        <v>12.25</v>
      </c>
      <c r="F20" s="12"/>
      <c r="G20" s="12"/>
      <c r="H20" s="11"/>
      <c r="I20" s="12"/>
      <c r="J20" s="12"/>
      <c r="K20" s="12"/>
      <c r="L20" s="14">
        <f t="shared" si="1"/>
        <v>14.75</v>
      </c>
      <c r="M20" s="12">
        <v>14.75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VLOOKUP($B22,'0207'!$B22:$N41,12,0)</f>
        <v>0</v>
      </c>
      <c r="E22" s="10">
        <f>5.4+0.25</f>
        <v>5.65</v>
      </c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77.300000000000011</v>
      </c>
      <c r="F27" s="13">
        <f t="shared" si="2"/>
        <v>6</v>
      </c>
      <c r="G27" s="13">
        <f t="shared" si="2"/>
        <v>87.000000000000014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155.69</v>
      </c>
      <c r="M27" s="13">
        <f t="shared" si="2"/>
        <v>155.69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0" priority="1" stopIfTrue="1" operator="lessThan">
      <formula>0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DATE(2015,7,3)</f>
        <v>42188</v>
      </c>
      <c r="E4" s="36">
        <f>D4+1</f>
        <v>42189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VLOOKUP($B7,'0307'!$B7:$N26,12,0)</f>
        <v>34</v>
      </c>
      <c r="E7" s="10">
        <v>30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VLOOKUP($B8,'0307'!$B8:$N27,12,0)</f>
        <v>9.17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VLOOKUP($B9,'0307'!$B9:$N28,12,0)</f>
        <v>26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VLOOKUP($B11,'0307'!$B11:$N30,12,0)</f>
        <v>26.5</v>
      </c>
      <c r="E11" s="10"/>
      <c r="F11" s="11"/>
      <c r="G11" s="10">
        <v>3.5</v>
      </c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VLOOKUP($B12,'0307'!$B12:$N31,12,0)</f>
        <v>12.5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VLOOKUP($B14,'0307'!$B14:$N33,12,0)</f>
        <v>1.5</v>
      </c>
      <c r="E14" s="10">
        <v>3</v>
      </c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VLOOKUP($B16,'0307'!$B16:$N35,12,0)</f>
        <v>8.9499999999999993</v>
      </c>
      <c r="E16" s="10">
        <f>7.5+0.24</f>
        <v>7.74</v>
      </c>
      <c r="F16" s="11"/>
      <c r="G16" s="10"/>
      <c r="H16" s="10">
        <v>6</v>
      </c>
      <c r="I16" s="10"/>
      <c r="J16" s="10"/>
      <c r="K16" s="10"/>
      <c r="L16" s="14">
        <f t="shared" si="1"/>
        <v>10.689999999999998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VLOOKUP($B20,'0307'!$B20:$N39,12,0)</f>
        <v>14.75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VLOOKUP($B21,'0307'!$B21:$N40,12,0)</f>
        <v>0</v>
      </c>
      <c r="E21" s="12">
        <v>10.5</v>
      </c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51.24</v>
      </c>
      <c r="F27" s="13">
        <f t="shared" si="2"/>
        <v>4</v>
      </c>
      <c r="G27" s="13">
        <f>SUM(G7:G26)</f>
        <v>14.8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172.13</v>
      </c>
      <c r="M27" s="13">
        <f t="shared" si="2"/>
        <v>172.13000000000002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9" priority="1" stopIfTrue="1" operator="lessThan">
      <formula>0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VLOOKUP($B7,'0407'!$B7:$N26,12,0)</f>
        <v>50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VLOOKUP($B8,'0407'!$B8:$N27,12,0)</f>
        <v>7.37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VLOOKUP($B9,'0407'!$B9:$N28,12,0)</f>
        <v>23.5</v>
      </c>
      <c r="E9" s="10"/>
      <c r="F9" s="11"/>
      <c r="G9" s="10"/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VLOOKUP($B11,'0407'!$B11:$N30,12,0)</f>
        <v>23</v>
      </c>
      <c r="E11" s="10"/>
      <c r="F11" s="11"/>
      <c r="G11" s="10"/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VLOOKUP($B12,'0407'!$B12:$N31,12,0)</f>
        <v>8.5</v>
      </c>
      <c r="E12" s="10"/>
      <c r="F12" s="11"/>
      <c r="G12" s="10"/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VLOOKUP($B14,'0407'!$B14:$N33,12,0)</f>
        <v>4.5</v>
      </c>
      <c r="E14" s="10"/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VLOOKUP($B16,'0407'!$B16:$N35,12,0)</f>
        <v>10.69</v>
      </c>
      <c r="E16" s="10"/>
      <c r="F16" s="11"/>
      <c r="G16" s="10"/>
      <c r="H16" s="10"/>
      <c r="I16" s="10"/>
      <c r="J16" s="10"/>
      <c r="K16" s="10"/>
      <c r="L16" s="14">
        <f t="shared" si="1"/>
        <v>10.69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VLOOKUP($B20,'0407'!$B20:$N39,12,0)</f>
        <v>11.75</v>
      </c>
      <c r="E20" s="12"/>
      <c r="F20" s="12"/>
      <c r="G20" s="12"/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VLOOKUP($B21,'0407'!$B21:$N40,12,0)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2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170.13000000000002</v>
      </c>
      <c r="M27" s="13">
        <f t="shared" si="2"/>
        <v>170.13000000000002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8" priority="1" stopIfTrue="1" operator="lessThan">
      <formula>0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57</v>
      </c>
      <c r="H6" s="5" t="s">
        <v>54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VLOOKUP($B7,'0507'!$B7:$N26,12,0)</f>
        <v>48</v>
      </c>
      <c r="E7" s="10">
        <v>30</v>
      </c>
      <c r="F7" s="10">
        <v>4</v>
      </c>
      <c r="G7" s="10">
        <v>10</v>
      </c>
      <c r="H7" s="11">
        <v>12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VLOOKUP($B8,'0507'!$B8:$N27,12,0)</f>
        <v>7.37</v>
      </c>
      <c r="E8" s="10"/>
      <c r="F8" s="11"/>
      <c r="G8" s="10"/>
      <c r="H8" s="10">
        <v>1.8</v>
      </c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VLOOKUP($B9,'0507'!$B9:$N28,12,0)</f>
        <v>23.5</v>
      </c>
      <c r="E9" s="10"/>
      <c r="F9" s="11"/>
      <c r="G9" s="10">
        <v>2</v>
      </c>
      <c r="H9" s="10">
        <v>1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VLOOKUP($B11,'0507'!$B11:$N30,12,0)</f>
        <v>23</v>
      </c>
      <c r="E11" s="10">
        <v>22.5</v>
      </c>
      <c r="F11" s="11"/>
      <c r="G11" s="10">
        <v>4</v>
      </c>
      <c r="H11" s="10">
        <v>3</v>
      </c>
      <c r="I11" s="11">
        <v>2</v>
      </c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VLOOKUP($B12,'0507'!$B12:$N31,12,0)</f>
        <v>8.5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VLOOKUP($B13,'0507'!$B13:$N32,12,0)</f>
        <v>0</v>
      </c>
      <c r="E13" s="10">
        <v>2.65</v>
      </c>
      <c r="F13" s="11"/>
      <c r="G13" s="10"/>
      <c r="H13" s="10"/>
      <c r="I13" s="11"/>
      <c r="J13" s="10"/>
      <c r="K13" s="10"/>
      <c r="L13" s="14">
        <f t="shared" si="1"/>
        <v>2.65</v>
      </c>
      <c r="M13" s="10">
        <v>2.65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VLOOKUP($B14,'0507'!$B14:$N33,12,0)</f>
        <v>4.5</v>
      </c>
      <c r="E14" s="10">
        <v>6.13</v>
      </c>
      <c r="F14" s="11"/>
      <c r="G14" s="10">
        <v>1</v>
      </c>
      <c r="H14" s="10"/>
      <c r="I14" s="11"/>
      <c r="J14" s="10"/>
      <c r="K14" s="10"/>
      <c r="L14" s="14">
        <f t="shared" si="1"/>
        <v>9.629999999999999</v>
      </c>
      <c r="M14" s="10">
        <v>9.6300000000000008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VLOOKUP($B16,'0507'!$B16:$N35,12,0)</f>
        <v>10.69</v>
      </c>
      <c r="E16" s="17">
        <v>12</v>
      </c>
      <c r="F16" s="11"/>
      <c r="G16" s="10"/>
      <c r="H16" s="10">
        <v>1.5</v>
      </c>
      <c r="I16" s="10"/>
      <c r="J16" s="10"/>
      <c r="K16" s="10"/>
      <c r="L16" s="14">
        <f t="shared" si="1"/>
        <v>21.189999999999998</v>
      </c>
      <c r="M16" s="10">
        <v>21.19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VLOOKUP($B20,'0507'!$B20:$N39,12,0)</f>
        <v>11.75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10.25</v>
      </c>
      <c r="M20" s="12">
        <v>10.25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VLOOKUP($B21,'0507'!$B21:$N40,12,0)</f>
        <v>10.5</v>
      </c>
      <c r="E21" s="12"/>
      <c r="F21" s="12"/>
      <c r="G21" s="12">
        <v>1</v>
      </c>
      <c r="H21" s="11">
        <v>1.2</v>
      </c>
      <c r="I21" s="12">
        <v>0.9</v>
      </c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73.28</v>
      </c>
      <c r="F27" s="13">
        <f t="shared" si="2"/>
        <v>4</v>
      </c>
      <c r="G27" s="13">
        <f>SUM(G7:G26)</f>
        <v>23</v>
      </c>
      <c r="H27" s="13">
        <f t="shared" si="2"/>
        <v>22</v>
      </c>
      <c r="I27" s="13">
        <f t="shared" si="2"/>
        <v>3.9</v>
      </c>
      <c r="J27" s="13">
        <f t="shared" si="2"/>
        <v>0</v>
      </c>
      <c r="K27" s="13">
        <f t="shared" si="2"/>
        <v>0</v>
      </c>
      <c r="L27" s="13">
        <f t="shared" si="2"/>
        <v>190.51000000000002</v>
      </c>
      <c r="M27" s="13">
        <f t="shared" si="2"/>
        <v>190.51000000000002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7" priority="1" stopIfTrue="1" operator="lessThan">
      <formula>0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DATE(2015,7,5)</f>
        <v>42190</v>
      </c>
      <c r="E4" s="36">
        <f>D4+1</f>
        <v>42191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VLOOKUP($B7,'0607'!$B7:$N26,12,0)</f>
        <v>52</v>
      </c>
      <c r="E7" s="10">
        <v>50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VLOOKUP($B8,'0607'!$B8:$N27,12,0)</f>
        <v>5.57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VLOOKUP($B9,'0607'!$B9:$N28,12,0)</f>
        <v>19.5</v>
      </c>
      <c r="E9" s="10">
        <v>17.68</v>
      </c>
      <c r="F9" s="11">
        <v>6</v>
      </c>
      <c r="G9" s="10">
        <v>2.5</v>
      </c>
      <c r="H9" s="10"/>
      <c r="I9" s="10"/>
      <c r="J9" s="10"/>
      <c r="K9" s="10"/>
      <c r="L9" s="14">
        <f t="shared" si="1"/>
        <v>28.68</v>
      </c>
      <c r="M9" s="10">
        <v>28.68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VLOOKUP($B11,'0607'!$B11:$N30,12,0)</f>
        <v>36.5</v>
      </c>
      <c r="E11" s="10">
        <v>23</v>
      </c>
      <c r="F11" s="11">
        <v>10</v>
      </c>
      <c r="G11" s="10">
        <v>2</v>
      </c>
      <c r="H11" s="10"/>
      <c r="I11" s="11"/>
      <c r="J11" s="10"/>
      <c r="K11" s="10"/>
      <c r="L11" s="14">
        <f t="shared" si="1"/>
        <v>47.5</v>
      </c>
      <c r="M11" s="10">
        <v>47.5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VLOOKUP($B12,'0607'!$B12:$N31,12,0)</f>
        <v>3.5</v>
      </c>
      <c r="E12" s="10">
        <v>13.6</v>
      </c>
      <c r="F12" s="11">
        <v>4</v>
      </c>
      <c r="G12" s="10">
        <v>1</v>
      </c>
      <c r="H12" s="10"/>
      <c r="I12" s="11"/>
      <c r="J12" s="10"/>
      <c r="K12" s="10"/>
      <c r="L12" s="14">
        <f t="shared" si="1"/>
        <v>12.100000000000001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VLOOKUP($B13,'0607'!$B13:$N32,12,0)</f>
        <v>2.65</v>
      </c>
      <c r="E13" s="10"/>
      <c r="F13" s="11">
        <v>2.65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VLOOKUP($B14,'0607'!$B14:$N33,12,0)</f>
        <v>9.6300000000000008</v>
      </c>
      <c r="E14" s="10"/>
      <c r="F14" s="11">
        <v>2</v>
      </c>
      <c r="G14" s="10">
        <v>2</v>
      </c>
      <c r="H14" s="10"/>
      <c r="I14" s="11"/>
      <c r="J14" s="10"/>
      <c r="K14" s="10"/>
      <c r="L14" s="14">
        <f t="shared" si="1"/>
        <v>5.6300000000000008</v>
      </c>
      <c r="M14" s="10">
        <v>5.63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VLOOKUP($B15,'0607'!$B15:$N34,12,0)</f>
        <v>8.27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4.2699999999999996</v>
      </c>
      <c r="M15" s="10">
        <v>4.2699999999999996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VLOOKUP($B16,'0607'!$B16:$N35,12,0)</f>
        <v>21.19</v>
      </c>
      <c r="E16" s="10"/>
      <c r="F16" s="11">
        <v>4.75</v>
      </c>
      <c r="G16" s="10">
        <v>4.9000000000000004</v>
      </c>
      <c r="H16" s="10"/>
      <c r="I16" s="10"/>
      <c r="J16" s="10"/>
      <c r="K16" s="10"/>
      <c r="L16" s="14">
        <f t="shared" si="1"/>
        <v>11.540000000000001</v>
      </c>
      <c r="M16" s="10">
        <v>11.54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VLOOKUP($B18,'0607'!$B18:$N37,12,0)</f>
        <v>8.4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6.6000000000000005</v>
      </c>
      <c r="M18" s="10">
        <v>6.6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VLOOKUP($B20,'0607'!$B20:$N39,12,0)</f>
        <v>10.25</v>
      </c>
      <c r="E20" s="12">
        <v>14.5</v>
      </c>
      <c r="F20" s="12">
        <v>8</v>
      </c>
      <c r="G20" s="12"/>
      <c r="H20" s="11"/>
      <c r="I20" s="12"/>
      <c r="J20" s="12"/>
      <c r="K20" s="12"/>
      <c r="L20" s="14">
        <f t="shared" si="1"/>
        <v>16.75</v>
      </c>
      <c r="M20" s="12">
        <v>16.75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VLOOKUP($B21,'0607'!$B21:$N40,12,0)</f>
        <v>7.4</v>
      </c>
      <c r="E21" s="12"/>
      <c r="F21" s="12"/>
      <c r="G21" s="12"/>
      <c r="H21" s="11"/>
      <c r="I21" s="12"/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VLOOKUP($B22,'0607'!$B22:$N41,12,0)</f>
        <v>5.65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118.78</v>
      </c>
      <c r="F27" s="13">
        <f t="shared" si="2"/>
        <v>43.4</v>
      </c>
      <c r="G27" s="13">
        <f>SUM(G7:G26)</f>
        <v>29.65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236.23999999999998</v>
      </c>
      <c r="M27" s="13">
        <f t="shared" si="2"/>
        <v>236.23999999999998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6" priority="1" stopIfTrue="1" operator="lessThan">
      <formula>0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DATE(2015,7,7)</f>
        <v>42192</v>
      </c>
      <c r="E4" s="36">
        <f>D4+1</f>
        <v>42193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39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VLOOKUP($B7,'0707'!$B7:$N26,12,0)</f>
        <v>86</v>
      </c>
      <c r="E7" s="10">
        <v>30</v>
      </c>
      <c r="F7" s="10">
        <v>4</v>
      </c>
      <c r="G7" s="10">
        <v>10</v>
      </c>
      <c r="H7" s="11">
        <v>10</v>
      </c>
      <c r="I7" s="10">
        <v>8</v>
      </c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VLOOKUP($B8,'0707'!$B8:$N27,12,0)</f>
        <v>5.57</v>
      </c>
      <c r="E8" s="10"/>
      <c r="F8" s="11"/>
      <c r="G8" s="10"/>
      <c r="H8" s="10"/>
      <c r="I8" s="10"/>
      <c r="J8" s="10">
        <v>0.6</v>
      </c>
      <c r="K8" s="10"/>
      <c r="L8" s="14">
        <f t="shared" ref="L8:L22" si="1">D8+E8-SUM(F8:K8)</f>
        <v>4.9700000000000006</v>
      </c>
      <c r="M8" s="10">
        <v>4.97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VLOOKUP($B9,'0707'!$B9:$N28,12,0)</f>
        <v>28.68</v>
      </c>
      <c r="E9" s="10"/>
      <c r="F9" s="11"/>
      <c r="G9" s="10">
        <v>3</v>
      </c>
      <c r="H9" s="10"/>
      <c r="I9" s="10">
        <v>2</v>
      </c>
      <c r="J9" s="10"/>
      <c r="K9" s="10"/>
      <c r="L9" s="14">
        <f t="shared" si="1"/>
        <v>23.68</v>
      </c>
      <c r="M9" s="10">
        <v>23.68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VLOOKUP($B11,'0707'!$B11:$N30,12,0)</f>
        <v>47.5</v>
      </c>
      <c r="E11" s="10">
        <v>23.1</v>
      </c>
      <c r="F11" s="11"/>
      <c r="G11" s="10">
        <v>5.9</v>
      </c>
      <c r="H11" s="10">
        <v>2</v>
      </c>
      <c r="I11" s="11">
        <v>1</v>
      </c>
      <c r="J11" s="10"/>
      <c r="K11" s="10"/>
      <c r="L11" s="14">
        <f t="shared" si="1"/>
        <v>61.699999999999996</v>
      </c>
      <c r="M11" s="10">
        <v>61.7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VLOOKUP($B12,'0707'!$B12:$N31,12,0)</f>
        <v>12.1</v>
      </c>
      <c r="E12" s="10"/>
      <c r="F12" s="11"/>
      <c r="G12" s="10">
        <v>1.6</v>
      </c>
      <c r="H12" s="10"/>
      <c r="I12" s="11">
        <v>0.5</v>
      </c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VLOOKUP($B14,'0707'!$B14:$N33,12,0)</f>
        <v>5.63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4.63</v>
      </c>
      <c r="M14" s="10">
        <v>4.63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VLOOKUP($B15,'0707'!$B15:$N34,12,0)</f>
        <v>4.2699999999999996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2.7699999999999996</v>
      </c>
      <c r="M15" s="10">
        <v>2.77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VLOOKUP($B16,'0707'!$B16:$N35,12,0)</f>
        <v>11.54</v>
      </c>
      <c r="E16" s="10"/>
      <c r="F16" s="11"/>
      <c r="G16" s="10">
        <v>1.05</v>
      </c>
      <c r="H16" s="10"/>
      <c r="I16" s="10">
        <v>1</v>
      </c>
      <c r="J16" s="10"/>
      <c r="K16" s="10"/>
      <c r="L16" s="14">
        <f t="shared" si="1"/>
        <v>9.4899999999999984</v>
      </c>
      <c r="M16" s="10">
        <v>9.49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VLOOKUP($B18,'0707'!$B18:$N37,12,0)</f>
        <v>6.6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5.6999999999999993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VLOOKUP($B20,'0707'!$B20:$N39,12,0)</f>
        <v>16.75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13.75</v>
      </c>
      <c r="M20" s="12">
        <v>13.75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VLOOKUP($B21,'0707'!$B21:$N40,12,0)</f>
        <v>7.4</v>
      </c>
      <c r="E21" s="12">
        <f>0.45+9.9</f>
        <v>10.35</v>
      </c>
      <c r="F21" s="12"/>
      <c r="G21" s="12">
        <v>3</v>
      </c>
      <c r="H21" s="11">
        <v>0.6</v>
      </c>
      <c r="I21" s="12"/>
      <c r="J21" s="12"/>
      <c r="K21" s="12"/>
      <c r="L21" s="14">
        <f t="shared" si="1"/>
        <v>14.15</v>
      </c>
      <c r="M21" s="12">
        <v>14.15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VLOOKUP($B22,'0707'!$B22:$N41,12,0)</f>
        <v>4.2</v>
      </c>
      <c r="E22" s="10"/>
      <c r="F22" s="10"/>
      <c r="G22" s="12"/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63.45</v>
      </c>
      <c r="F27" s="13">
        <f t="shared" si="2"/>
        <v>4</v>
      </c>
      <c r="G27" s="13">
        <f>SUM(G7:G26)</f>
        <v>29.95</v>
      </c>
      <c r="H27" s="13">
        <f t="shared" si="2"/>
        <v>12.6</v>
      </c>
      <c r="I27" s="13">
        <f t="shared" si="2"/>
        <v>13.5</v>
      </c>
      <c r="J27" s="13">
        <f t="shared" si="2"/>
        <v>0.6</v>
      </c>
      <c r="K27" s="13">
        <f t="shared" si="2"/>
        <v>0</v>
      </c>
      <c r="L27" s="13">
        <f t="shared" si="2"/>
        <v>239.04</v>
      </c>
      <c r="M27" s="13">
        <f t="shared" si="2"/>
        <v>239.04000000000002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5" priority="1" stopIfTrue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278</vt:i4>
      </vt:variant>
    </vt:vector>
  </HeadingPairs>
  <TitlesOfParts>
    <vt:vector size="278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0805</vt:lpstr>
      <vt:lpstr>0905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1.6</vt:lpstr>
      <vt:lpstr>2.6</vt:lpstr>
      <vt:lpstr>3.6</vt:lpstr>
      <vt:lpstr>4.6</vt:lpstr>
      <vt:lpstr>5.6</vt:lpstr>
      <vt:lpstr>6.6</vt:lpstr>
      <vt:lpstr>7.6</vt:lpstr>
      <vt:lpstr>8.6</vt:lpstr>
      <vt:lpstr>9.6</vt:lpstr>
      <vt:lpstr>10.6</vt:lpstr>
      <vt:lpstr>11.6</vt:lpstr>
      <vt:lpstr>12.6</vt:lpstr>
      <vt:lpstr>13.6</vt:lpstr>
      <vt:lpstr>14.6</vt:lpstr>
      <vt:lpstr>15.6</vt:lpstr>
      <vt:lpstr>16.6</vt:lpstr>
      <vt:lpstr>17.6</vt:lpstr>
      <vt:lpstr>18.6</vt:lpstr>
      <vt:lpstr>19.6</vt:lpstr>
      <vt:lpstr>20.6</vt:lpstr>
      <vt:lpstr>21.6</vt:lpstr>
      <vt:lpstr>22.6</vt:lpstr>
      <vt:lpstr>23.6</vt:lpstr>
      <vt:lpstr>24.6</vt:lpstr>
      <vt:lpstr>25.6</vt:lpstr>
      <vt:lpstr>26.6</vt:lpstr>
      <vt:lpstr>27.6</vt:lpstr>
      <vt:lpstr>28.6</vt:lpstr>
      <vt:lpstr>29.6</vt:lpstr>
      <vt:lpstr>30.6</vt:lpstr>
      <vt:lpstr>TỔNG</vt:lpstr>
      <vt:lpstr>TỔNG NHẬP</vt:lpstr>
      <vt:lpstr>TỔNG XUẤT</vt:lpstr>
      <vt:lpstr>Sheet3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2016-11-14T03:09:58Z</cp:lastPrinted>
  <dcterms:created xsi:type="dcterms:W3CDTF">2015-03-02T03:25:00Z</dcterms:created>
  <dcterms:modified xsi:type="dcterms:W3CDTF">2017-07-04T05:42:45Z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